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5/a Enero/Riesgos 2025/"/>
    </mc:Choice>
  </mc:AlternateContent>
  <xr:revisionPtr revIDLastSave="4" documentId="13_ncr:1_{510B033B-B0D5-481E-A39C-BD831709AC4F}" xr6:coauthVersionLast="47" xr6:coauthVersionMax="47" xr10:uidLastSave="{04461F2C-924C-4708-A3CC-BEF08F871B5A}"/>
  <bookViews>
    <workbookView xWindow="-15" yWindow="-15" windowWidth="10245" windowHeight="10830" tabRatio="933" activeTab="7" xr2:uid="{00000000-000D-0000-FFFF-FFFF00000000}"/>
  </bookViews>
  <sheets>
    <sheet name="Intructivo control cambi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Fiscales" sheetId="37" r:id="rId7"/>
    <sheet name="Riesgos de Corrupción" sheetId="33" r:id="rId8"/>
    <sheet name="Impacto Corrupción " sheetId="22" r:id="rId9"/>
    <sheet name="Riesgos de Seguridad " sheetId="38" r:id="rId10"/>
    <sheet name="Riesgos de LA FT " sheetId="35" r:id="rId11"/>
    <sheet name="Impacto LA-FT" sheetId="36" r:id="rId12"/>
    <sheet name="Tabla Impacto" sheetId="13" r:id="rId13"/>
    <sheet name="Tabla probabilidad" sheetId="12" r:id="rId14"/>
    <sheet name="Clasificación de riesgos" sheetId="23" r:id="rId15"/>
    <sheet name="Amenazas" sheetId="28" r:id="rId16"/>
    <sheet name="Ejemplos de riesgos" sheetId="26" r:id="rId17"/>
    <sheet name="Tabla Valoración controles" sheetId="15" r:id="rId18"/>
    <sheet name="Hoja1" sheetId="11" state="hidden" r:id="rId19"/>
  </sheets>
  <externalReferences>
    <externalReference r:id="rId20"/>
    <externalReference r:id="rId21"/>
  </externalReferences>
  <definedNames>
    <definedName name="_xlnm.Print_Area" localSheetId="8">'Impacto Corrupción '!$A$1:$G$27</definedName>
    <definedName name="_xlnm.Print_Area" localSheetId="7">'Riesgos de Corrupción'!$A$1:$AU$40</definedName>
    <definedName name="_xlnm.Print_Area" localSheetId="3">'Riesgos de Gestión'!$A$1:$AU$76</definedName>
    <definedName name="_xlnm.Print_Area" localSheetId="10">'Riesgos de LA FT '!$A$1:$AU$76</definedName>
    <definedName name="_xlnm.Print_Area" localSheetId="9">'Riesgos de Seguridad '!$A$1:$AZ$76</definedName>
    <definedName name="_xlnm.Print_Area" localSheetId="6">'Riesgos Fiscales'!$A$1:$AT$76</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 localSheetId="9">#REF!</definedName>
    <definedName name="personal">#REF!</definedName>
    <definedName name="políticos" localSheetId="9">#REF!</definedName>
    <definedName name="políticos">#REF!</definedName>
    <definedName name="probabilidad" localSheetId="8">#REF!</definedName>
    <definedName name="probabilidad">[2]FORMULAS!$G$4:$G$8</definedName>
    <definedName name="proceso" localSheetId="9">#REF!</definedName>
    <definedName name="proceso">#REF!</definedName>
    <definedName name="procesos" localSheetId="8">#REF!</definedName>
    <definedName name="procesos">[2]FORMULAS!$B$4:$B$21</definedName>
    <definedName name="sociales" localSheetId="9">#REF!</definedName>
    <definedName name="sociales">#REF!</definedName>
    <definedName name="tecnología" localSheetId="9">#REF!</definedName>
    <definedName name="tecnología">#REF!</definedName>
    <definedName name="tecnológicos" localSheetId="9">#REF!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7">'Riesgos de Corrupción'!$1:$8</definedName>
    <definedName name="_xlnm.Print_Titles" localSheetId="3">'Riesgos de Gestión'!$1:$8</definedName>
    <definedName name="_xlnm.Print_Titles" localSheetId="10">'Riesgos de LA FT '!$1:$8</definedName>
    <definedName name="_xlnm.Print_Titles" localSheetId="9">'Riesgos de Seguridad '!$1:$8</definedName>
    <definedName name="_xlnm.Print_Titles" localSheetId="6">'Riesgos Fiscales'!$1:$8</definedName>
  </definedNames>
  <calcPr calcId="191028"/>
  <pivotCaches>
    <pivotCache cacheId="1"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1" l="1"/>
  <c r="Z13" i="33" l="1"/>
  <c r="F13" i="1"/>
  <c r="F13" i="33"/>
  <c r="AC13" i="38" l="1"/>
  <c r="AC14" i="38"/>
  <c r="AI14" i="38"/>
  <c r="F13" i="38"/>
  <c r="Z13" i="1"/>
  <c r="R19" i="38" l="1"/>
  <c r="O19" i="38"/>
  <c r="P19" i="38" s="1"/>
  <c r="U19" i="38"/>
  <c r="V19" i="38" s="1"/>
  <c r="W19" i="38" s="1"/>
  <c r="T19" i="38"/>
  <c r="AE14" i="38"/>
  <c r="AF14" i="38"/>
  <c r="AQ14" i="38" s="1"/>
  <c r="AP14" i="38" s="1"/>
  <c r="T13" i="38"/>
  <c r="R13" i="38"/>
  <c r="AE13" i="38"/>
  <c r="AC72" i="38"/>
  <c r="AC71" i="38"/>
  <c r="AC70" i="38"/>
  <c r="AC69" i="38"/>
  <c r="AC68" i="38"/>
  <c r="AC67" i="38"/>
  <c r="T67" i="38"/>
  <c r="R67" i="38"/>
  <c r="O67" i="38"/>
  <c r="P67" i="38" s="1"/>
  <c r="AC66" i="38"/>
  <c r="AC65" i="38"/>
  <c r="AC64" i="38"/>
  <c r="AC63" i="38"/>
  <c r="AC62" i="38"/>
  <c r="AC61" i="38"/>
  <c r="T61" i="38"/>
  <c r="R61" i="38"/>
  <c r="U61" i="38" s="1"/>
  <c r="V61" i="38" s="1"/>
  <c r="O61" i="38"/>
  <c r="P61" i="38" s="1"/>
  <c r="AC60" i="38"/>
  <c r="AC59" i="38"/>
  <c r="AC58" i="38"/>
  <c r="AC57" i="38"/>
  <c r="AC56" i="38"/>
  <c r="AC55" i="38"/>
  <c r="T55" i="38"/>
  <c r="R55" i="38"/>
  <c r="U55" i="38" s="1"/>
  <c r="V55" i="38" s="1"/>
  <c r="O55" i="38"/>
  <c r="P55" i="38" s="1"/>
  <c r="AC54" i="38"/>
  <c r="AC53" i="38"/>
  <c r="AC52" i="38"/>
  <c r="AC51" i="38"/>
  <c r="AC50" i="38"/>
  <c r="AC49" i="38"/>
  <c r="T49" i="38"/>
  <c r="U49" i="38" s="1"/>
  <c r="V49" i="38" s="1"/>
  <c r="R49" i="38"/>
  <c r="O49" i="38"/>
  <c r="P49" i="38" s="1"/>
  <c r="AC48" i="38"/>
  <c r="AC47" i="38"/>
  <c r="AC46" i="38"/>
  <c r="AC45" i="38"/>
  <c r="AC44" i="38"/>
  <c r="AC43" i="38"/>
  <c r="T43" i="38"/>
  <c r="R43" i="38"/>
  <c r="O43" i="38"/>
  <c r="AC42" i="38"/>
  <c r="AC41" i="38"/>
  <c r="AC40" i="38"/>
  <c r="AC39" i="38"/>
  <c r="AC38" i="38"/>
  <c r="AC37" i="38"/>
  <c r="T37" i="38"/>
  <c r="R37" i="38"/>
  <c r="O37" i="38"/>
  <c r="P37" i="38" s="1"/>
  <c r="AC36" i="38"/>
  <c r="AC35" i="38"/>
  <c r="AC34" i="38"/>
  <c r="AC33" i="38"/>
  <c r="AC32" i="38"/>
  <c r="AC31" i="38"/>
  <c r="T31" i="38"/>
  <c r="R31" i="38"/>
  <c r="O31" i="38"/>
  <c r="P31" i="38" s="1"/>
  <c r="AC30" i="38"/>
  <c r="AC29" i="38"/>
  <c r="AC28" i="38"/>
  <c r="AC27" i="38"/>
  <c r="AC26" i="38"/>
  <c r="AC25" i="38"/>
  <c r="T25" i="38"/>
  <c r="R25" i="38"/>
  <c r="O25" i="38"/>
  <c r="AC24" i="38"/>
  <c r="AC23" i="38"/>
  <c r="AC22" i="38"/>
  <c r="AC21" i="38"/>
  <c r="AC20" i="38"/>
  <c r="AC19" i="38"/>
  <c r="AC18" i="38"/>
  <c r="AC17" i="38"/>
  <c r="AC16" i="38"/>
  <c r="AC15" i="38"/>
  <c r="AI13" i="38"/>
  <c r="AF13" i="38"/>
  <c r="O13" i="38"/>
  <c r="P13" i="38" s="1"/>
  <c r="F19" i="33"/>
  <c r="F25" i="33"/>
  <c r="F31" i="33"/>
  <c r="AC72" i="37"/>
  <c r="Z72" i="37"/>
  <c r="Y72" i="37"/>
  <c r="Q72" i="37"/>
  <c r="AC71" i="37"/>
  <c r="Z71" i="37"/>
  <c r="Y71" i="37"/>
  <c r="Q71" i="37"/>
  <c r="AC70" i="37"/>
  <c r="Z70" i="37"/>
  <c r="AK71" i="37" s="1"/>
  <c r="AJ71" i="37" s="1"/>
  <c r="Y70" i="37"/>
  <c r="Q70" i="37"/>
  <c r="AC69" i="37"/>
  <c r="Z69" i="37"/>
  <c r="Y69" i="37"/>
  <c r="Q69" i="37"/>
  <c r="AC68" i="37"/>
  <c r="Z68" i="37"/>
  <c r="AG69" i="37" s="1"/>
  <c r="Y68" i="37"/>
  <c r="Q68" i="37"/>
  <c r="AC67" i="37"/>
  <c r="Z67" i="37"/>
  <c r="Y67" i="37"/>
  <c r="Q67" i="37"/>
  <c r="R67" i="37" s="1"/>
  <c r="O67" i="37"/>
  <c r="N67" i="37"/>
  <c r="F67" i="37"/>
  <c r="AC66" i="37"/>
  <c r="Z66" i="37"/>
  <c r="Y66" i="37"/>
  <c r="Q66" i="37"/>
  <c r="AC65" i="37"/>
  <c r="Z65" i="37"/>
  <c r="AK66" i="37" s="1"/>
  <c r="AJ66" i="37" s="1"/>
  <c r="Y65" i="37"/>
  <c r="Q65" i="37"/>
  <c r="AC64" i="37"/>
  <c r="Z64" i="37"/>
  <c r="Y64" i="37"/>
  <c r="Q64" i="37"/>
  <c r="AG63" i="37"/>
  <c r="AI63" i="37" s="1"/>
  <c r="AC63" i="37"/>
  <c r="Z63" i="37"/>
  <c r="AG64" i="37" s="1"/>
  <c r="Y63" i="37"/>
  <c r="Q63" i="37"/>
  <c r="AC62" i="37"/>
  <c r="Z62" i="37"/>
  <c r="Y62" i="37"/>
  <c r="Q62" i="37"/>
  <c r="AK61" i="37"/>
  <c r="AJ61" i="37" s="1"/>
  <c r="AC61" i="37"/>
  <c r="Z61" i="37"/>
  <c r="AK62" i="37" s="1"/>
  <c r="AJ62" i="37" s="1"/>
  <c r="Y61" i="37"/>
  <c r="Q61" i="37"/>
  <c r="R61" i="37" s="1"/>
  <c r="N61" i="37"/>
  <c r="O61" i="37" s="1"/>
  <c r="F61" i="37"/>
  <c r="AC60" i="37"/>
  <c r="Z60" i="37"/>
  <c r="Y60" i="37"/>
  <c r="Q60" i="37"/>
  <c r="AC59" i="37"/>
  <c r="Z59" i="37"/>
  <c r="AG60" i="37" s="1"/>
  <c r="Y59" i="37"/>
  <c r="Q59" i="37"/>
  <c r="AC58" i="37"/>
  <c r="Z58" i="37"/>
  <c r="Y58" i="37"/>
  <c r="Q58" i="37"/>
  <c r="AC57" i="37"/>
  <c r="Z57" i="37"/>
  <c r="AK58" i="37" s="1"/>
  <c r="AJ58" i="37" s="1"/>
  <c r="Y57" i="37"/>
  <c r="Q57" i="37"/>
  <c r="AC56" i="37"/>
  <c r="Z56" i="37"/>
  <c r="Y56" i="37"/>
  <c r="Q56" i="37"/>
  <c r="AC55" i="37"/>
  <c r="Z55" i="37"/>
  <c r="AG56" i="37" s="1"/>
  <c r="Y55" i="37"/>
  <c r="Q55" i="37"/>
  <c r="R55" i="37" s="1"/>
  <c r="N55" i="37"/>
  <c r="O55" i="37" s="1"/>
  <c r="F55" i="37"/>
  <c r="F31" i="35"/>
  <c r="F37" i="35"/>
  <c r="F43" i="35"/>
  <c r="F49" i="35"/>
  <c r="F55" i="35"/>
  <c r="F61" i="35"/>
  <c r="F67" i="35"/>
  <c r="F19" i="1"/>
  <c r="F25" i="1"/>
  <c r="F31" i="1"/>
  <c r="F37" i="1"/>
  <c r="F43" i="1"/>
  <c r="F49" i="1"/>
  <c r="F55" i="1"/>
  <c r="F61" i="1"/>
  <c r="F67" i="1"/>
  <c r="R31" i="35"/>
  <c r="R37" i="35"/>
  <c r="R43" i="35"/>
  <c r="R49" i="35"/>
  <c r="R55" i="35"/>
  <c r="R61" i="35"/>
  <c r="R67" i="35"/>
  <c r="W52" i="33"/>
  <c r="W51" i="33"/>
  <c r="AM14" i="38" l="1"/>
  <c r="X19" i="38"/>
  <c r="U31" i="38"/>
  <c r="V31" i="38" s="1"/>
  <c r="X31" i="38" s="1"/>
  <c r="U43" i="38"/>
  <c r="V43" i="38" s="1"/>
  <c r="X61" i="38"/>
  <c r="U37" i="38"/>
  <c r="V37" i="38" s="1"/>
  <c r="AM13" i="38"/>
  <c r="AN13" i="38" s="1"/>
  <c r="U25" i="38"/>
  <c r="V25" i="38" s="1"/>
  <c r="U67" i="38"/>
  <c r="V67" i="38" s="1"/>
  <c r="X43" i="38"/>
  <c r="U13" i="38"/>
  <c r="V13" i="38" s="1"/>
  <c r="W13" i="38" s="1"/>
  <c r="X49" i="38"/>
  <c r="X37" i="38"/>
  <c r="X55" i="38"/>
  <c r="X25" i="38"/>
  <c r="P25" i="38"/>
  <c r="P43" i="38"/>
  <c r="X67" i="38"/>
  <c r="AK63" i="37"/>
  <c r="AJ63" i="37" s="1"/>
  <c r="AK68" i="37"/>
  <c r="AJ68" i="37" s="1"/>
  <c r="AK57" i="37"/>
  <c r="AJ57" i="37" s="1"/>
  <c r="AK59" i="37"/>
  <c r="AJ59" i="37" s="1"/>
  <c r="AG65" i="37"/>
  <c r="AG66" i="37"/>
  <c r="AG70" i="37"/>
  <c r="AH70" i="37" s="1"/>
  <c r="AK72" i="37"/>
  <c r="AJ72" i="37" s="1"/>
  <c r="AG58" i="37"/>
  <c r="AI58" i="37" s="1"/>
  <c r="AG61" i="37"/>
  <c r="AH61" i="37" s="1"/>
  <c r="AL61" i="37" s="1"/>
  <c r="AG68" i="37"/>
  <c r="AI68" i="37" s="1"/>
  <c r="T61" i="37"/>
  <c r="S61" i="37"/>
  <c r="AH65" i="37"/>
  <c r="AI65" i="37"/>
  <c r="AI66" i="37"/>
  <c r="AH66" i="37"/>
  <c r="AL66" i="37" s="1"/>
  <c r="S55" i="37"/>
  <c r="T55" i="37"/>
  <c r="AI64" i="37"/>
  <c r="AH64" i="37"/>
  <c r="AI69" i="37"/>
  <c r="AH69" i="37"/>
  <c r="AH56" i="37"/>
  <c r="AI56" i="37"/>
  <c r="AI60" i="37"/>
  <c r="AH60" i="37"/>
  <c r="T67" i="37"/>
  <c r="S67" i="37"/>
  <c r="AK55" i="37"/>
  <c r="AJ55" i="37" s="1"/>
  <c r="AG57" i="37"/>
  <c r="AI61" i="37"/>
  <c r="AG62" i="37"/>
  <c r="AK64" i="37"/>
  <c r="AJ64" i="37" s="1"/>
  <c r="AG67" i="37"/>
  <c r="AK69" i="37"/>
  <c r="AJ69" i="37" s="1"/>
  <c r="AG71" i="37"/>
  <c r="AK56" i="37"/>
  <c r="AJ56" i="37" s="1"/>
  <c r="AK60" i="37"/>
  <c r="AJ60" i="37" s="1"/>
  <c r="AK65" i="37"/>
  <c r="AJ65" i="37" s="1"/>
  <c r="AK70" i="37"/>
  <c r="AJ70" i="37" s="1"/>
  <c r="AG72" i="37"/>
  <c r="AH58" i="37"/>
  <c r="AL58" i="37" s="1"/>
  <c r="AH63" i="37"/>
  <c r="AH68" i="37"/>
  <c r="AG55" i="37"/>
  <c r="AG59" i="37"/>
  <c r="AK67" i="37"/>
  <c r="AJ67" i="37" s="1"/>
  <c r="AD72" i="35"/>
  <c r="AA72" i="35"/>
  <c r="Z72" i="35"/>
  <c r="AD71" i="35"/>
  <c r="AA71" i="35"/>
  <c r="AL72" i="35" s="1"/>
  <c r="AK72" i="35" s="1"/>
  <c r="Z71" i="35"/>
  <c r="AI70" i="35"/>
  <c r="AH70" i="35"/>
  <c r="AJ70" i="35" s="1"/>
  <c r="AD70" i="35"/>
  <c r="AA70" i="35"/>
  <c r="AL71" i="35" s="1"/>
  <c r="AK71" i="35" s="1"/>
  <c r="Z70" i="35"/>
  <c r="AD69" i="35"/>
  <c r="AA69" i="35"/>
  <c r="AL70" i="35" s="1"/>
  <c r="AK70" i="35" s="1"/>
  <c r="Z69" i="35"/>
  <c r="AD68" i="35"/>
  <c r="AA68" i="35"/>
  <c r="AH69" i="35" s="1"/>
  <c r="Z68" i="35"/>
  <c r="AD67" i="35"/>
  <c r="AA67" i="35"/>
  <c r="AL68" i="35" s="1"/>
  <c r="AK68" i="35" s="1"/>
  <c r="Z67" i="35"/>
  <c r="O67" i="35"/>
  <c r="AD66" i="35"/>
  <c r="AA66" i="35"/>
  <c r="AH66" i="35" s="1"/>
  <c r="Z66" i="35"/>
  <c r="AH65" i="35"/>
  <c r="AJ65" i="35" s="1"/>
  <c r="AD65" i="35"/>
  <c r="AA65" i="35"/>
  <c r="AL66" i="35" s="1"/>
  <c r="AK66" i="35" s="1"/>
  <c r="Z65" i="35"/>
  <c r="AD64" i="35"/>
  <c r="AA64" i="35"/>
  <c r="AL65" i="35" s="1"/>
  <c r="AK65" i="35" s="1"/>
  <c r="Z64" i="35"/>
  <c r="AD63" i="35"/>
  <c r="AA63" i="35"/>
  <c r="AH64" i="35" s="1"/>
  <c r="Z63" i="35"/>
  <c r="AD62" i="35"/>
  <c r="AA62" i="35"/>
  <c r="AH63" i="35" s="1"/>
  <c r="Z62" i="35"/>
  <c r="AH61" i="35"/>
  <c r="AJ61" i="35" s="1"/>
  <c r="AD61" i="35"/>
  <c r="AA61" i="35"/>
  <c r="AL62" i="35" s="1"/>
  <c r="AK62" i="35" s="1"/>
  <c r="Z61" i="35"/>
  <c r="P61" i="35"/>
  <c r="O61" i="35"/>
  <c r="AD60" i="35"/>
  <c r="AA60" i="35"/>
  <c r="AH60" i="35" s="1"/>
  <c r="Z60" i="35"/>
  <c r="AI59" i="35"/>
  <c r="AH59" i="35"/>
  <c r="AJ59" i="35" s="1"/>
  <c r="AD59" i="35"/>
  <c r="AA59" i="35"/>
  <c r="AL60" i="35" s="1"/>
  <c r="AK60" i="35" s="1"/>
  <c r="Z59" i="35"/>
  <c r="AD58" i="35"/>
  <c r="AA58" i="35"/>
  <c r="AL59" i="35" s="1"/>
  <c r="AK59" i="35" s="1"/>
  <c r="Z58" i="35"/>
  <c r="AD57" i="35"/>
  <c r="AA57" i="35"/>
  <c r="AH58" i="35" s="1"/>
  <c r="Z57" i="35"/>
  <c r="AD56" i="35"/>
  <c r="AA56" i="35"/>
  <c r="AL57" i="35" s="1"/>
  <c r="AK57" i="35" s="1"/>
  <c r="Z56" i="35"/>
  <c r="AI55" i="35"/>
  <c r="AH55" i="35"/>
  <c r="AJ55" i="35" s="1"/>
  <c r="AD55" i="35"/>
  <c r="AA55" i="35"/>
  <c r="AL56" i="35" s="1"/>
  <c r="AK56" i="35" s="1"/>
  <c r="Z55" i="35"/>
  <c r="P55" i="35"/>
  <c r="O55" i="35"/>
  <c r="AH54" i="35"/>
  <c r="AJ54" i="35" s="1"/>
  <c r="AD54" i="35"/>
  <c r="AA54" i="35"/>
  <c r="Z54" i="35"/>
  <c r="AD53" i="35"/>
  <c r="AA53" i="35"/>
  <c r="AL54" i="35" s="1"/>
  <c r="AK54" i="35" s="1"/>
  <c r="Z53" i="35"/>
  <c r="AD52" i="35"/>
  <c r="AA52" i="35"/>
  <c r="AH53" i="35" s="1"/>
  <c r="Z52" i="35"/>
  <c r="AD51" i="35"/>
  <c r="AA51" i="35"/>
  <c r="AH52" i="35" s="1"/>
  <c r="Z51" i="35"/>
  <c r="AH50" i="35"/>
  <c r="AJ50" i="35" s="1"/>
  <c r="AD50" i="35"/>
  <c r="AA50" i="35"/>
  <c r="AL51" i="35" s="1"/>
  <c r="AK51" i="35" s="1"/>
  <c r="Z50" i="35"/>
  <c r="AL49" i="35"/>
  <c r="AK49" i="35" s="1"/>
  <c r="AJ49" i="35"/>
  <c r="AI49" i="35"/>
  <c r="AH49" i="35"/>
  <c r="AD49" i="35"/>
  <c r="AA49" i="35"/>
  <c r="AL50" i="35" s="1"/>
  <c r="AK50" i="35" s="1"/>
  <c r="Z49" i="35"/>
  <c r="P49" i="35"/>
  <c r="O49" i="35"/>
  <c r="AI48" i="35"/>
  <c r="AH48" i="35"/>
  <c r="AJ48" i="35" s="1"/>
  <c r="AD48" i="35"/>
  <c r="AA48" i="35"/>
  <c r="Z48" i="35"/>
  <c r="AD47" i="35"/>
  <c r="AA47" i="35"/>
  <c r="AL48" i="35" s="1"/>
  <c r="AK48" i="35" s="1"/>
  <c r="Z47" i="35"/>
  <c r="AD46" i="35"/>
  <c r="AA46" i="35"/>
  <c r="AH47" i="35" s="1"/>
  <c r="Z46" i="35"/>
  <c r="AD45" i="35"/>
  <c r="AA45" i="35"/>
  <c r="AL46" i="35" s="1"/>
  <c r="AK46" i="35" s="1"/>
  <c r="Z45" i="35"/>
  <c r="AI44" i="35"/>
  <c r="AH44" i="35"/>
  <c r="AJ44" i="35" s="1"/>
  <c r="AD44" i="35"/>
  <c r="AA44" i="35"/>
  <c r="AL45" i="35" s="1"/>
  <c r="AK45" i="35" s="1"/>
  <c r="Z44" i="35"/>
  <c r="AL43" i="35"/>
  <c r="AK43" i="35" s="1"/>
  <c r="AM43" i="35" s="1"/>
  <c r="AJ43" i="35"/>
  <c r="AI43" i="35"/>
  <c r="AH43" i="35"/>
  <c r="AD43" i="35"/>
  <c r="AA43" i="35"/>
  <c r="AL44" i="35" s="1"/>
  <c r="AK44" i="35" s="1"/>
  <c r="Z43" i="35"/>
  <c r="O43" i="35"/>
  <c r="P43" i="35" s="1"/>
  <c r="AD42" i="35"/>
  <c r="AA42" i="35"/>
  <c r="Z42" i="35"/>
  <c r="AD41" i="35"/>
  <c r="AA41" i="35"/>
  <c r="AH42" i="35" s="1"/>
  <c r="Z41" i="35"/>
  <c r="AD40" i="35"/>
  <c r="AA40" i="35"/>
  <c r="AH41" i="35" s="1"/>
  <c r="Z40" i="35"/>
  <c r="AH39" i="35"/>
  <c r="AJ39" i="35" s="1"/>
  <c r="AD39" i="35"/>
  <c r="AA39" i="35"/>
  <c r="AL40" i="35" s="1"/>
  <c r="AK40" i="35" s="1"/>
  <c r="Z39" i="35"/>
  <c r="AD38" i="35"/>
  <c r="AA38" i="35"/>
  <c r="AL39" i="35" s="1"/>
  <c r="AK39" i="35" s="1"/>
  <c r="Z38" i="35"/>
  <c r="AL37" i="35"/>
  <c r="AK37" i="35" s="1"/>
  <c r="AD37" i="35"/>
  <c r="AA37" i="35"/>
  <c r="AH38" i="35" s="1"/>
  <c r="Z37" i="35"/>
  <c r="P37" i="35"/>
  <c r="O37" i="35"/>
  <c r="AH36" i="35"/>
  <c r="AJ36" i="35" s="1"/>
  <c r="AD36" i="35"/>
  <c r="AA36" i="35"/>
  <c r="Z36" i="35"/>
  <c r="AD35" i="35"/>
  <c r="AA35" i="35"/>
  <c r="AL36" i="35" s="1"/>
  <c r="AK36" i="35" s="1"/>
  <c r="Z35" i="35"/>
  <c r="AD34" i="35"/>
  <c r="AA34" i="35"/>
  <c r="AL35" i="35" s="1"/>
  <c r="AK35" i="35" s="1"/>
  <c r="Z34" i="35"/>
  <c r="AD33" i="35"/>
  <c r="AA33" i="35"/>
  <c r="AH33" i="35" s="1"/>
  <c r="Z33" i="35"/>
  <c r="AH32" i="35"/>
  <c r="AJ32" i="35" s="1"/>
  <c r="AD32" i="35"/>
  <c r="AA32" i="35"/>
  <c r="AL33" i="35" s="1"/>
  <c r="AK33" i="35" s="1"/>
  <c r="Z32" i="35"/>
  <c r="AL31" i="35"/>
  <c r="AK31" i="35" s="1"/>
  <c r="AD31" i="35"/>
  <c r="AA31" i="35"/>
  <c r="AH31" i="35" s="1"/>
  <c r="Z31" i="35"/>
  <c r="O31" i="35"/>
  <c r="P31" i="35" s="1"/>
  <c r="AD30" i="35"/>
  <c r="AA30" i="35"/>
  <c r="Z30" i="35"/>
  <c r="AD29" i="35"/>
  <c r="AA29" i="35"/>
  <c r="AH30" i="35" s="1"/>
  <c r="Z29" i="35"/>
  <c r="AH28" i="35"/>
  <c r="AJ28" i="35" s="1"/>
  <c r="AD28" i="35"/>
  <c r="AA28" i="35"/>
  <c r="AL29" i="35" s="1"/>
  <c r="AK29" i="35" s="1"/>
  <c r="Z28" i="35"/>
  <c r="AD27" i="35"/>
  <c r="AA27" i="35"/>
  <c r="AL28" i="35" s="1"/>
  <c r="AK28" i="35" s="1"/>
  <c r="Z27" i="35"/>
  <c r="AD26" i="35"/>
  <c r="AA26" i="35"/>
  <c r="AH27" i="35" s="1"/>
  <c r="Z26" i="35"/>
  <c r="AD25" i="35"/>
  <c r="AA25" i="35"/>
  <c r="AL25" i="35" s="1"/>
  <c r="AK25" i="35" s="1"/>
  <c r="Z25" i="35"/>
  <c r="AD24" i="35"/>
  <c r="AA24" i="35"/>
  <c r="Z24" i="35"/>
  <c r="AD23" i="35"/>
  <c r="AA23" i="35"/>
  <c r="AL24" i="35" s="1"/>
  <c r="AK24" i="35" s="1"/>
  <c r="Z23" i="35"/>
  <c r="AD22" i="35"/>
  <c r="AA22" i="35"/>
  <c r="AH22" i="35" s="1"/>
  <c r="Z22" i="35"/>
  <c r="AH21" i="35"/>
  <c r="AJ21" i="35" s="1"/>
  <c r="AD21" i="35"/>
  <c r="AA21" i="35"/>
  <c r="AL22" i="35" s="1"/>
  <c r="AK22" i="35" s="1"/>
  <c r="Z21" i="35"/>
  <c r="AD20" i="35"/>
  <c r="AA20" i="35"/>
  <c r="AL21" i="35" s="1"/>
  <c r="AK21" i="35" s="1"/>
  <c r="Z20" i="35"/>
  <c r="AL19" i="35"/>
  <c r="AK19" i="35" s="1"/>
  <c r="AD19" i="35"/>
  <c r="AA19" i="35"/>
  <c r="AL20" i="35" s="1"/>
  <c r="AK20" i="35" s="1"/>
  <c r="Z19" i="35"/>
  <c r="AD18" i="35"/>
  <c r="AA18" i="35"/>
  <c r="AH18" i="35" s="1"/>
  <c r="Z18" i="35"/>
  <c r="AH17" i="35"/>
  <c r="AJ17" i="35" s="1"/>
  <c r="AD17" i="35"/>
  <c r="AA17" i="35"/>
  <c r="AL18" i="35" s="1"/>
  <c r="AK18" i="35" s="1"/>
  <c r="Z17" i="35"/>
  <c r="AD16" i="35"/>
  <c r="AA16" i="35"/>
  <c r="AL17" i="35" s="1"/>
  <c r="AK17" i="35" s="1"/>
  <c r="Z16" i="35"/>
  <c r="AD15" i="35"/>
  <c r="AA15" i="35"/>
  <c r="AH16" i="35" s="1"/>
  <c r="Z15" i="35"/>
  <c r="AD14" i="35"/>
  <c r="AA14" i="35"/>
  <c r="AH15" i="35" s="1"/>
  <c r="Z14" i="35"/>
  <c r="AD13" i="35"/>
  <c r="AA13" i="35"/>
  <c r="AL14" i="35" s="1"/>
  <c r="AK14" i="35" s="1"/>
  <c r="Z13" i="35"/>
  <c r="AD36" i="33"/>
  <c r="AA36" i="33"/>
  <c r="Z36" i="33"/>
  <c r="R36" i="33"/>
  <c r="AD35" i="33"/>
  <c r="AA35" i="33"/>
  <c r="Z35" i="33"/>
  <c r="R35" i="33"/>
  <c r="AD34" i="33"/>
  <c r="AA34" i="33"/>
  <c r="Z34" i="33"/>
  <c r="R34" i="33"/>
  <c r="AD33" i="33"/>
  <c r="AA33" i="33"/>
  <c r="Z33" i="33"/>
  <c r="R33" i="33"/>
  <c r="AD32" i="33"/>
  <c r="AA32" i="33"/>
  <c r="Z32" i="33"/>
  <c r="R32" i="33"/>
  <c r="AD31" i="33"/>
  <c r="AA31" i="33"/>
  <c r="Z31" i="33"/>
  <c r="O31" i="33"/>
  <c r="AD30" i="33"/>
  <c r="AA30" i="33"/>
  <c r="Z30" i="33"/>
  <c r="R30" i="33"/>
  <c r="AD29" i="33"/>
  <c r="AA29" i="33"/>
  <c r="Z29" i="33"/>
  <c r="R29" i="33"/>
  <c r="AD28" i="33"/>
  <c r="AA28" i="33"/>
  <c r="AH29" i="33" s="1"/>
  <c r="AJ29" i="33" s="1"/>
  <c r="Z28" i="33"/>
  <c r="R28" i="33"/>
  <c r="AD27" i="33"/>
  <c r="AA27" i="33"/>
  <c r="Z27" i="33"/>
  <c r="R27" i="33"/>
  <c r="AD26" i="33"/>
  <c r="AA26" i="33"/>
  <c r="AH27" i="33" s="1"/>
  <c r="Z26" i="33"/>
  <c r="R26" i="33"/>
  <c r="AD25" i="33"/>
  <c r="AA25" i="33"/>
  <c r="AH25" i="33" s="1"/>
  <c r="AJ25" i="33" s="1"/>
  <c r="Z25" i="33"/>
  <c r="O25" i="33"/>
  <c r="P25" i="33" s="1"/>
  <c r="AD24" i="33"/>
  <c r="AA24" i="33"/>
  <c r="Z24" i="33"/>
  <c r="R24" i="33"/>
  <c r="AD23" i="33"/>
  <c r="AA23" i="33"/>
  <c r="Z23" i="33"/>
  <c r="R23" i="33"/>
  <c r="AD22" i="33"/>
  <c r="AA22" i="33"/>
  <c r="Z22" i="33"/>
  <c r="R22" i="33"/>
  <c r="AD21" i="33"/>
  <c r="AA21" i="33"/>
  <c r="Z21" i="33"/>
  <c r="R21" i="33"/>
  <c r="AD20" i="33"/>
  <c r="AA20" i="33"/>
  <c r="Z20" i="33"/>
  <c r="R20" i="33"/>
  <c r="AD19" i="33"/>
  <c r="AA19" i="33"/>
  <c r="AH19" i="33" s="1"/>
  <c r="Z19" i="33"/>
  <c r="O19" i="33"/>
  <c r="P19" i="33" s="1"/>
  <c r="AD18" i="33"/>
  <c r="AA18" i="33"/>
  <c r="Z18" i="33"/>
  <c r="R18" i="33"/>
  <c r="AD17" i="33"/>
  <c r="AA17" i="33"/>
  <c r="Z17" i="33"/>
  <c r="R17" i="33"/>
  <c r="AD16" i="33"/>
  <c r="AA16" i="33"/>
  <c r="Z16" i="33"/>
  <c r="R16" i="33"/>
  <c r="AD15" i="33"/>
  <c r="AA15" i="33"/>
  <c r="Z15" i="33"/>
  <c r="R15" i="33"/>
  <c r="AD14" i="33"/>
  <c r="AA14" i="33"/>
  <c r="Z14" i="33"/>
  <c r="R14" i="33"/>
  <c r="AD13" i="33"/>
  <c r="AA13" i="33"/>
  <c r="O13" i="33"/>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15" i="1"/>
  <c r="Z16" i="1"/>
  <c r="Z17" i="1"/>
  <c r="Z18" i="1"/>
  <c r="Z19" i="1"/>
  <c r="Z20" i="1"/>
  <c r="Z21" i="1"/>
  <c r="Z22" i="1"/>
  <c r="Z23" i="1"/>
  <c r="Z24" i="1"/>
  <c r="Z25" i="1"/>
  <c r="Z26" i="1"/>
  <c r="Z27" i="1"/>
  <c r="Z28" i="1"/>
  <c r="AL18" i="33" l="1"/>
  <c r="AK18" i="33" s="1"/>
  <c r="AL35" i="33"/>
  <c r="AK35" i="33" s="1"/>
  <c r="AN14" i="38"/>
  <c r="AR14" i="38" s="1"/>
  <c r="AO14" i="38"/>
  <c r="AO13" i="38"/>
  <c r="AL68" i="37"/>
  <c r="AL63" i="37"/>
  <c r="X13" i="38"/>
  <c r="AQ13" i="38"/>
  <c r="AP13" i="38" s="1"/>
  <c r="AR13" i="38" s="1"/>
  <c r="AL24" i="33"/>
  <c r="AK24" i="33" s="1"/>
  <c r="AL56" i="37"/>
  <c r="AI70" i="37"/>
  <c r="AL69" i="37"/>
  <c r="AI62" i="37"/>
  <c r="AH62" i="37"/>
  <c r="AL62" i="37" s="1"/>
  <c r="AL70" i="37"/>
  <c r="AI72" i="37"/>
  <c r="AH72" i="37"/>
  <c r="AL72" i="37" s="1"/>
  <c r="AL64" i="37"/>
  <c r="AI59" i="37"/>
  <c r="AH59" i="37"/>
  <c r="AL59" i="37" s="1"/>
  <c r="AI55" i="37"/>
  <c r="AH55" i="37"/>
  <c r="AL55" i="37" s="1"/>
  <c r="AI57" i="37"/>
  <c r="AH57" i="37"/>
  <c r="AL57" i="37" s="1"/>
  <c r="AI67" i="37"/>
  <c r="AH67" i="37"/>
  <c r="AL67" i="37" s="1"/>
  <c r="AL60" i="37"/>
  <c r="AI71" i="37"/>
  <c r="AH71" i="37"/>
  <c r="AL71" i="37" s="1"/>
  <c r="AL65" i="37"/>
  <c r="AH13" i="35"/>
  <c r="AJ13" i="35" s="1"/>
  <c r="AM49" i="35"/>
  <c r="AM48" i="35"/>
  <c r="AI33" i="35"/>
  <c r="AM33" i="35" s="1"/>
  <c r="AJ33" i="35"/>
  <c r="AJ41" i="35"/>
  <c r="AI41" i="35"/>
  <c r="AJ52" i="35"/>
  <c r="AI52" i="35"/>
  <c r="AM59" i="35"/>
  <c r="AJ66" i="35"/>
  <c r="AI66" i="35"/>
  <c r="AM66" i="35" s="1"/>
  <c r="AJ58" i="35"/>
  <c r="AI58" i="35"/>
  <c r="AJ69" i="35"/>
  <c r="AI69" i="35"/>
  <c r="AI27" i="35"/>
  <c r="AJ27" i="35"/>
  <c r="AJ18" i="35"/>
  <c r="AI18" i="35"/>
  <c r="AM18" i="35" s="1"/>
  <c r="AI16" i="35"/>
  <c r="AJ16" i="35"/>
  <c r="AI22" i="35"/>
  <c r="AM22" i="35" s="1"/>
  <c r="AJ22" i="35"/>
  <c r="AI38" i="35"/>
  <c r="AJ38" i="35"/>
  <c r="AJ47" i="35"/>
  <c r="AI47" i="35"/>
  <c r="AJ31" i="35"/>
  <c r="AI31" i="35"/>
  <c r="AM31" i="35" s="1"/>
  <c r="AI15" i="35"/>
  <c r="AJ15" i="35"/>
  <c r="AJ63" i="35"/>
  <c r="AI63" i="35"/>
  <c r="AJ30" i="35"/>
  <c r="AI30" i="35"/>
  <c r="AM44" i="35"/>
  <c r="AJ60" i="35"/>
  <c r="AI60" i="35"/>
  <c r="AM60" i="35" s="1"/>
  <c r="AI64" i="35"/>
  <c r="AJ64" i="35"/>
  <c r="AI42" i="35"/>
  <c r="AJ42" i="35"/>
  <c r="AI53" i="35"/>
  <c r="AJ53" i="35"/>
  <c r="AM70" i="35"/>
  <c r="AL41" i="35"/>
  <c r="AK41" i="35" s="1"/>
  <c r="AI17" i="35"/>
  <c r="AM17" i="35" s="1"/>
  <c r="AH19" i="35"/>
  <c r="AH23" i="35"/>
  <c r="AI28" i="35"/>
  <c r="AM28" i="35" s="1"/>
  <c r="AL32" i="35"/>
  <c r="AK32" i="35" s="1"/>
  <c r="AH34" i="35"/>
  <c r="AI39" i="35"/>
  <c r="AM39" i="35" s="1"/>
  <c r="AH45" i="35"/>
  <c r="AL47" i="35"/>
  <c r="AK47" i="35" s="1"/>
  <c r="AI50" i="35"/>
  <c r="AM50" i="35" s="1"/>
  <c r="AI54" i="35"/>
  <c r="AM54" i="35" s="1"/>
  <c r="AH56" i="35"/>
  <c r="AL58" i="35"/>
  <c r="AK58" i="35" s="1"/>
  <c r="AI61" i="35"/>
  <c r="AI65" i="35"/>
  <c r="AM65" i="35" s="1"/>
  <c r="P67" i="35"/>
  <c r="AH67" i="35"/>
  <c r="AL69" i="35"/>
  <c r="AK69" i="35" s="1"/>
  <c r="AH71" i="35"/>
  <c r="AL26" i="35"/>
  <c r="AK26" i="35" s="1"/>
  <c r="AH14" i="35"/>
  <c r="AH25" i="35"/>
  <c r="AL27" i="35"/>
  <c r="AK27" i="35" s="1"/>
  <c r="AL38" i="35"/>
  <c r="AK38" i="35" s="1"/>
  <c r="AH40" i="35"/>
  <c r="AL42" i="35"/>
  <c r="AK42" i="35" s="1"/>
  <c r="AH51" i="35"/>
  <c r="AL53" i="35"/>
  <c r="AK53" i="35" s="1"/>
  <c r="AH62" i="35"/>
  <c r="AL64" i="35"/>
  <c r="AK64" i="35" s="1"/>
  <c r="AL63" i="35"/>
  <c r="AK63" i="35" s="1"/>
  <c r="AH29" i="35"/>
  <c r="AH20" i="35"/>
  <c r="AH24" i="35"/>
  <c r="AH35" i="35"/>
  <c r="AH46" i="35"/>
  <c r="AL55" i="35"/>
  <c r="AK55" i="35" s="1"/>
  <c r="AM55" i="35" s="1"/>
  <c r="AH57" i="35"/>
  <c r="AH68" i="35"/>
  <c r="AH72" i="35"/>
  <c r="AL15" i="35"/>
  <c r="AK15" i="35" s="1"/>
  <c r="AL30" i="35"/>
  <c r="AK30" i="35" s="1"/>
  <c r="AL52" i="35"/>
  <c r="AK52" i="35" s="1"/>
  <c r="AL16" i="35"/>
  <c r="AK16" i="35" s="1"/>
  <c r="AH26" i="35"/>
  <c r="AH37" i="35"/>
  <c r="AL61" i="35"/>
  <c r="AK61" i="35" s="1"/>
  <c r="AL67" i="35"/>
  <c r="AK67" i="35" s="1"/>
  <c r="AL23" i="35"/>
  <c r="AK23" i="35" s="1"/>
  <c r="AL34" i="35"/>
  <c r="AK34" i="35" s="1"/>
  <c r="AI21" i="35"/>
  <c r="AM21" i="35" s="1"/>
  <c r="AI32" i="35"/>
  <c r="AI36" i="35"/>
  <c r="AM36" i="35" s="1"/>
  <c r="AL19" i="33"/>
  <c r="AK19" i="33" s="1"/>
  <c r="AL30" i="33"/>
  <c r="AK30" i="33" s="1"/>
  <c r="AL32" i="33"/>
  <c r="AK32" i="33" s="1"/>
  <c r="AH34" i="33"/>
  <c r="AI34" i="33" s="1"/>
  <c r="AL36" i="33"/>
  <c r="AK36" i="33" s="1"/>
  <c r="AJ19" i="33"/>
  <c r="AI19" i="33"/>
  <c r="AL21" i="33"/>
  <c r="AK21" i="33" s="1"/>
  <c r="AH36" i="33"/>
  <c r="AJ36" i="33" s="1"/>
  <c r="AL17" i="33"/>
  <c r="AK17" i="33" s="1"/>
  <c r="AH20" i="33"/>
  <c r="AJ20" i="33" s="1"/>
  <c r="AL27" i="33"/>
  <c r="AK27" i="33" s="1"/>
  <c r="AL26" i="33"/>
  <c r="AK26" i="33" s="1"/>
  <c r="AH33" i="33"/>
  <c r="AJ33" i="33" s="1"/>
  <c r="P13" i="33"/>
  <c r="AH13" i="33" s="1"/>
  <c r="AI13" i="33" s="1"/>
  <c r="AH18" i="33"/>
  <c r="AI18" i="33" s="1"/>
  <c r="AH23" i="33"/>
  <c r="AJ23" i="33" s="1"/>
  <c r="AL29" i="33"/>
  <c r="AK29" i="33" s="1"/>
  <c r="AH30" i="33"/>
  <c r="AI30" i="33" s="1"/>
  <c r="AH16" i="33"/>
  <c r="AI16" i="33" s="1"/>
  <c r="AH24" i="33"/>
  <c r="AL20" i="33"/>
  <c r="AK20" i="33" s="1"/>
  <c r="AH22" i="33"/>
  <c r="AJ22" i="33" s="1"/>
  <c r="AH28" i="33"/>
  <c r="AI28" i="33" s="1"/>
  <c r="AH17" i="33"/>
  <c r="AJ17" i="33" s="1"/>
  <c r="AH32" i="33"/>
  <c r="AJ32" i="33" s="1"/>
  <c r="AH21" i="33"/>
  <c r="AJ21" i="33" s="1"/>
  <c r="AJ27" i="33"/>
  <c r="AI27" i="33"/>
  <c r="AJ34" i="33"/>
  <c r="AL22" i="33"/>
  <c r="AK22" i="33" s="1"/>
  <c r="AI25" i="33"/>
  <c r="AI29" i="33"/>
  <c r="P31" i="33"/>
  <c r="AH31" i="33"/>
  <c r="AL33" i="33"/>
  <c r="AK33" i="33" s="1"/>
  <c r="AH35" i="33"/>
  <c r="AH26" i="33"/>
  <c r="AL28" i="33"/>
  <c r="AK28" i="33" s="1"/>
  <c r="AL23" i="33"/>
  <c r="AK23" i="33" s="1"/>
  <c r="AL34" i="33"/>
  <c r="AK34" i="33" s="1"/>
  <c r="AH15" i="33"/>
  <c r="AL25" i="33"/>
  <c r="AK25" i="33" s="1"/>
  <c r="AI32" i="33"/>
  <c r="AI36" i="33"/>
  <c r="AL31" i="33"/>
  <c r="AK31" i="33" s="1"/>
  <c r="AL16" i="33"/>
  <c r="AK16" i="33" s="1"/>
  <c r="AL15" i="33"/>
  <c r="AK15" i="33" s="1"/>
  <c r="O13" i="1"/>
  <c r="P13" i="1" s="1"/>
  <c r="AA13" i="1"/>
  <c r="AD13" i="1"/>
  <c r="AA14" i="1"/>
  <c r="AD14" i="1"/>
  <c r="AA15" i="1"/>
  <c r="AD15" i="1"/>
  <c r="AA16" i="1"/>
  <c r="AD16" i="1"/>
  <c r="AA17" i="1"/>
  <c r="AD17" i="1"/>
  <c r="AA18" i="1"/>
  <c r="AD18" i="1"/>
  <c r="R17" i="1"/>
  <c r="R15" i="1"/>
  <c r="R16" i="1"/>
  <c r="R14" i="1"/>
  <c r="R18" i="1"/>
  <c r="AI33" i="33" l="1"/>
  <c r="AM33" i="33" s="1"/>
  <c r="AM18" i="33"/>
  <c r="AI20" i="33"/>
  <c r="AM20" i="33" s="1"/>
  <c r="AJ28" i="33"/>
  <c r="AI13" i="35"/>
  <c r="AM30" i="33"/>
  <c r="AM15" i="35"/>
  <c r="AM69" i="35"/>
  <c r="AM41" i="35"/>
  <c r="AM27" i="35"/>
  <c r="AM52" i="35"/>
  <c r="AM58" i="35"/>
  <c r="AM32" i="33"/>
  <c r="AM27" i="33"/>
  <c r="AJ51" i="35"/>
  <c r="AI51" i="35"/>
  <c r="AM51" i="35" s="1"/>
  <c r="AJ40" i="35"/>
  <c r="AI40" i="35"/>
  <c r="AM40" i="35" s="1"/>
  <c r="AJ19" i="35"/>
  <c r="AI19" i="35"/>
  <c r="AM19" i="35" s="1"/>
  <c r="AJ72" i="35"/>
  <c r="AI72" i="35"/>
  <c r="AM72" i="35" s="1"/>
  <c r="AJ29" i="35"/>
  <c r="AI29" i="35"/>
  <c r="AM29" i="35" s="1"/>
  <c r="AM47" i="35"/>
  <c r="AJ67" i="35"/>
  <c r="AI67" i="35"/>
  <c r="AM67" i="35" s="1"/>
  <c r="AM30" i="35"/>
  <c r="AJ37" i="35"/>
  <c r="AI37" i="35"/>
  <c r="AM37" i="35" s="1"/>
  <c r="AJ68" i="35"/>
  <c r="AI68" i="35"/>
  <c r="AM68" i="35" s="1"/>
  <c r="AJ45" i="35"/>
  <c r="AI45" i="35"/>
  <c r="AM45" i="35" s="1"/>
  <c r="AM63" i="35"/>
  <c r="AJ46" i="35"/>
  <c r="AI46" i="35"/>
  <c r="AM46" i="35" s="1"/>
  <c r="AJ56" i="35"/>
  <c r="AI56" i="35"/>
  <c r="AM56" i="35" s="1"/>
  <c r="AM53" i="35"/>
  <c r="AJ24" i="35"/>
  <c r="AI24" i="35"/>
  <c r="AM24" i="35" s="1"/>
  <c r="AI23" i="35"/>
  <c r="AM23" i="35" s="1"/>
  <c r="AJ23" i="35"/>
  <c r="AM16" i="35"/>
  <c r="AM32" i="35"/>
  <c r="AJ26" i="35"/>
  <c r="AI26" i="35"/>
  <c r="AM26" i="35" s="1"/>
  <c r="AJ57" i="35"/>
  <c r="AI57" i="35"/>
  <c r="AM57" i="35" s="1"/>
  <c r="AJ25" i="35"/>
  <c r="AI25" i="35"/>
  <c r="AM25" i="35" s="1"/>
  <c r="AM61" i="35"/>
  <c r="AJ35" i="35"/>
  <c r="AI35" i="35"/>
  <c r="AM35" i="35" s="1"/>
  <c r="AJ71" i="35"/>
  <c r="AI71" i="35"/>
  <c r="AM71" i="35" s="1"/>
  <c r="AJ20" i="35"/>
  <c r="AI20" i="35"/>
  <c r="AM20" i="35" s="1"/>
  <c r="AM42" i="35"/>
  <c r="AJ62" i="35"/>
  <c r="AI62" i="35"/>
  <c r="AM62" i="35" s="1"/>
  <c r="AJ14" i="35"/>
  <c r="AI14" i="35"/>
  <c r="AM14" i="35" s="1"/>
  <c r="AJ34" i="35"/>
  <c r="AI34" i="35"/>
  <c r="AM34" i="35" s="1"/>
  <c r="AM64" i="35"/>
  <c r="AM38" i="35"/>
  <c r="AM36" i="33"/>
  <c r="AI21" i="33"/>
  <c r="AM21" i="33" s="1"/>
  <c r="AM29" i="33"/>
  <c r="AJ30" i="33"/>
  <c r="AM19" i="33"/>
  <c r="AJ13" i="33"/>
  <c r="AH14" i="33" s="1"/>
  <c r="AI14" i="33" s="1"/>
  <c r="AJ16" i="33"/>
  <c r="AJ18" i="33"/>
  <c r="AM34" i="33"/>
  <c r="AJ24" i="33"/>
  <c r="AI24" i="33"/>
  <c r="AM24" i="33" s="1"/>
  <c r="AI17" i="33"/>
  <c r="AM17" i="33" s="1"/>
  <c r="AI22" i="33"/>
  <c r="AM22" i="33" s="1"/>
  <c r="AI23" i="33"/>
  <c r="AM23" i="33" s="1"/>
  <c r="AJ15" i="33"/>
  <c r="AI15" i="33"/>
  <c r="AM15" i="33" s="1"/>
  <c r="AJ26" i="33"/>
  <c r="AI26" i="33"/>
  <c r="AM26" i="33" s="1"/>
  <c r="AM25" i="33"/>
  <c r="AM28" i="33"/>
  <c r="AM16" i="33"/>
  <c r="AJ31" i="33"/>
  <c r="AI31" i="33"/>
  <c r="AM31" i="33" s="1"/>
  <c r="AJ35" i="33"/>
  <c r="AI35" i="33"/>
  <c r="AM35" i="33" s="1"/>
  <c r="AH17" i="1"/>
  <c r="AI17" i="1" s="1"/>
  <c r="AL18" i="1"/>
  <c r="AK18" i="1" s="1"/>
  <c r="AH18" i="1"/>
  <c r="AJ18" i="1" s="1"/>
  <c r="AL16" i="1"/>
  <c r="AK16" i="1" s="1"/>
  <c r="AH13" i="1"/>
  <c r="AJ13" i="1" s="1"/>
  <c r="AH14" i="1" s="1"/>
  <c r="AL17" i="1"/>
  <c r="AK17" i="1" s="1"/>
  <c r="AH16" i="1"/>
  <c r="AJ14" i="33" l="1"/>
  <c r="AJ17" i="1"/>
  <c r="AI18" i="1"/>
  <c r="AM18" i="1" s="1"/>
  <c r="AL15" i="1"/>
  <c r="AK15" i="1" s="1"/>
  <c r="AI13" i="1"/>
  <c r="AI14" i="1"/>
  <c r="AJ14" i="1"/>
  <c r="AH15" i="1" s="1"/>
  <c r="AI15" i="1" s="1"/>
  <c r="AI16" i="1"/>
  <c r="AM16" i="1" s="1"/>
  <c r="AJ16" i="1"/>
  <c r="AM17" i="1"/>
  <c r="AM15" i="1" l="1"/>
  <c r="AJ15" i="1"/>
  <c r="O55" i="1" l="1"/>
  <c r="AA19" i="1" l="1"/>
  <c r="AA20" i="1"/>
  <c r="AL20" i="1" l="1"/>
  <c r="AL19" i="1"/>
  <c r="E24" i="22"/>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AA55" i="1" l="1"/>
  <c r="AA50" i="1"/>
  <c r="AA44" i="1"/>
  <c r="R13" i="1" l="1"/>
  <c r="S13" i="1" s="1"/>
  <c r="T13" i="1" s="1"/>
  <c r="AL13" i="1" s="1"/>
  <c r="S31" i="35"/>
  <c r="R31" i="33"/>
  <c r="S31" i="33" s="1"/>
  <c r="S67" i="35"/>
  <c r="R25" i="33"/>
  <c r="S25" i="33" s="1"/>
  <c r="R19" i="33"/>
  <c r="S19" i="33" s="1"/>
  <c r="S61" i="35"/>
  <c r="S43" i="35"/>
  <c r="S49" i="35"/>
  <c r="S37" i="35"/>
  <c r="S55" i="35"/>
  <c r="R13" i="33"/>
  <c r="S13" i="33" s="1"/>
  <c r="AL55"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U13" i="1" l="1"/>
  <c r="T13" i="33"/>
  <c r="AL13" i="33" s="1"/>
  <c r="U13" i="33"/>
  <c r="T61" i="35"/>
  <c r="U61" i="35"/>
  <c r="U37" i="35"/>
  <c r="T37" i="35"/>
  <c r="T19" i="33"/>
  <c r="U19" i="33"/>
  <c r="T25" i="33"/>
  <c r="U25" i="33"/>
  <c r="T67" i="35"/>
  <c r="U67" i="35"/>
  <c r="U49" i="35"/>
  <c r="T49" i="35"/>
  <c r="T31" i="33"/>
  <c r="U31" i="33"/>
  <c r="T55" i="35"/>
  <c r="U55" i="35"/>
  <c r="U31" i="35"/>
  <c r="T31" i="35"/>
  <c r="AL13" i="35"/>
  <c r="AK13" i="35" s="1"/>
  <c r="AM13" i="35" s="1"/>
  <c r="U43" i="35"/>
  <c r="T43" i="35"/>
  <c r="AK13" i="1"/>
  <c r="AM13" i="1" s="1"/>
  <c r="AL14" i="1"/>
  <c r="AK14" i="1" s="1"/>
  <c r="AM14" i="1" s="1"/>
  <c r="AD72" i="1"/>
  <c r="AA72" i="1"/>
  <c r="AD71" i="1"/>
  <c r="AA71" i="1"/>
  <c r="AD70" i="1"/>
  <c r="AA70" i="1"/>
  <c r="AD69" i="1"/>
  <c r="AA69" i="1"/>
  <c r="AD68" i="1"/>
  <c r="AA68" i="1"/>
  <c r="AD67" i="1"/>
  <c r="AA67" i="1"/>
  <c r="O67" i="1"/>
  <c r="P67" i="1" s="1"/>
  <c r="AD66" i="1"/>
  <c r="AA66" i="1"/>
  <c r="AD65" i="1"/>
  <c r="AA65" i="1"/>
  <c r="AD64" i="1"/>
  <c r="AA64" i="1"/>
  <c r="AD63" i="1"/>
  <c r="AA63" i="1"/>
  <c r="AD62" i="1"/>
  <c r="AA62" i="1"/>
  <c r="AD61" i="1"/>
  <c r="AA61" i="1"/>
  <c r="O61" i="1"/>
  <c r="P61" i="1" s="1"/>
  <c r="AD60" i="1"/>
  <c r="AA60" i="1"/>
  <c r="AD59" i="1"/>
  <c r="AA59" i="1"/>
  <c r="AD58" i="1"/>
  <c r="AA58" i="1"/>
  <c r="AD57" i="1"/>
  <c r="AA57" i="1"/>
  <c r="AD56" i="1"/>
  <c r="AA56" i="1"/>
  <c r="AD55" i="1"/>
  <c r="P55" i="1"/>
  <c r="AD54" i="1"/>
  <c r="AA54" i="1"/>
  <c r="AD53" i="1"/>
  <c r="AA53" i="1"/>
  <c r="AD52" i="1"/>
  <c r="AA52" i="1"/>
  <c r="AD51" i="1"/>
  <c r="AA51" i="1"/>
  <c r="AD50" i="1"/>
  <c r="AD49" i="1"/>
  <c r="AA49" i="1"/>
  <c r="O49" i="1"/>
  <c r="P49" i="1" s="1"/>
  <c r="AD48" i="1"/>
  <c r="AA48" i="1"/>
  <c r="AD47" i="1"/>
  <c r="AA47" i="1"/>
  <c r="AD46" i="1"/>
  <c r="AA46" i="1"/>
  <c r="AD45" i="1"/>
  <c r="AA45" i="1"/>
  <c r="AD44" i="1"/>
  <c r="AD43" i="1"/>
  <c r="AA43" i="1"/>
  <c r="O43" i="1"/>
  <c r="P43" i="1" s="1"/>
  <c r="AD42" i="1"/>
  <c r="AA42" i="1"/>
  <c r="AD41" i="1"/>
  <c r="AA41" i="1"/>
  <c r="AD40" i="1"/>
  <c r="AA40" i="1"/>
  <c r="AD39" i="1"/>
  <c r="AA39" i="1"/>
  <c r="AD38" i="1"/>
  <c r="AA38" i="1"/>
  <c r="AD37" i="1"/>
  <c r="AA37" i="1"/>
  <c r="O37" i="1"/>
  <c r="AD36" i="1"/>
  <c r="AA36" i="1"/>
  <c r="AD35" i="1"/>
  <c r="AA35" i="1"/>
  <c r="AD34" i="1"/>
  <c r="AA34" i="1"/>
  <c r="AD33" i="1"/>
  <c r="AA33" i="1"/>
  <c r="AD32" i="1"/>
  <c r="AA32" i="1"/>
  <c r="AD31" i="1"/>
  <c r="AA31" i="1"/>
  <c r="O31" i="1"/>
  <c r="P31" i="1" s="1"/>
  <c r="AD30" i="1"/>
  <c r="AA30" i="1"/>
  <c r="AD29" i="1"/>
  <c r="AA29" i="1"/>
  <c r="AD28" i="1"/>
  <c r="AA28" i="1"/>
  <c r="AD27" i="1"/>
  <c r="AA27" i="1"/>
  <c r="AD26" i="1"/>
  <c r="AA26" i="1"/>
  <c r="AD25" i="1"/>
  <c r="AA25" i="1"/>
  <c r="O25" i="1"/>
  <c r="P25" i="1" s="1"/>
  <c r="O19" i="1"/>
  <c r="AD24" i="1"/>
  <c r="AA24" i="1"/>
  <c r="AD23" i="1"/>
  <c r="AA23" i="1"/>
  <c r="AD22" i="1"/>
  <c r="AA22" i="1"/>
  <c r="AD21" i="1"/>
  <c r="AA21" i="1"/>
  <c r="AD20" i="1"/>
  <c r="AD19" i="1"/>
  <c r="AK13" i="33" l="1"/>
  <c r="AM13" i="33" s="1"/>
  <c r="AL14" i="33"/>
  <c r="AK14" i="33" s="1"/>
  <c r="AM14" i="33" s="1"/>
  <c r="P37" i="1"/>
  <c r="AL29" i="1"/>
  <c r="AL40" i="1"/>
  <c r="AL48" i="1"/>
  <c r="AL60" i="1"/>
  <c r="AL71" i="1"/>
  <c r="AL23" i="1"/>
  <c r="AL30" i="1"/>
  <c r="AL41" i="1"/>
  <c r="AL36" i="1"/>
  <c r="AL63" i="1"/>
  <c r="AL64" i="1"/>
  <c r="AL34" i="1"/>
  <c r="AL65" i="1"/>
  <c r="AL28" i="1"/>
  <c r="AL39" i="1"/>
  <c r="AL47" i="1"/>
  <c r="AL59" i="1"/>
  <c r="AL70" i="1"/>
  <c r="AL33" i="1"/>
  <c r="AL53" i="1"/>
  <c r="AK53" i="1" s="1"/>
  <c r="AL72" i="1"/>
  <c r="AL31" i="1"/>
  <c r="AL32" i="1"/>
  <c r="AL22" i="1"/>
  <c r="AL21" i="1"/>
  <c r="AL44" i="1"/>
  <c r="AL43" i="1"/>
  <c r="AL26" i="1"/>
  <c r="AL25" i="1"/>
  <c r="AL57" i="1"/>
  <c r="AL56" i="1"/>
  <c r="AL68" i="1"/>
  <c r="AL67" i="1"/>
  <c r="AL52" i="1"/>
  <c r="AL51" i="1"/>
  <c r="AL24" i="1"/>
  <c r="AL27" i="1"/>
  <c r="AL38" i="1"/>
  <c r="AL37" i="1"/>
  <c r="AL42" i="1"/>
  <c r="AL46" i="1"/>
  <c r="AL45" i="1"/>
  <c r="AL54" i="1"/>
  <c r="AK54" i="1" s="1"/>
  <c r="AL58" i="1"/>
  <c r="AL69" i="1"/>
  <c r="AL35" i="1"/>
  <c r="AL50" i="1"/>
  <c r="AL49" i="1"/>
  <c r="AL62" i="1"/>
  <c r="AL61" i="1"/>
  <c r="AL66" i="1"/>
  <c r="P19" i="1"/>
  <c r="AH19" i="1" s="1"/>
  <c r="AH67" i="1"/>
  <c r="AH61" i="1"/>
  <c r="AH55" i="1"/>
  <c r="AH49" i="1"/>
  <c r="AH53" i="1"/>
  <c r="AH54" i="1"/>
  <c r="AH43" i="1"/>
  <c r="AH37" i="1"/>
  <c r="AH31" i="1"/>
  <c r="AH25" i="1"/>
  <c r="AI67" i="1" l="1"/>
  <c r="AJ67" i="1"/>
  <c r="AH68" i="1" s="1"/>
  <c r="AI68" i="1" s="1"/>
  <c r="AI61" i="1"/>
  <c r="AJ61" i="1"/>
  <c r="AH62" i="1" s="1"/>
  <c r="AJ62" i="1" s="1"/>
  <c r="AH63" i="1" s="1"/>
  <c r="AI55" i="1"/>
  <c r="AJ55" i="1"/>
  <c r="AH56" i="1" s="1"/>
  <c r="AJ56" i="1" s="1"/>
  <c r="AH57" i="1" s="1"/>
  <c r="AI54" i="1"/>
  <c r="AJ54" i="1"/>
  <c r="AI53" i="1"/>
  <c r="AJ53" i="1"/>
  <c r="AI49" i="1"/>
  <c r="AJ49" i="1"/>
  <c r="AI43" i="1"/>
  <c r="AJ43" i="1"/>
  <c r="AH44" i="1" s="1"/>
  <c r="AJ44" i="1" s="1"/>
  <c r="AH45" i="1" s="1"/>
  <c r="AI37" i="1"/>
  <c r="AJ37" i="1"/>
  <c r="AI31" i="1"/>
  <c r="AJ31" i="1"/>
  <c r="AH32" i="1" s="1"/>
  <c r="AJ32" i="1" s="1"/>
  <c r="AH33" i="1" s="1"/>
  <c r="AI33" i="1" s="1"/>
  <c r="AI25" i="1"/>
  <c r="AJ25" i="1"/>
  <c r="AH26" i="1" s="1"/>
  <c r="AI26" i="1" s="1"/>
  <c r="AI19" i="1"/>
  <c r="AJ19" i="1"/>
  <c r="AH20" i="1" s="1"/>
  <c r="AI62" i="1" l="1"/>
  <c r="AI56" i="1"/>
  <c r="AJ26" i="1"/>
  <c r="AH27" i="1" s="1"/>
  <c r="AI27" i="1" s="1"/>
  <c r="AI44" i="1"/>
  <c r="AI32" i="1"/>
  <c r="AI45" i="1"/>
  <c r="AJ45" i="1"/>
  <c r="AJ63" i="1"/>
  <c r="AH64" i="1" s="1"/>
  <c r="AI63" i="1"/>
  <c r="AJ57" i="1"/>
  <c r="AH58" i="1" s="1"/>
  <c r="AI57" i="1"/>
  <c r="AJ68" i="1"/>
  <c r="AH69" i="1" s="1"/>
  <c r="AH38" i="1"/>
  <c r="AH50" i="1"/>
  <c r="AJ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M53" i="1"/>
  <c r="AM54" i="1"/>
  <c r="AI64" i="1" l="1"/>
  <c r="AJ64" i="1"/>
  <c r="AI58" i="1"/>
  <c r="AJ58" i="1"/>
  <c r="AH59" i="1" s="1"/>
  <c r="AJ27" i="1"/>
  <c r="AH28" i="1" s="1"/>
  <c r="AJ28" i="1" s="1"/>
  <c r="AI69" i="1"/>
  <c r="AJ69" i="1"/>
  <c r="AH70" i="1" s="1"/>
  <c r="AI50" i="1"/>
  <c r="AJ50" i="1"/>
  <c r="AH51" i="1" s="1"/>
  <c r="AI51" i="1" s="1"/>
  <c r="AH46" i="1"/>
  <c r="AI38" i="1"/>
  <c r="AJ38" i="1"/>
  <c r="AH39" i="1" s="1"/>
  <c r="AI39" i="1" s="1"/>
  <c r="AH35" i="1"/>
  <c r="AI35" i="1" s="1"/>
  <c r="AH34" i="1"/>
  <c r="AI20" i="1"/>
  <c r="AJ20" i="1"/>
  <c r="AH21" i="1" s="1"/>
  <c r="AI21" i="1" s="1"/>
  <c r="AJ51" i="1" l="1"/>
  <c r="AH52" i="1" s="1"/>
  <c r="AI52" i="1" s="1"/>
  <c r="AJ39" i="1"/>
  <c r="AH40" i="1" s="1"/>
  <c r="AJ40" i="1" s="1"/>
  <c r="AH41" i="1" s="1"/>
  <c r="AI59" i="1"/>
  <c r="AJ59" i="1"/>
  <c r="AH60" i="1" s="1"/>
  <c r="AH65" i="1"/>
  <c r="AH66" i="1"/>
  <c r="AI28" i="1"/>
  <c r="AI46" i="1"/>
  <c r="AJ46" i="1"/>
  <c r="AH47" i="1" s="1"/>
  <c r="AI47" i="1" s="1"/>
  <c r="AH29" i="1"/>
  <c r="AJ70" i="1"/>
  <c r="AI70" i="1"/>
  <c r="AI34" i="1"/>
  <c r="AJ34" i="1"/>
  <c r="AJ35" i="1"/>
  <c r="AH36" i="1" s="1"/>
  <c r="AJ21" i="1"/>
  <c r="AH22" i="1" s="1"/>
  <c r="AI22" i="1" s="1"/>
  <c r="AJ52" i="1" l="1"/>
  <c r="AI40" i="1"/>
  <c r="AI66" i="1"/>
  <c r="AJ66" i="1"/>
  <c r="AI65" i="1"/>
  <c r="AJ65" i="1"/>
  <c r="AI60" i="1"/>
  <c r="AJ60" i="1"/>
  <c r="AH71" i="1"/>
  <c r="AH72" i="1"/>
  <c r="AJ47" i="1"/>
  <c r="AH48" i="1" s="1"/>
  <c r="AI48" i="1" s="1"/>
  <c r="AJ41" i="1"/>
  <c r="AH42" i="1" s="1"/>
  <c r="AI41" i="1"/>
  <c r="AI29" i="1"/>
  <c r="AJ29" i="1"/>
  <c r="AH30" i="1" s="1"/>
  <c r="AI30" i="1" s="1"/>
  <c r="AI36" i="1"/>
  <c r="AJ36" i="1"/>
  <c r="AJ22" i="1"/>
  <c r="AH23" i="1" s="1"/>
  <c r="AJ23" i="1" s="1"/>
  <c r="AH24" i="1" s="1"/>
  <c r="AI72" i="1" l="1"/>
  <c r="AJ72" i="1"/>
  <c r="AI71" i="1"/>
  <c r="AJ71" i="1"/>
  <c r="AI42" i="1"/>
  <c r="AJ42" i="1"/>
  <c r="AJ48" i="1"/>
  <c r="AJ30" i="1"/>
  <c r="AI23" i="1"/>
  <c r="AI24" i="1"/>
  <c r="AJ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K31" i="1" l="1"/>
  <c r="AK67" i="1"/>
  <c r="AK43" i="1"/>
  <c r="AK55" i="1"/>
  <c r="AK19" i="1"/>
  <c r="AK25" i="1"/>
  <c r="AK49" i="1"/>
  <c r="AK37" i="1"/>
  <c r="AK50" i="1" l="1"/>
  <c r="AK56" i="1"/>
  <c r="AK62" i="1"/>
  <c r="AK38" i="1"/>
  <c r="AK44" i="1"/>
  <c r="AK32" i="1"/>
  <c r="AK26" i="1"/>
  <c r="J40" i="19"/>
  <c r="V30" i="19"/>
  <c r="AH20" i="19"/>
  <c r="J30" i="19"/>
  <c r="V20" i="19"/>
  <c r="AH10" i="19"/>
  <c r="P10" i="19"/>
  <c r="AB50" i="19"/>
  <c r="J50" i="19"/>
  <c r="AB40" i="19"/>
  <c r="P30" i="19"/>
  <c r="V50" i="19"/>
  <c r="P50" i="19"/>
  <c r="AB10" i="19"/>
  <c r="AH30" i="19"/>
  <c r="AH40" i="19"/>
  <c r="J10" i="19"/>
  <c r="AB20" i="19"/>
  <c r="AH50" i="19"/>
  <c r="AM37" i="1"/>
  <c r="V10" i="19"/>
  <c r="P20" i="19"/>
  <c r="J20" i="19"/>
  <c r="P40" i="19"/>
  <c r="V40" i="19"/>
  <c r="AB30" i="19"/>
  <c r="J11" i="19"/>
  <c r="V11" i="19"/>
  <c r="AB21" i="19"/>
  <c r="P31" i="19"/>
  <c r="J31" i="19"/>
  <c r="AB41" i="19"/>
  <c r="AM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M67" i="1"/>
  <c r="P25" i="19"/>
  <c r="V55" i="19"/>
  <c r="J15" i="19"/>
  <c r="AB15" i="19"/>
  <c r="J35" i="19"/>
  <c r="AB35" i="19"/>
  <c r="J55" i="19"/>
  <c r="AB25" i="19"/>
  <c r="P35" i="19"/>
  <c r="P55" i="19"/>
  <c r="AB45" i="19"/>
  <c r="P15" i="19"/>
  <c r="J47" i="19"/>
  <c r="V27" i="19"/>
  <c r="AH7" i="19"/>
  <c r="P47" i="19"/>
  <c r="AB27" i="19"/>
  <c r="J17" i="19"/>
  <c r="V47" i="19"/>
  <c r="J37" i="19"/>
  <c r="AM19" i="1"/>
  <c r="AB37" i="19"/>
  <c r="J27" i="19"/>
  <c r="V7" i="19"/>
  <c r="AH37" i="19"/>
  <c r="P27" i="19"/>
  <c r="AB7" i="19"/>
  <c r="P17" i="19"/>
  <c r="V17" i="19"/>
  <c r="AH47" i="19"/>
  <c r="P37" i="19"/>
  <c r="AB17" i="19"/>
  <c r="J7" i="19"/>
  <c r="V37" i="19"/>
  <c r="AH17" i="19"/>
  <c r="P7" i="19"/>
  <c r="AH27" i="19"/>
  <c r="AB47" i="19"/>
  <c r="AM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K61" i="1"/>
  <c r="AM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M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K45" i="1"/>
  <c r="V32" i="19"/>
  <c r="P42" i="19"/>
  <c r="J12" i="19"/>
  <c r="J32" i="19"/>
  <c r="AB52" i="19"/>
  <c r="AM49" i="1"/>
  <c r="J22" i="19"/>
  <c r="V22" i="19"/>
  <c r="J52" i="19"/>
  <c r="AH12" i="19"/>
  <c r="J42" i="19"/>
  <c r="AH42" i="19"/>
  <c r="P32" i="19"/>
  <c r="AB12" i="19"/>
  <c r="AH32" i="19"/>
  <c r="AB32" i="19"/>
  <c r="AB42" i="19"/>
  <c r="V42" i="19"/>
  <c r="V12" i="19"/>
  <c r="V52" i="19"/>
  <c r="AB22" i="19"/>
  <c r="AH52" i="19"/>
  <c r="AH22" i="19"/>
  <c r="P22" i="19"/>
  <c r="P12" i="19"/>
  <c r="P52" i="19"/>
  <c r="AK51" i="1"/>
  <c r="AK20" i="1"/>
  <c r="AK68" i="1" l="1"/>
  <c r="K45" i="19" s="1"/>
  <c r="AK52" i="1"/>
  <c r="S12" i="19" s="1"/>
  <c r="W37" i="19"/>
  <c r="AI7" i="19"/>
  <c r="W17" i="19"/>
  <c r="W27" i="19"/>
  <c r="Q47" i="19"/>
  <c r="W7" i="19"/>
  <c r="AI17" i="19"/>
  <c r="K47" i="19"/>
  <c r="AI47" i="19"/>
  <c r="Q27" i="19"/>
  <c r="AC27" i="19"/>
  <c r="AC47" i="19"/>
  <c r="AC37" i="19"/>
  <c r="AI37" i="19"/>
  <c r="AM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M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M44" i="1"/>
  <c r="P54" i="19"/>
  <c r="AH14" i="19"/>
  <c r="AB14" i="19"/>
  <c r="AH34" i="19"/>
  <c r="AB54" i="19"/>
  <c r="AH54" i="19"/>
  <c r="AM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M51" i="1"/>
  <c r="AD12" i="19"/>
  <c r="AD32" i="19"/>
  <c r="AD22" i="19"/>
  <c r="X52" i="19"/>
  <c r="AD52" i="19"/>
  <c r="L42" i="19"/>
  <c r="R42" i="19"/>
  <c r="AJ21" i="19"/>
  <c r="AD31" i="19"/>
  <c r="R21" i="19"/>
  <c r="AD41" i="19"/>
  <c r="AJ11" i="19"/>
  <c r="AJ51" i="19"/>
  <c r="AM45" i="1"/>
  <c r="L41" i="19"/>
  <c r="AD11" i="19"/>
  <c r="L21" i="19"/>
  <c r="L11" i="19"/>
  <c r="X51" i="19"/>
  <c r="X21" i="19"/>
  <c r="R11" i="19"/>
  <c r="R31" i="19"/>
  <c r="AJ41" i="19"/>
  <c r="L31" i="19"/>
  <c r="R51" i="19"/>
  <c r="X31" i="19"/>
  <c r="X11" i="19"/>
  <c r="X41" i="19"/>
  <c r="AJ31" i="19"/>
  <c r="AD51" i="19"/>
  <c r="R41" i="19"/>
  <c r="AD21" i="19"/>
  <c r="L51" i="19"/>
  <c r="AK21" i="1"/>
  <c r="AK33" i="1"/>
  <c r="AK57" i="1"/>
  <c r="K42" i="19"/>
  <c r="AC32" i="19"/>
  <c r="W42" i="19"/>
  <c r="AI52" i="19"/>
  <c r="K22" i="19"/>
  <c r="Q32" i="19"/>
  <c r="AI12" i="19"/>
  <c r="AC52" i="19"/>
  <c r="Q42" i="19"/>
  <c r="AC42" i="19"/>
  <c r="K12" i="19"/>
  <c r="Q22" i="19"/>
  <c r="W52" i="19"/>
  <c r="AI42" i="19"/>
  <c r="W32" i="19"/>
  <c r="AI22" i="19"/>
  <c r="W12" i="19"/>
  <c r="AI32" i="19"/>
  <c r="AC12" i="19"/>
  <c r="Q12" i="19"/>
  <c r="Q52" i="19"/>
  <c r="AM50" i="1"/>
  <c r="K32" i="19"/>
  <c r="W22" i="19"/>
  <c r="K52" i="19"/>
  <c r="AC22" i="19"/>
  <c r="AC40" i="19"/>
  <c r="W10" i="19"/>
  <c r="AC50" i="19"/>
  <c r="Q10" i="19"/>
  <c r="Q30" i="19"/>
  <c r="W50" i="19"/>
  <c r="K40" i="19"/>
  <c r="Q50" i="19"/>
  <c r="W20" i="19"/>
  <c r="AM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K63" i="1"/>
  <c r="K39" i="19"/>
  <c r="AC39" i="19"/>
  <c r="W29" i="19"/>
  <c r="AI49" i="19"/>
  <c r="W9" i="19"/>
  <c r="AC19" i="19"/>
  <c r="Q49" i="19"/>
  <c r="W49" i="19"/>
  <c r="AC9" i="19"/>
  <c r="AI9" i="19"/>
  <c r="Q29" i="19"/>
  <c r="W39" i="19"/>
  <c r="Q39" i="19"/>
  <c r="AM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M56" i="1"/>
  <c r="Q33" i="19"/>
  <c r="AI23" i="19"/>
  <c r="K53" i="19"/>
  <c r="AC23" i="19"/>
  <c r="AC13" i="19"/>
  <c r="W23" i="19"/>
  <c r="W33" i="19"/>
  <c r="Q13" i="19"/>
  <c r="W13" i="19"/>
  <c r="AI13" i="19"/>
  <c r="Q43" i="19"/>
  <c r="Q23" i="19"/>
  <c r="W53" i="19"/>
  <c r="M22" i="19"/>
  <c r="AK46" i="1"/>
  <c r="AK48" i="1"/>
  <c r="AK47" i="1"/>
  <c r="AK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M26" i="1"/>
  <c r="S22" i="19" l="1"/>
  <c r="Y52" i="19"/>
  <c r="S42" i="19"/>
  <c r="AM52" i="1"/>
  <c r="AE42" i="19"/>
  <c r="AE32" i="19"/>
  <c r="AE22" i="19"/>
  <c r="AK42" i="19"/>
  <c r="AK32" i="19"/>
  <c r="AK52" i="19"/>
  <c r="M12" i="19"/>
  <c r="S52" i="19"/>
  <c r="AK22" i="19"/>
  <c r="AK12" i="19"/>
  <c r="AE52" i="19"/>
  <c r="Y42" i="19"/>
  <c r="Q55" i="19"/>
  <c r="Y22" i="19"/>
  <c r="Y32" i="19"/>
  <c r="AE12" i="19"/>
  <c r="M52" i="19"/>
  <c r="Y12" i="19"/>
  <c r="S32" i="19"/>
  <c r="M32" i="19"/>
  <c r="M42" i="19"/>
  <c r="W45" i="19"/>
  <c r="K25" i="19"/>
  <c r="W55" i="19"/>
  <c r="AI25" i="19"/>
  <c r="AI45" i="19"/>
  <c r="Q25" i="19"/>
  <c r="AM68" i="1"/>
  <c r="AC35" i="19"/>
  <c r="AI15" i="19"/>
  <c r="Q35" i="19"/>
  <c r="W25" i="19"/>
  <c r="AC25" i="19"/>
  <c r="AI55" i="19"/>
  <c r="K15" i="19"/>
  <c r="Q15" i="19"/>
  <c r="K35" i="19"/>
  <c r="W35" i="19"/>
  <c r="W15" i="19"/>
  <c r="AC15" i="19"/>
  <c r="Q45" i="19"/>
  <c r="AC55" i="19"/>
  <c r="K55" i="19"/>
  <c r="AC45" i="19"/>
  <c r="AI35" i="19"/>
  <c r="AK69" i="1"/>
  <c r="AK27" i="1"/>
  <c r="R18" i="19" s="1"/>
  <c r="R40" i="19"/>
  <c r="AD10" i="19"/>
  <c r="X40" i="19"/>
  <c r="AJ10" i="19"/>
  <c r="R50" i="19"/>
  <c r="X10" i="19"/>
  <c r="R30" i="19"/>
  <c r="AM39" i="1"/>
  <c r="L10" i="19"/>
  <c r="L50" i="19"/>
  <c r="AJ20" i="19"/>
  <c r="AJ40" i="19"/>
  <c r="AD30" i="19"/>
  <c r="R20" i="19"/>
  <c r="AD50" i="19"/>
  <c r="AJ30" i="19"/>
  <c r="AJ50" i="19"/>
  <c r="X30" i="19"/>
  <c r="AD20" i="19"/>
  <c r="L40" i="19"/>
  <c r="X50" i="19"/>
  <c r="X20" i="19"/>
  <c r="AD40" i="19"/>
  <c r="R10" i="19"/>
  <c r="L30" i="19"/>
  <c r="L20" i="19"/>
  <c r="AK58" i="1"/>
  <c r="AK72" i="1"/>
  <c r="AD47" i="19"/>
  <c r="AJ27" i="19"/>
  <c r="AD27" i="19"/>
  <c r="AJ7" i="19"/>
  <c r="AJ37" i="19"/>
  <c r="L27" i="19"/>
  <c r="AD17" i="19"/>
  <c r="L37" i="19"/>
  <c r="R17" i="19"/>
  <c r="AJ17" i="19"/>
  <c r="X7" i="19"/>
  <c r="X47" i="19"/>
  <c r="L7" i="19"/>
  <c r="L17" i="19"/>
  <c r="R27" i="19"/>
  <c r="X27" i="19"/>
  <c r="R7" i="19"/>
  <c r="X17" i="19"/>
  <c r="AJ47" i="19"/>
  <c r="L47" i="19"/>
  <c r="R37" i="19"/>
  <c r="AD7" i="19"/>
  <c r="X37" i="19"/>
  <c r="AM21" i="1"/>
  <c r="R47" i="19"/>
  <c r="AD37" i="19"/>
  <c r="AK29" i="1"/>
  <c r="AK28" i="1"/>
  <c r="AK30" i="1"/>
  <c r="AJ43" i="19"/>
  <c r="AD33" i="19"/>
  <c r="X33" i="19"/>
  <c r="X13" i="19"/>
  <c r="AD43" i="19"/>
  <c r="L43" i="19"/>
  <c r="AM57" i="1"/>
  <c r="X23" i="19"/>
  <c r="R33" i="19"/>
  <c r="R43" i="19"/>
  <c r="AD53" i="19"/>
  <c r="AJ13" i="19"/>
  <c r="R23" i="19"/>
  <c r="R13" i="19"/>
  <c r="AJ53" i="19"/>
  <c r="L33" i="19"/>
  <c r="L23" i="19"/>
  <c r="X43" i="19"/>
  <c r="X53" i="19"/>
  <c r="AD13" i="19"/>
  <c r="L53" i="19"/>
  <c r="L13" i="19"/>
  <c r="AD23" i="19"/>
  <c r="AJ33" i="19"/>
  <c r="AJ23" i="19"/>
  <c r="R53" i="19"/>
  <c r="AK22" i="1"/>
  <c r="Z11" i="19"/>
  <c r="AF31" i="19"/>
  <c r="T51" i="19"/>
  <c r="N51" i="19"/>
  <c r="Z41" i="19"/>
  <c r="AF21" i="19"/>
  <c r="AL31" i="19"/>
  <c r="T31" i="19"/>
  <c r="Z31" i="19"/>
  <c r="N21" i="19"/>
  <c r="N31" i="19"/>
  <c r="AL11" i="19"/>
  <c r="T11" i="19"/>
  <c r="AF11" i="19"/>
  <c r="AL41" i="19"/>
  <c r="T21" i="19"/>
  <c r="Z21" i="19"/>
  <c r="AL51" i="19"/>
  <c r="N11" i="19"/>
  <c r="AF51" i="19"/>
  <c r="N41" i="19"/>
  <c r="Z51" i="19"/>
  <c r="AM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M48" i="1"/>
  <c r="AG11" i="19"/>
  <c r="AM41" i="19"/>
  <c r="AA21" i="19"/>
  <c r="AA51" i="19"/>
  <c r="U51" i="19"/>
  <c r="U31" i="19"/>
  <c r="AA11" i="19"/>
  <c r="AG21" i="19"/>
  <c r="O31" i="19"/>
  <c r="AK64" i="1"/>
  <c r="AK34" i="1"/>
  <c r="AK35" i="1"/>
  <c r="AK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K40" i="1"/>
  <c r="AE11" i="19"/>
  <c r="Y41" i="19"/>
  <c r="M41" i="19"/>
  <c r="Y21" i="19"/>
  <c r="AK41" i="19"/>
  <c r="S31" i="19"/>
  <c r="M31" i="19"/>
  <c r="M51" i="19"/>
  <c r="Y51" i="19"/>
  <c r="AK21" i="19"/>
  <c r="AK31" i="19"/>
  <c r="Y11" i="19"/>
  <c r="AE41" i="19"/>
  <c r="AE21" i="19"/>
  <c r="S51" i="19"/>
  <c r="AE51" i="19"/>
  <c r="AK51" i="19"/>
  <c r="M21" i="19"/>
  <c r="AE31" i="19"/>
  <c r="AM46" i="1"/>
  <c r="S41" i="19"/>
  <c r="AK11" i="19"/>
  <c r="S11" i="19"/>
  <c r="Y31" i="19"/>
  <c r="S21" i="19"/>
  <c r="M11" i="19"/>
  <c r="L54" i="19"/>
  <c r="AJ14" i="19"/>
  <c r="AD44" i="19"/>
  <c r="X54" i="19"/>
  <c r="R14" i="19"/>
  <c r="AD24" i="19"/>
  <c r="AD34" i="19"/>
  <c r="R54" i="19"/>
  <c r="L34" i="19"/>
  <c r="AJ34" i="19"/>
  <c r="X24" i="19"/>
  <c r="AJ24" i="19"/>
  <c r="X44" i="19"/>
  <c r="R24" i="19"/>
  <c r="AM63" i="1"/>
  <c r="X34" i="19"/>
  <c r="L14" i="19"/>
  <c r="AD14" i="19"/>
  <c r="L44" i="19"/>
  <c r="R44" i="19"/>
  <c r="AD54" i="19"/>
  <c r="X14" i="19"/>
  <c r="AJ44" i="19"/>
  <c r="R34" i="19"/>
  <c r="AJ54" i="19"/>
  <c r="L24" i="19"/>
  <c r="AD29" i="19"/>
  <c r="AD19" i="19"/>
  <c r="R39" i="19"/>
  <c r="R9" i="19"/>
  <c r="X49" i="19"/>
  <c r="X9" i="19"/>
  <c r="AD39" i="19"/>
  <c r="R29" i="19"/>
  <c r="L49" i="19"/>
  <c r="X19" i="19"/>
  <c r="X29" i="19"/>
  <c r="X39" i="19"/>
  <c r="L9" i="19"/>
  <c r="AM33" i="1"/>
  <c r="AD9" i="19"/>
  <c r="AJ49" i="19"/>
  <c r="L39" i="19"/>
  <c r="R19" i="19"/>
  <c r="AJ39" i="19"/>
  <c r="AJ29" i="19"/>
  <c r="AJ19" i="19"/>
  <c r="AJ9" i="19"/>
  <c r="AD49" i="19"/>
  <c r="L19" i="19"/>
  <c r="L29" i="19"/>
  <c r="R49" i="19"/>
  <c r="R15" i="19" l="1"/>
  <c r="R55" i="19"/>
  <c r="AD25" i="19"/>
  <c r="L55" i="19"/>
  <c r="AJ35" i="19"/>
  <c r="X55" i="19"/>
  <c r="X35" i="19"/>
  <c r="AM69" i="1"/>
  <c r="AD15" i="19"/>
  <c r="X25" i="19"/>
  <c r="X45" i="19"/>
  <c r="L35" i="19"/>
  <c r="R35" i="19"/>
  <c r="AJ15" i="19"/>
  <c r="L15" i="19"/>
  <c r="AJ25" i="19"/>
  <c r="AJ55" i="19"/>
  <c r="L45" i="19"/>
  <c r="AD35" i="19"/>
  <c r="R25" i="19"/>
  <c r="AD45" i="19"/>
  <c r="R45" i="19"/>
  <c r="AD55" i="19"/>
  <c r="X15" i="19"/>
  <c r="L25" i="19"/>
  <c r="AJ45" i="19"/>
  <c r="AK71" i="1"/>
  <c r="Z35" i="19" s="1"/>
  <c r="AK70" i="1"/>
  <c r="AJ48" i="19"/>
  <c r="L18" i="19"/>
  <c r="AD8" i="19"/>
  <c r="AJ8" i="19"/>
  <c r="AJ28" i="19"/>
  <c r="R48" i="19"/>
  <c r="X48" i="19"/>
  <c r="L8" i="19"/>
  <c r="AD28" i="19"/>
  <c r="X38" i="19"/>
  <c r="AM27" i="1"/>
  <c r="X8" i="19"/>
  <c r="L48" i="19"/>
  <c r="AD48" i="19"/>
  <c r="AD38" i="19"/>
  <c r="X18" i="19"/>
  <c r="R38" i="19"/>
  <c r="R8" i="19"/>
  <c r="L38" i="19"/>
  <c r="R28" i="19"/>
  <c r="AJ38" i="19"/>
  <c r="AD18" i="19"/>
  <c r="L28" i="19"/>
  <c r="AJ18" i="19"/>
  <c r="X28" i="19"/>
  <c r="AK41" i="1"/>
  <c r="AK42" i="1"/>
  <c r="AG39" i="19"/>
  <c r="AG29" i="19"/>
  <c r="AM19" i="19"/>
  <c r="O39" i="19"/>
  <c r="AM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M64" i="1"/>
  <c r="AE24" i="19"/>
  <c r="S14" i="19"/>
  <c r="AK17" i="19"/>
  <c r="S27" i="19"/>
  <c r="S37" i="19"/>
  <c r="AE27" i="19"/>
  <c r="Y47" i="19"/>
  <c r="S7" i="19"/>
  <c r="M17" i="19"/>
  <c r="AE17" i="19"/>
  <c r="AK27" i="19"/>
  <c r="Y7" i="19"/>
  <c r="Y37" i="19"/>
  <c r="AE37" i="19"/>
  <c r="Y27" i="19"/>
  <c r="M47" i="19"/>
  <c r="AM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M28" i="1"/>
  <c r="AE28" i="19"/>
  <c r="AA55" i="19"/>
  <c r="O45" i="19"/>
  <c r="AA15" i="19"/>
  <c r="AM55" i="19"/>
  <c r="O55" i="19"/>
  <c r="AG35" i="19"/>
  <c r="AM25" i="19"/>
  <c r="AM35" i="19"/>
  <c r="AA25" i="19"/>
  <c r="AM45" i="19"/>
  <c r="AG25" i="19"/>
  <c r="AA35" i="19"/>
  <c r="O25" i="19"/>
  <c r="U25" i="19"/>
  <c r="AG45" i="19"/>
  <c r="U35" i="19"/>
  <c r="AA45" i="19"/>
  <c r="AM15" i="19"/>
  <c r="U45" i="19"/>
  <c r="O35" i="19"/>
  <c r="O15" i="19"/>
  <c r="AM72" i="1"/>
  <c r="AG15" i="19"/>
  <c r="U15" i="19"/>
  <c r="AG55" i="19"/>
  <c r="U55" i="19"/>
  <c r="AE40" i="19"/>
  <c r="Y30" i="19"/>
  <c r="M20" i="19"/>
  <c r="AM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M35" i="1"/>
  <c r="T19" i="19"/>
  <c r="AL49" i="19"/>
  <c r="T29" i="19"/>
  <c r="AF29" i="19"/>
  <c r="T18" i="19"/>
  <c r="N48" i="19"/>
  <c r="N8" i="19"/>
  <c r="T28" i="19"/>
  <c r="AF38" i="19"/>
  <c r="Z28" i="19"/>
  <c r="Z18" i="19"/>
  <c r="AF8" i="19"/>
  <c r="AM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M34" i="1"/>
  <c r="M9" i="19"/>
  <c r="Y29" i="19"/>
  <c r="AK59" i="1"/>
  <c r="AK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K65" i="1"/>
  <c r="AK66" i="1"/>
  <c r="AK24" i="1"/>
  <c r="AK23" i="1"/>
  <c r="O8" i="19"/>
  <c r="AA48" i="19"/>
  <c r="AM38" i="19"/>
  <c r="U48" i="19"/>
  <c r="AA18" i="19"/>
  <c r="AG18" i="19"/>
  <c r="AG48" i="19"/>
  <c r="AM18" i="19"/>
  <c r="AA28" i="19"/>
  <c r="AG28" i="19"/>
  <c r="AA8" i="19"/>
  <c r="U18" i="19"/>
  <c r="AG38" i="19"/>
  <c r="U38" i="19"/>
  <c r="AM8" i="19"/>
  <c r="AA38" i="19"/>
  <c r="AM48" i="19"/>
  <c r="U28" i="19"/>
  <c r="O38" i="19"/>
  <c r="U8" i="19"/>
  <c r="AG8" i="19"/>
  <c r="AM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M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M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M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M66" i="1"/>
  <c r="AA14" i="19"/>
  <c r="O54" i="19"/>
  <c r="U44" i="19"/>
  <c r="U43" i="19"/>
  <c r="U13" i="19"/>
  <c r="AM53" i="19"/>
  <c r="AA53" i="19"/>
  <c r="AA43" i="19"/>
  <c r="O53" i="19"/>
  <c r="O23" i="19"/>
  <c r="O13" i="19"/>
  <c r="AG43" i="19"/>
  <c r="U33" i="19"/>
  <c r="U23" i="19"/>
  <c r="AM13" i="19"/>
  <c r="AM23" i="19"/>
  <c r="AG13" i="19"/>
  <c r="AA23" i="19"/>
  <c r="AG33" i="19"/>
  <c r="AA33" i="19"/>
  <c r="AM33" i="19"/>
  <c r="AA13" i="19"/>
  <c r="AM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M65" i="1"/>
  <c r="AF53" i="19"/>
  <c r="T43" i="19"/>
  <c r="Z53" i="19"/>
  <c r="N43" i="19"/>
  <c r="T23" i="19"/>
  <c r="AF43" i="19"/>
  <c r="Z13" i="19"/>
  <c r="Z43" i="19"/>
  <c r="AF23" i="19"/>
  <c r="AL13" i="19"/>
  <c r="Z23" i="19"/>
  <c r="AL43" i="19"/>
  <c r="AF13" i="19"/>
  <c r="AL23" i="19"/>
  <c r="N13" i="19"/>
  <c r="T33" i="19"/>
  <c r="AL53" i="19"/>
  <c r="N23" i="19"/>
  <c r="N53" i="19"/>
  <c r="AF33" i="19"/>
  <c r="N33" i="19"/>
  <c r="AM59" i="1"/>
  <c r="T53" i="19"/>
  <c r="AL33" i="19"/>
  <c r="T13" i="19"/>
  <c r="Z33" i="19"/>
  <c r="Z47" i="19"/>
  <c r="T7" i="19"/>
  <c r="AL37" i="19"/>
  <c r="T17" i="19"/>
  <c r="Z17" i="19"/>
  <c r="AF7" i="19"/>
  <c r="AF37" i="19"/>
  <c r="N17" i="19"/>
  <c r="AF27" i="19"/>
  <c r="AM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M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M24" i="1"/>
  <c r="AA17" i="19"/>
  <c r="O7" i="19"/>
  <c r="AA37" i="19"/>
  <c r="AA27" i="19"/>
  <c r="AM27" i="19"/>
  <c r="U17" i="19"/>
  <c r="U47" i="19"/>
  <c r="AG17" i="19"/>
  <c r="O47" i="19"/>
  <c r="Z40" i="19"/>
  <c r="AM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C760E6CC-5073-45C0-86F0-D5479718EA09}">
      <text>
        <r>
          <rPr>
            <sz val="11"/>
            <color rgb="FF000000"/>
            <rFont val="Calibri"/>
            <family val="2"/>
            <charset val="1"/>
          </rPr>
          <t>¿CÓMO? 
Causa Inmediata
(Ver tabla de Clasificación de riesgos)</t>
        </r>
      </text>
    </comment>
    <comment ref="D11" authorId="0" shapeId="0" xr:uid="{B8D95065-3EF1-4AB6-B519-6F404C8E2860}">
      <text>
        <r>
          <rPr>
            <sz val="11"/>
            <color rgb="FF000000"/>
            <rFont val="Calibri"/>
            <family val="2"/>
            <charset val="1"/>
          </rPr>
          <t>¿</t>
        </r>
        <r>
          <rPr>
            <sz val="13"/>
            <color rgb="FF000000"/>
            <rFont val="Calibri"/>
            <family val="2"/>
            <charset val="1"/>
          </rPr>
          <t xml:space="preserve">PORQUÉ?Vulnerabilidad </t>
        </r>
        <r>
          <rPr>
            <sz val="12"/>
            <rFont val="Arial"/>
            <family val="2"/>
            <charset val="1"/>
          </rPr>
          <t>del activo evaluado en crítico</t>
        </r>
      </text>
    </comment>
    <comment ref="E11" authorId="0" shapeId="0" xr:uid="{FEE1237D-227F-49B0-BCB8-99B83954A0CA}">
      <text>
        <r>
          <rPr>
            <sz val="11"/>
            <color rgb="FF000000"/>
            <rFont val="Calibri"/>
            <family val="2"/>
            <charset val="1"/>
          </rPr>
          <t>Actividad clave del proceso o procedimiento o fase del proyecto</t>
        </r>
      </text>
    </comment>
    <comment ref="K11" authorId="0" shapeId="0" xr:uid="{6B371FBD-9543-4ED0-8063-52EF1B699BEF}">
      <text>
        <r>
          <rPr>
            <sz val="11"/>
            <color rgb="FF000000"/>
            <rFont val="Calibri"/>
            <family val="2"/>
            <charset val="1"/>
          </rPr>
          <t>Activo evaluado en crítico</t>
        </r>
      </text>
    </comment>
    <comment ref="L11" authorId="0" shapeId="0" xr:uid="{F787D807-9381-4EAA-9CE8-CC2082D3EFBA}">
      <text>
        <r>
          <rPr>
            <sz val="11"/>
            <color rgb="FF000000"/>
            <rFont val="Calibri"/>
            <family val="2"/>
            <charset val="1"/>
          </rPr>
          <t>Ver Tabla Amenazas</t>
        </r>
      </text>
    </comment>
    <comment ref="M11" authorId="0" shapeId="0" xr:uid="{10EAA666-A272-45E5-B7EB-E8B7C31482EC}">
      <text>
        <r>
          <rPr>
            <sz val="11"/>
            <color rgb="FF000000"/>
            <rFont val="Calibri"/>
            <family val="2"/>
            <charset val="1"/>
          </rPr>
          <t>La p´robaiulidad y el impacto se determinan con base a la amenaza, no en las vulnerabilidades.</t>
        </r>
      </text>
    </comment>
    <comment ref="N11" authorId="0" shapeId="0" xr:uid="{E3D22F7D-FFC8-4BA3-9EC4-F452EDD0E4A7}">
      <text>
        <r>
          <rPr>
            <sz val="11"/>
            <color rgb="FF000000"/>
            <rFont val="Calibri"/>
            <family val="2"/>
            <charset val="1"/>
          </rPr>
          <t>No. veces que realiza la actividad al año (Ver Tabla de probabilidad)</t>
        </r>
      </text>
    </comment>
  </commentList>
</comments>
</file>

<file path=xl/sharedStrings.xml><?xml version="1.0" encoding="utf-8"?>
<sst xmlns="http://schemas.openxmlformats.org/spreadsheetml/2006/main" count="1343" uniqueCount="773">
  <si>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</si>
  <si>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</si>
  <si>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</si>
  <si>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</si>
  <si>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</si>
  <si>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</si>
  <si>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</si>
  <si>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</si>
  <si>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o proyecto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</si>
  <si>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</si>
  <si>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</si>
  <si>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</si>
  <si>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</si>
  <si>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</si>
  <si>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</si>
  <si>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</si>
  <si>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</si>
  <si>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</si>
  <si>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</si>
  <si>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</si>
  <si>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</si>
  <si>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</si>
  <si>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</si>
  <si>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</si>
  <si>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</si>
  <si>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</si>
  <si>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</si>
  <si>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</si>
  <si>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</si>
  <si>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</si>
  <si>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</si>
  <si>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</si>
  <si>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</si>
  <si>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</si>
  <si>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</si>
  <si>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</si>
  <si>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</si>
  <si>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</si>
  <si>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</si>
  <si>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</si>
  <si>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</si>
  <si>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</si>
  <si>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</si>
  <si>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</si>
  <si>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</si>
  <si>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</si>
  <si>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</si>
  <si>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</si>
  <si>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</si>
  <si>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</si>
  <si>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</si>
  <si>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</si>
  <si>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</si>
  <si>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 xml:space="preserve">Control de cambios </t>
  </si>
  <si>
    <t>Versión inicial</t>
  </si>
  <si>
    <t>tipo de riesgos</t>
  </si>
  <si>
    <t>Fecha de cambio</t>
  </si>
  <si>
    <t>Aspecto(s) que cambiaron</t>
  </si>
  <si>
    <t>Descripción de los cambios efectuados</t>
  </si>
  <si>
    <t>na</t>
  </si>
  <si>
    <t>gestión</t>
  </si>
  <si>
    <t>interno</t>
  </si>
  <si>
    <t>se incorporo una nueva por el covid 2+</t>
  </si>
  <si>
    <t xml:space="preserve">DIRECCIONAMIENTO ESTRATÉGICO </t>
  </si>
  <si>
    <t>COMUNICACIONES ESTRATÉGICAS</t>
  </si>
  <si>
    <t>SERVICIO A LA CIUDADANÍA Y RELACIONAMIENTO CON PARTES INTERESADAS</t>
  </si>
  <si>
    <t>ESTRATEGIA Y GOBIERNO DE TI</t>
  </si>
  <si>
    <t xml:space="preserve">PLANIFICACIÓN DE LA CONSERVACIÓN DE LA INFRAESTRUCTURA </t>
  </si>
  <si>
    <t>GESTIÓN DE LABORATORIO</t>
  </si>
  <si>
    <t>PRODUCCIÓN DE MEZCLA</t>
  </si>
  <si>
    <t>LOGÍSTICA Y MANEJO DE LA MAQUINARIA Y EQUIPO</t>
  </si>
  <si>
    <t xml:space="preserve">INTERVENCIÓN DE LA INFRAESTRUCTURA </t>
  </si>
  <si>
    <t>DESARROLLO MISIONAL Y COMERCIALIZACIÓN</t>
  </si>
  <si>
    <t>GESTIÓN JURÍDICA</t>
  </si>
  <si>
    <t>GESTIÓN CONTRACTUAL</t>
  </si>
  <si>
    <t>GESTIÓN FINANCIERA</t>
  </si>
  <si>
    <t>GESTIÓN DOCUMENTAL</t>
  </si>
  <si>
    <t xml:space="preserve">GESTIÓN DE RECURSOS FÍSICOS </t>
  </si>
  <si>
    <t>GESTIÓN DE TALENTO HUMANO</t>
  </si>
  <si>
    <t>GESTIÓN AMBIENTAL</t>
  </si>
  <si>
    <t>CONTROL DISCIPLINARIO INTERNO</t>
  </si>
  <si>
    <t>CONTROL Y  EVALUACIÓN INSTITUCIONAL</t>
  </si>
  <si>
    <t>SEGUIMIENTO Y MONITOREO DE CALIDAD TÉCNICA</t>
  </si>
  <si>
    <r>
      <rPr>
        <b/>
        <sz val="11"/>
        <color theme="1"/>
        <rFont val="Calibri"/>
        <family val="2"/>
        <scheme val="minor"/>
      </rPr>
      <t>8081</t>
    </r>
    <r>
      <rPr>
        <sz val="11"/>
        <color theme="1"/>
        <rFont val="Calibri"/>
        <family val="2"/>
        <scheme val="minor"/>
      </rPr>
      <t xml:space="preserve"> Conservación de la red vial y red de Ciclo infraestructura de Bogotá D.C</t>
    </r>
  </si>
  <si>
    <r>
      <rPr>
        <b/>
        <sz val="11"/>
        <color theme="1"/>
        <rFont val="Calibri"/>
        <family val="2"/>
        <scheme val="minor"/>
      </rPr>
      <t>8055</t>
    </r>
    <r>
      <rPr>
        <sz val="11"/>
        <color theme="1"/>
        <rFont val="Calibri"/>
        <family val="2"/>
        <scheme val="minor"/>
      </rPr>
      <t xml:space="preserve"> Conservación de la red de infraestructura peatonal en Bogotá D.C</t>
    </r>
  </si>
  <si>
    <r>
      <rPr>
        <b/>
        <sz val="11"/>
        <color theme="1"/>
        <rFont val="Calibri"/>
        <family val="2"/>
        <scheme val="minor"/>
      </rPr>
      <t>8095</t>
    </r>
    <r>
      <rPr>
        <sz val="11"/>
        <color theme="1"/>
        <rFont val="Calibri"/>
        <family val="2"/>
        <scheme val="minor"/>
      </rPr>
      <t xml:space="preserve"> Fortalecimiento de la gestión institucional de la UAERMV de Bogotá D.C</t>
    </r>
  </si>
  <si>
    <r>
      <rPr>
        <b/>
        <sz val="11"/>
        <color theme="1"/>
        <rFont val="Calibri"/>
        <family val="2"/>
        <scheme val="minor"/>
      </rPr>
      <t>8089</t>
    </r>
    <r>
      <rPr>
        <sz val="11"/>
        <color theme="1"/>
        <rFont val="Calibri"/>
        <family val="2"/>
        <scheme val="minor"/>
      </rPr>
      <t xml:space="preserve"> Fortalecimiento de los Componentes tecnológicos para garantizar la demanda en la operación de la UAERMV de Bogotá D.C</t>
    </r>
  </si>
  <si>
    <r>
      <rPr>
        <b/>
        <sz val="11"/>
        <color theme="1"/>
        <rFont val="Calibri"/>
        <family val="2"/>
        <scheme val="minor"/>
      </rPr>
      <t>8208</t>
    </r>
    <r>
      <rPr>
        <sz val="11"/>
        <color theme="1"/>
        <rFont val="Calibri"/>
        <family val="2"/>
        <scheme val="minor"/>
      </rPr>
      <t xml:space="preserve"> Proyecto Fortalecimiento de la atención y participación ciudadana con enfoques de género, diferencial y territorial en Bogotá D.C.</t>
    </r>
  </si>
  <si>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</si>
  <si>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</si>
  <si>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</si>
  <si>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</si>
  <si>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</si>
  <si>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</si>
  <si>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</si>
  <si>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</si>
  <si>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</si>
  <si>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</si>
  <si>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</si>
  <si>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</si>
  <si>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</si>
  <si>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</si>
  <si>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</si>
  <si>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</si>
  <si>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</si>
  <si>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</si>
  <si>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</si>
  <si>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</si>
  <si>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</si>
  <si>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</si>
  <si>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</si>
  <si>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</si>
  <si>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</si>
  <si>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</si>
  <si>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</si>
  <si>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Posibilidad de recibir o solicitar cualquier dádiva o beneficio</t>
  </si>
  <si>
    <t>Posibilidad de omitir</t>
  </si>
  <si>
    <t>Proyecto de inversión</t>
  </si>
  <si>
    <t>Aceptar</t>
  </si>
  <si>
    <t>Posibilidad de afectación económica</t>
  </si>
  <si>
    <t>Verifica</t>
  </si>
  <si>
    <t>8055 Conservación de la red de infraestructura peatonal en Bogotá D.C.</t>
  </si>
  <si>
    <t>Evitar</t>
  </si>
  <si>
    <t>Posibilidad de afectación reputacional</t>
  </si>
  <si>
    <t>Valida</t>
  </si>
  <si>
    <t>8081 Conservación de la red vial y red de cicloinfraestructura de Bogotá D.C.</t>
  </si>
  <si>
    <t>Reducir (mitigar)</t>
  </si>
  <si>
    <t>Posibilidad de afectación Económica y Reputacional</t>
  </si>
  <si>
    <t>Coteja</t>
  </si>
  <si>
    <t>8095 Fortalecimiento de la gestión institucional de la UAERMV de Bogotá D.C.</t>
  </si>
  <si>
    <t>Reducir (compartir)</t>
  </si>
  <si>
    <t>Posibilidad de efecto dañosos sobre bienes</t>
  </si>
  <si>
    <t>Compara</t>
  </si>
  <si>
    <t>8089 Fortalecimiento de los Componentes tecnológicos para garantizar la demanda</t>
  </si>
  <si>
    <t>Posibilidad de efecto dañosos sobre recursos</t>
  </si>
  <si>
    <t>Revisa</t>
  </si>
  <si>
    <t>8208 Fortalecimiento de la atención y participación ciudadana con enfoques</t>
  </si>
  <si>
    <t>Posibilidad de efecto dañosos sobre interes a patrimonio</t>
  </si>
  <si>
    <t>NA</t>
  </si>
  <si>
    <t xml:space="preserve">Riesgo estrategico </t>
  </si>
  <si>
    <t>Objetivo Intitucional asociado</t>
  </si>
  <si>
    <t>Plan de accion (solo para la opción reducir)</t>
  </si>
  <si>
    <t>Si</t>
  </si>
  <si>
    <t>1. PDD Ejecutar las obras de conservación correspondientes a la red de infraestructura peatonal, con las que se espera contribuir a la generación de un espacio público seguro e inclusivo.</t>
  </si>
  <si>
    <t>Finalizado</t>
  </si>
  <si>
    <t>No</t>
  </si>
  <si>
    <t>2. PDD Intervenir puntos críticos y ejecutar obras de conservación de la red vial, vial rural y cicloinfraestructura, para el logro de una movilidad sostenible.</t>
  </si>
  <si>
    <t>En curso</t>
  </si>
  <si>
    <t xml:space="preserve">3. PDD Desarrollar estrategias de mejora y sostenibilidad del Modelo Integrado De Planeación y Gestión – MIPG y el Fortalecimiento de los Componentes tecnológicos para garantizar la demanda en la operación de la UMV </t>
  </si>
  <si>
    <t>Ejecucion y Administracion de procesos</t>
  </si>
  <si>
    <t>4. PDD Fortalecer los mecanismos de participación y diálogo con la ciudadanía, generando un ambiente de confianza institucional a través de la adopción de buenas prácticas de gobierno abierto.</t>
  </si>
  <si>
    <t xml:space="preserve">Gestión </t>
  </si>
  <si>
    <r>
      <t>Ejecución y administración de procesos</t>
    </r>
    <r>
      <rPr>
        <sz val="9"/>
        <color rgb="FF548DD4"/>
        <rFont val="Arial"/>
        <family val="2"/>
      </rPr>
      <t> </t>
    </r>
  </si>
  <si>
    <t>Relaciones Laborales</t>
  </si>
  <si>
    <t>1. Contar con un centro de monitoreo y control que permita la planeación, alistamiento y ejecución de las obras con el fin de tomar decisiones informadas en tiempo real, que facilite la coordinación interinstitucional e interoperabilidad.</t>
  </si>
  <si>
    <r>
      <t>Fallas tecnológicas</t>
    </r>
    <r>
      <rPr>
        <sz val="9"/>
        <color rgb="FF548DD4"/>
        <rFont val="Arial"/>
        <family val="2"/>
      </rPr>
      <t> </t>
    </r>
  </si>
  <si>
    <t>2. Fortalecer la capacidad operativa, logística y productiva a través la adquisición y renovación de la maquinaria, vehículos y equipos, disminuyendo la emisión de gases efecto invernadero y costos de operación.</t>
  </si>
  <si>
    <r>
      <t>Relaciones laborales</t>
    </r>
    <r>
      <rPr>
        <sz val="9"/>
        <color rgb="FF548DD4"/>
        <rFont val="Arial"/>
        <family val="2"/>
      </rPr>
      <t> </t>
    </r>
  </si>
  <si>
    <t>3. Fortalecer técnica y organizacionalmente a la Unidad a partir del impulso a la investigación, el desarrollo de productos y servicios, la modernización tecnológica y la innovación en materiales y métodos, su laboratorio para el control de calidad y su capacidad para ejecutar obras.</t>
  </si>
  <si>
    <r>
      <t>Usuarios, productos y prácticas</t>
    </r>
    <r>
      <rPr>
        <sz val="9"/>
        <color rgb="FF548DD4"/>
        <rFont val="Arial"/>
        <family val="2"/>
      </rPr>
      <t> </t>
    </r>
  </si>
  <si>
    <t>4. Incrementar la credibilidad, la reputación, la confianza, la legitimidad y el buen nombre de la Unidad a través de mecanismos de cumplimiento regulatorio de gestión de la integridad y la mitigación de los riesgos.</t>
  </si>
  <si>
    <r>
      <t>Daños a activos fijos/ eventos externos</t>
    </r>
    <r>
      <rPr>
        <sz val="9"/>
        <color rgb="FF548DD4"/>
        <rFont val="Arial"/>
        <family val="2"/>
      </rPr>
      <t> </t>
    </r>
  </si>
  <si>
    <t>5. Adecuar la infraestructura que facilite la conectividad multimodal en el espacio público de manera articulada con otras entidades.</t>
  </si>
  <si>
    <r>
      <t>Fiscal</t>
    </r>
    <r>
      <rPr>
        <sz val="9"/>
        <rFont val="Arial"/>
        <family val="2"/>
      </rPr>
      <t> </t>
    </r>
  </si>
  <si>
    <t>6. Generar una propuesta de política pública en el Distrito para la conservación de la infraestructura para la movilidad.</t>
  </si>
  <si>
    <t>Corrupción</t>
  </si>
  <si>
    <t>Fraude Externo</t>
  </si>
  <si>
    <t>Fraude Interno</t>
  </si>
  <si>
    <t>Soborno</t>
  </si>
  <si>
    <t>seguridad</t>
  </si>
  <si>
    <t xml:space="preserve">Por Pérdida de la integridad </t>
  </si>
  <si>
    <t xml:space="preserve">Por Pérdida de la confidencialidad </t>
  </si>
  <si>
    <t xml:space="preserve">Por Pérdida de la disponibilidad </t>
  </si>
  <si>
    <t>LA/FT</t>
  </si>
  <si>
    <t>Riesgo reputacional</t>
  </si>
  <si>
    <t>Riesgo legal</t>
  </si>
  <si>
    <t>Riesgo operativo</t>
  </si>
  <si>
    <t>Riesgo de contagio</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</si>
  <si>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</si>
  <si>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</si>
  <si>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</si>
  <si>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</si>
  <si>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</si>
  <si>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</si>
  <si>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</si>
  <si>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</si>
  <si>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</si>
  <si>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</si>
  <si>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</si>
  <si>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</si>
  <si>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</si>
  <si>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</si>
  <si>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</si>
  <si>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</si>
  <si>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</si>
  <si>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</si>
  <si>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</si>
  <si>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</si>
  <si>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</si>
  <si>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</si>
  <si>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</si>
  <si>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</si>
  <si>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</si>
  <si>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</si>
  <si>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</si>
  <si>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</si>
  <si>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</si>
  <si>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</si>
  <si>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</si>
  <si>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</si>
  <si>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</si>
  <si>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</si>
  <si>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</si>
  <si>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</si>
  <si>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</si>
  <si>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</si>
  <si>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</si>
  <si>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</si>
  <si>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</si>
  <si>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</si>
  <si>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</si>
  <si>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</si>
  <si>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</si>
  <si>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</si>
  <si>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</si>
  <si>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</si>
  <si>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</si>
  <si>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</si>
  <si>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</si>
  <si>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</si>
  <si>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Numeral ISO/IEC 27002:2022</t>
  </si>
  <si>
    <t>Incumplimiento en la disponibilidad del personal </t>
  </si>
  <si>
    <t>Sin definir</t>
  </si>
  <si>
    <t>5.1</t>
  </si>
  <si>
    <t>Políticas para la seguridad de la información.</t>
  </si>
  <si>
    <t>5.2</t>
  </si>
  <si>
    <t>Roles y responsabilidades en la seguridad de la información.</t>
  </si>
  <si>
    <t>5.3</t>
  </si>
  <si>
    <t xml:space="preserve">Segregación de deberes. </t>
  </si>
  <si>
    <t>5.4</t>
  </si>
  <si>
    <t xml:space="preserve">Responsabilidades de la dirección. </t>
  </si>
  <si>
    <t>5.5</t>
  </si>
  <si>
    <t>Contacto con las autoridades.</t>
  </si>
  <si>
    <t>5.6</t>
  </si>
  <si>
    <t xml:space="preserve">Contacto con grupos de interés especial. </t>
  </si>
  <si>
    <t>5.7</t>
  </si>
  <si>
    <t>Inteligencia de amenazas.</t>
  </si>
  <si>
    <t>5.8</t>
  </si>
  <si>
    <t>Seguridad de la información en la gestión de proyectos.</t>
  </si>
  <si>
    <t>5.9</t>
  </si>
  <si>
    <t>Inventario de información y otros activos asociados.</t>
  </si>
  <si>
    <t>5.10</t>
  </si>
  <si>
    <t>Uso aceptable de la información y otros activos asociados.</t>
  </si>
  <si>
    <t>5.11</t>
  </si>
  <si>
    <t>Devolución de activos.</t>
  </si>
  <si>
    <t>5.12</t>
  </si>
  <si>
    <t>Clasificación de la información.</t>
  </si>
  <si>
    <t>5.13</t>
  </si>
  <si>
    <t>Etiquetado de la información.</t>
  </si>
  <si>
    <t>5.14</t>
  </si>
  <si>
    <t>Transferencia de la información.</t>
  </si>
  <si>
    <t>5.15</t>
  </si>
  <si>
    <t>Control de acceso.</t>
  </si>
  <si>
    <t>5.16</t>
  </si>
  <si>
    <t>Gestión de identidades.</t>
  </si>
  <si>
    <t>5.17</t>
  </si>
  <si>
    <t>Información de autenticación.</t>
  </si>
  <si>
    <t>5.18</t>
  </si>
  <si>
    <t>Derechos de acceso.</t>
  </si>
  <si>
    <t>5.19</t>
  </si>
  <si>
    <t>Seguridad de la información en la relación con los proveedores.</t>
  </si>
  <si>
    <t>5.20</t>
  </si>
  <si>
    <t>Abordar la seguridad a la información dentro de los acuerdos con proveedores.</t>
  </si>
  <si>
    <t>5.21</t>
  </si>
  <si>
    <t>Gestión de seguridad de la información en la cadena de suministro de las tecnologías de la información y las comunicaciones (TIC).</t>
  </si>
  <si>
    <t>5.22</t>
  </si>
  <si>
    <t>Seguimiento, revisión y gestión del cambio de los servicios de los proveedores .</t>
  </si>
  <si>
    <t>5.23</t>
  </si>
  <si>
    <t>Seguridad de la información para el uso de servicios en la nube.</t>
  </si>
  <si>
    <t>5.24</t>
  </si>
  <si>
    <t>Planificación y preparación de la gestión de incidentes de seguridad de la información.</t>
  </si>
  <si>
    <t>5.25</t>
  </si>
  <si>
    <t>Evaluación y decisión sobre eventos de seguridad de la información.</t>
  </si>
  <si>
    <t>5.26</t>
  </si>
  <si>
    <t>Respuesta a incidentes de seguridad de información.</t>
  </si>
  <si>
    <t>5.27</t>
  </si>
  <si>
    <t>Aprender de los incidentes de seguridad de la información.</t>
  </si>
  <si>
    <t>5.28</t>
  </si>
  <si>
    <t xml:space="preserve">Recopilación de evidencias. </t>
  </si>
  <si>
    <t>5.29</t>
  </si>
  <si>
    <t xml:space="preserve">Seguridad de la información durante una interrupción. </t>
  </si>
  <si>
    <t>5.30</t>
  </si>
  <si>
    <t>Preparación de las TIC para continuidad de negocio.</t>
  </si>
  <si>
    <t>5.31</t>
  </si>
  <si>
    <t>Requisitos legales, reglamentarios y contractuales.</t>
  </si>
  <si>
    <t>5.32</t>
  </si>
  <si>
    <t>Derechos de propiedad intelectual.</t>
  </si>
  <si>
    <t>5.33</t>
  </si>
  <si>
    <t>Protección de registros.</t>
  </si>
  <si>
    <t>5.34</t>
  </si>
  <si>
    <t>Privacidad y protección de la información de identificación personal (PII, por sus siglas en inglés).</t>
  </si>
  <si>
    <t>5.35</t>
  </si>
  <si>
    <t>Revisión independiente de la seguridad de la información.</t>
  </si>
  <si>
    <t>5.36</t>
  </si>
  <si>
    <t>Cumplimiento de políticas, reglas y estándares de seguridad de la información.</t>
  </si>
  <si>
    <t>5.37</t>
  </si>
  <si>
    <t>Procedimientos operativos documentados.</t>
  </si>
  <si>
    <t>6.1</t>
  </si>
  <si>
    <t xml:space="preserve">Selección. </t>
  </si>
  <si>
    <t>6.2</t>
  </si>
  <si>
    <t xml:space="preserve">Términos y condiciones de empleo. </t>
  </si>
  <si>
    <t>6.3</t>
  </si>
  <si>
    <t xml:space="preserve">Conciencia de seguridad de información, educación y formación. </t>
  </si>
  <si>
    <t>6.4</t>
  </si>
  <si>
    <t xml:space="preserve">Proceso disciplinario. </t>
  </si>
  <si>
    <t>6.5</t>
  </si>
  <si>
    <t xml:space="preserve">Responsabilidades después de la terminación o cambio de empleo. </t>
  </si>
  <si>
    <t>6.6</t>
  </si>
  <si>
    <t xml:space="preserve">Acuerdos de confidencialidad y no divulgación. </t>
  </si>
  <si>
    <t>6.7</t>
  </si>
  <si>
    <t xml:space="preserve">Trabajo remoto. </t>
  </si>
  <si>
    <t>6.8</t>
  </si>
  <si>
    <t>Informes de eventos de seguridad de la información.</t>
  </si>
  <si>
    <t>7.1</t>
  </si>
  <si>
    <t>Perímetro de seguridad física.</t>
  </si>
  <si>
    <t>7.2</t>
  </si>
  <si>
    <t xml:space="preserve">Entrada física </t>
  </si>
  <si>
    <t>7.3</t>
  </si>
  <si>
    <t xml:space="preserve">Asegurar oficinas, habitaciones e instalaciones </t>
  </si>
  <si>
    <t>7.4</t>
  </si>
  <si>
    <t xml:space="preserve">Monitoreo de la seguridad física. </t>
  </si>
  <si>
    <t>7.5</t>
  </si>
  <si>
    <t>Protección contra amenazas físicas y ambientales.</t>
  </si>
  <si>
    <t>7.6</t>
  </si>
  <si>
    <t>Trabajar en áreas seguras.</t>
  </si>
  <si>
    <t>7.7</t>
  </si>
  <si>
    <t>Escritorio y pantalla limpios.</t>
  </si>
  <si>
    <t>7.8</t>
  </si>
  <si>
    <t>Emplazamiento y protección de equipos.</t>
  </si>
  <si>
    <t>7.9</t>
  </si>
  <si>
    <t>Seguridad de los activos fuera de las instalaciones.</t>
  </si>
  <si>
    <t>7.10</t>
  </si>
  <si>
    <t>Medios de almacenamiento.</t>
  </si>
  <si>
    <t>7.11</t>
  </si>
  <si>
    <t>Servicios públicos de apoyo.</t>
  </si>
  <si>
    <t>7.12</t>
  </si>
  <si>
    <t>Seguridad y cableado.</t>
  </si>
  <si>
    <t>7.13</t>
  </si>
  <si>
    <t>Mantenimiento de equipos.</t>
  </si>
  <si>
    <t>7.14</t>
  </si>
  <si>
    <t>Disposición o reutilización segura de los equipos.</t>
  </si>
  <si>
    <t>8.1</t>
  </si>
  <si>
    <t>Dispositivos de punto final de usuario.</t>
  </si>
  <si>
    <t>8.2</t>
  </si>
  <si>
    <t xml:space="preserve">Derechos de acceso privilegiado. </t>
  </si>
  <si>
    <t>8.3</t>
  </si>
  <si>
    <t xml:space="preserve">Restricción de acceso a la información. </t>
  </si>
  <si>
    <t>8.4</t>
  </si>
  <si>
    <t>Acceso al código fuente.</t>
  </si>
  <si>
    <t>8.5</t>
  </si>
  <si>
    <t>Autenticación segura.</t>
  </si>
  <si>
    <t>8.6</t>
  </si>
  <si>
    <t>Gestión de la capacidad.</t>
  </si>
  <si>
    <t>8.7</t>
  </si>
  <si>
    <t>Protección contra malware.</t>
  </si>
  <si>
    <t>8.8</t>
  </si>
  <si>
    <t>Gestión de vulnerabilidades técnicas.</t>
  </si>
  <si>
    <t>8.9</t>
  </si>
  <si>
    <t>Gestión de la configuración.</t>
  </si>
  <si>
    <t>8.10</t>
  </si>
  <si>
    <t>Eliminación de información.</t>
  </si>
  <si>
    <t>8.11</t>
  </si>
  <si>
    <t>Enmascaramiento de datos.</t>
  </si>
  <si>
    <t>8.12</t>
  </si>
  <si>
    <t>Prevención de fuga de datos.</t>
  </si>
  <si>
    <t>8.13</t>
  </si>
  <si>
    <t>Copia de seguridad de la información.</t>
  </si>
  <si>
    <t>8.14</t>
  </si>
  <si>
    <t>Redundancia de las instalaciones de procesamiento de información.</t>
  </si>
  <si>
    <t>8.15</t>
  </si>
  <si>
    <t>Registro.</t>
  </si>
  <si>
    <t>8.16</t>
  </si>
  <si>
    <t>Actividades de seguimiento.</t>
  </si>
  <si>
    <t>8.17</t>
  </si>
  <si>
    <t>Sincronización de reloj.</t>
  </si>
  <si>
    <t>8.18</t>
  </si>
  <si>
    <t>Uso de programas de utilidad privilegiados.</t>
  </si>
  <si>
    <t>8.19</t>
  </si>
  <si>
    <t>Instalación de software en sistemas operativos.</t>
  </si>
  <si>
    <t>8.20</t>
  </si>
  <si>
    <t>Seguridad de redes.</t>
  </si>
  <si>
    <t>8.21</t>
  </si>
  <si>
    <t>Seguridad de los servicios de red.</t>
  </si>
  <si>
    <t>8.22</t>
  </si>
  <si>
    <t>Segregación de redes.</t>
  </si>
  <si>
    <t>8.23</t>
  </si>
  <si>
    <t>Filtrado web.</t>
  </si>
  <si>
    <t>8.24</t>
  </si>
  <si>
    <t>Uso de la criptografía.</t>
  </si>
  <si>
    <t>8.25</t>
  </si>
  <si>
    <t>Ciclo de vida de desarrollo seguro.</t>
  </si>
  <si>
    <t>8.26</t>
  </si>
  <si>
    <t>Requisitos de seguridad a las aplicaciones.</t>
  </si>
  <si>
    <t>8.27</t>
  </si>
  <si>
    <t>Arquitectura de sistemas seguros y principios de ingeniería.</t>
  </si>
  <si>
    <t>8.28</t>
  </si>
  <si>
    <t>Codificación segura.</t>
  </si>
  <si>
    <t>8.29</t>
  </si>
  <si>
    <t>Pruebas de seguridad en el desarrollo de aceptación.</t>
  </si>
  <si>
    <t>8.30</t>
  </si>
  <si>
    <t>Desarrollo externalizado.</t>
  </si>
  <si>
    <t>8.31</t>
  </si>
  <si>
    <t>Separación de entornos de desarrollo, evidencia y producción.</t>
  </si>
  <si>
    <t>8.32</t>
  </si>
  <si>
    <t>Gestión del cambio.</t>
  </si>
  <si>
    <t>8.33</t>
  </si>
  <si>
    <t>Información de las pruebas.</t>
  </si>
  <si>
    <t>8.34</t>
  </si>
  <si>
    <t>Protección de los sistemas de información durante las pruebas de auditoría.</t>
  </si>
  <si>
    <t>N.A.</t>
  </si>
  <si>
    <t>No aplica (Agregar a la declaración de aplicabilidad EGTI-FM-035)</t>
  </si>
  <si>
    <t>FORMATO MAPA RIESGOS DE PROCESO Y/O PROYECTO</t>
  </si>
  <si>
    <t>CÓDIGO: DES-FM-018</t>
  </si>
  <si>
    <t>VERSIÓN: 2</t>
  </si>
  <si>
    <t>FECHA DE APLICACIÓN: DICIEMBRE 2024</t>
  </si>
  <si>
    <t>Proceso y/o proyecto</t>
  </si>
  <si>
    <t>8208 Proyecto Fortalecimiento de la atención y participación ciudadana con enfoques de género, diferencial y territorial en Bogotá D.C.</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</si>
  <si>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</si>
  <si>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</si>
  <si>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</si>
  <si>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</si>
  <si>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</si>
  <si>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</si>
  <si>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</si>
  <si>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</si>
  <si>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</si>
  <si>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</si>
  <si>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</si>
  <si>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¿QUÉ?
Impacto</t>
  </si>
  <si>
    <r>
      <t>¿CÓMO? 
Causa Inmediata
(</t>
    </r>
    <r>
      <rPr>
        <sz val="12"/>
        <rFont val="Arial"/>
        <family val="2"/>
      </rPr>
      <t>Iniciar con la palabra por</t>
    </r>
    <r>
      <rPr>
        <b/>
        <sz val="12"/>
        <rFont val="Arial"/>
        <family val="2"/>
      </rPr>
      <t>)</t>
    </r>
  </si>
  <si>
    <r>
      <t>¿PORQUÉ? 
Causa Raíz
(</t>
    </r>
    <r>
      <rPr>
        <sz val="12"/>
        <rFont val="Arial"/>
        <family val="2"/>
      </rPr>
      <t>Iniciar con la debido a</t>
    </r>
    <r>
      <rPr>
        <b/>
        <sz val="12"/>
        <rFont val="Arial"/>
        <family val="2"/>
      </rPr>
      <t>)</t>
    </r>
  </si>
  <si>
    <t>Punto de riesgo
Actividad clave o fase del proyecto</t>
  </si>
  <si>
    <r>
      <t xml:space="preserve">Descripción del Riesgo
</t>
    </r>
    <r>
      <rPr>
        <sz val="12"/>
        <rFont val="Arial"/>
        <family val="2"/>
      </rPr>
      <t>Esta columna se diligencia sola</t>
    </r>
  </si>
  <si>
    <t>Internas</t>
  </si>
  <si>
    <t>Externas</t>
  </si>
  <si>
    <t>Efectos (Consecuencias)</t>
  </si>
  <si>
    <t>No. veces que realiza la actividad al año</t>
  </si>
  <si>
    <t>Probabilidad Inherente</t>
  </si>
  <si>
    <t>%</t>
  </si>
  <si>
    <t>Criterios de impacto</t>
  </si>
  <si>
    <t>Observación de criterio</t>
  </si>
  <si>
    <t>Impacto 
Inherente</t>
  </si>
  <si>
    <t>Severidad (Nivel de riesgo)</t>
  </si>
  <si>
    <t>No. Control</t>
  </si>
  <si>
    <t>Atributos</t>
  </si>
  <si>
    <t>Probabilidad Residual</t>
  </si>
  <si>
    <t>Probabilidad Residual Final</t>
  </si>
  <si>
    <t>Impacto Residual Final</t>
  </si>
  <si>
    <t>Zona de Riesgo Final</t>
  </si>
  <si>
    <t>Descripción de la acción basado en el analisis de causas</t>
  </si>
  <si>
    <t>Responsable
(Cargo o Rol)</t>
  </si>
  <si>
    <t>Producto - Evidencia</t>
  </si>
  <si>
    <t xml:space="preserve">Periocidad o fecha de finalización </t>
  </si>
  <si>
    <t>Acción</t>
  </si>
  <si>
    <t>Producto</t>
  </si>
  <si>
    <t>Objetivo Institucional  asociado</t>
  </si>
  <si>
    <t xml:space="preserve">Proyecto de Inversión asociado </t>
  </si>
  <si>
    <t>Responsable</t>
  </si>
  <si>
    <t>Complemento:  (periodicidad, cómo se realiza, evidencia y desviación)</t>
  </si>
  <si>
    <t>Tipo</t>
  </si>
  <si>
    <t>Implementación</t>
  </si>
  <si>
    <t>Calificación</t>
  </si>
  <si>
    <t>Documentación</t>
  </si>
  <si>
    <t>Frecuencia</t>
  </si>
  <si>
    <t>Evidencia</t>
  </si>
  <si>
    <t>Ejecución y administración de procesos </t>
  </si>
  <si>
    <t xml:space="preserve">     El riesgo afecta la imagen de la entidad con algunos usuarios de relevancia frente al logro de los objetivos</t>
  </si>
  <si>
    <t>Preventivo</t>
  </si>
  <si>
    <t>Manual</t>
  </si>
  <si>
    <t>Documentado</t>
  </si>
  <si>
    <t>Continua</t>
  </si>
  <si>
    <t>Sin Registro</t>
  </si>
  <si>
    <t>Detectivo</t>
  </si>
  <si>
    <t>Aleatoria</t>
  </si>
  <si>
    <t>Con Registro</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</si>
  <si>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</si>
  <si>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</si>
  <si>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</si>
  <si>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</si>
  <si>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</si>
  <si>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</si>
  <si>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</si>
  <si>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</si>
  <si>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</si>
  <si>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</si>
  <si>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</si>
  <si>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</si>
  <si>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</si>
  <si>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</si>
  <si>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</si>
  <si>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</si>
  <si>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</si>
  <si>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r>
      <t>¿CÓMO? 
circunstancia Inmediata
(</t>
    </r>
    <r>
      <rPr>
        <sz val="12"/>
        <rFont val="Arial"/>
        <family val="2"/>
      </rPr>
      <t>Iniciar con la palabra por</t>
    </r>
    <r>
      <rPr>
        <b/>
        <sz val="12"/>
        <rFont val="Arial"/>
        <family val="2"/>
      </rPr>
      <t>)</t>
    </r>
  </si>
  <si>
    <r>
      <t>¿PORQUÉ? 
Causa Raíz
(</t>
    </r>
    <r>
      <rPr>
        <sz val="12"/>
        <rFont val="Arial"/>
        <family val="2"/>
      </rPr>
      <t>Iniciar con la debido a o a causa</t>
    </r>
    <r>
      <rPr>
        <b/>
        <sz val="12"/>
        <rFont val="Arial"/>
        <family val="2"/>
      </rPr>
      <t>)</t>
    </r>
  </si>
  <si>
    <t xml:space="preserve">     Entre 650 y 1300 SMLMV </t>
  </si>
  <si>
    <t>Automático</t>
  </si>
  <si>
    <t>Sin Documentar</t>
  </si>
  <si>
    <t xml:space="preserve">     Entre 130 y 650 SMLMV </t>
  </si>
  <si>
    <t>BENEFICIO PRIVADO.</t>
  </si>
  <si>
    <t>ACCIÓN U OMISIÓN + USO DEL PODER + DESVIACIÓN DE LA GESTIÓN DE LO PÚBLICO + EL BENEFICIO PRIVADO.</t>
  </si>
  <si>
    <t xml:space="preserve">
Causa Raíz</t>
  </si>
  <si>
    <t>Criterios de impacto según las respuestas dadas</t>
  </si>
  <si>
    <t xml:space="preserve">     El riesgo afecta la imagen de de la entidad con efecto publicitario sostenido a nivel de sector administrativo, nivel departamental o municipal</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</si>
  <si>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</si>
  <si>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</si>
  <si>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</si>
  <si>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</si>
  <si>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</si>
  <si>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</si>
  <si>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</si>
  <si>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</si>
  <si>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</si>
  <si>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</si>
  <si>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</si>
  <si>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</si>
  <si>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</si>
  <si>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</si>
  <si>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</si>
  <si>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</si>
  <si>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</si>
  <si>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</si>
  <si>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</si>
  <si>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</si>
  <si>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</si>
  <si>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</si>
  <si>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</si>
  <si>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</si>
  <si>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</si>
  <si>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</si>
  <si>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</si>
  <si>
    <t>El equivalente para seleccionar en Criterios de impacto es:</t>
  </si>
  <si>
    <t xml:space="preserve">Responder afirmativamente de 6 a 11 preguntas genera un impacto Mayor </t>
  </si>
  <si>
    <t>Responder afirmativamente de 12 a 19 preguntas genera un impacto Catastrófico.</t>
  </si>
  <si>
    <t xml:space="preserve">     El riesgo afecta la imagen de la entidad a nivel nacional, con efecto publicitarios sostenible a nivel país</t>
  </si>
  <si>
    <r>
      <rPr>
        <b/>
        <sz val="12"/>
        <rFont val="Arial"/>
        <family val="2"/>
        <charset val="1"/>
      </rPr>
      <t xml:space="preserve">¿QUÉ?
Impacto
</t>
    </r>
    <r>
      <rPr>
        <sz val="12"/>
        <rFont val="Arial"/>
        <family val="2"/>
        <charset val="1"/>
      </rPr>
      <t>(Lista)</t>
    </r>
  </si>
  <si>
    <r>
      <rPr>
        <b/>
        <sz val="12"/>
        <rFont val="Arial"/>
        <family val="2"/>
        <charset val="1"/>
      </rPr>
      <t xml:space="preserve">Tipo de riesgo
</t>
    </r>
    <r>
      <rPr>
        <sz val="12"/>
        <rFont val="Arial"/>
        <family val="2"/>
        <charset val="1"/>
      </rPr>
      <t>(Seleccionar en lista: por perdida integridad-disponibilidad-confiencialidad</t>
    </r>
    <r>
      <rPr>
        <b/>
        <sz val="12"/>
        <rFont val="Arial"/>
        <family val="2"/>
        <charset val="1"/>
      </rPr>
      <t>)</t>
    </r>
  </si>
  <si>
    <r>
      <rPr>
        <b/>
        <sz val="12"/>
        <rFont val="Arial"/>
        <family val="2"/>
        <charset val="1"/>
      </rPr>
      <t xml:space="preserve">Vulnerabilidades
</t>
    </r>
    <r>
      <rPr>
        <sz val="12"/>
        <rFont val="Arial"/>
        <family val="2"/>
        <charset val="1"/>
      </rPr>
      <t xml:space="preserve">(Causa Raíz)
</t>
    </r>
  </si>
  <si>
    <r>
      <rPr>
        <b/>
        <sz val="12"/>
        <rFont val="Arial"/>
        <family val="2"/>
        <charset val="1"/>
      </rPr>
      <t xml:space="preserve">Punto de riesgo
</t>
    </r>
    <r>
      <rPr>
        <sz val="12"/>
        <rFont val="Arial"/>
        <family val="2"/>
        <charset val="1"/>
      </rPr>
      <t>(En el proceso o fase del proyecto)</t>
    </r>
  </si>
  <si>
    <r>
      <rPr>
        <b/>
        <sz val="12"/>
        <rFont val="Arial"/>
        <family val="2"/>
        <charset val="1"/>
      </rPr>
      <t xml:space="preserve">Descripción del Riesgo
</t>
    </r>
    <r>
      <rPr>
        <sz val="12"/>
        <rFont val="Arial"/>
        <family val="2"/>
        <charset val="1"/>
      </rPr>
      <t>(Esta columna se diligencia sola)</t>
    </r>
  </si>
  <si>
    <r>
      <rPr>
        <b/>
        <sz val="12"/>
        <rFont val="Arial"/>
        <family val="2"/>
        <charset val="1"/>
      </rPr>
      <t xml:space="preserve">Tipo de activo de apoyo
</t>
    </r>
    <r>
      <rPr>
        <sz val="12"/>
        <rFont val="Arial"/>
        <family val="2"/>
        <charset val="1"/>
      </rPr>
      <t>(Lista)</t>
    </r>
  </si>
  <si>
    <t>Activo de apoyo</t>
  </si>
  <si>
    <t>Código activo de apoyo</t>
  </si>
  <si>
    <t>Código activo de información</t>
  </si>
  <si>
    <t>Activo de información</t>
  </si>
  <si>
    <r>
      <rPr>
        <b/>
        <sz val="12"/>
        <rFont val="Arial"/>
        <family val="2"/>
        <charset val="1"/>
      </rPr>
      <t xml:space="preserve">Tipo de 
Amenaza
</t>
    </r>
    <r>
      <rPr>
        <sz val="12"/>
        <rFont val="Arial"/>
        <family val="2"/>
        <charset val="1"/>
      </rPr>
      <t>(Lista)</t>
    </r>
  </si>
  <si>
    <t>Amenazas 
(Causa Inmediata)</t>
  </si>
  <si>
    <r>
      <rPr>
        <b/>
        <sz val="12"/>
        <rFont val="Arial"/>
        <family val="2"/>
        <charset val="1"/>
      </rPr>
      <t xml:space="preserve">Probabilidad Inherente
</t>
    </r>
    <r>
      <rPr>
        <sz val="12"/>
        <rFont val="Arial"/>
        <family val="2"/>
        <charset val="1"/>
      </rPr>
      <t>(Se genera con el valor de la frecuencia)</t>
    </r>
  </si>
  <si>
    <t>Impacto Afectación Económica (o presupuestal)</t>
  </si>
  <si>
    <t>Impacto Afectación Reputacional</t>
  </si>
  <si>
    <t>Mayor impacto</t>
  </si>
  <si>
    <t xml:space="preserve"> ISO/IEC 27002:2022</t>
  </si>
  <si>
    <t>Numeral</t>
  </si>
  <si>
    <t>Control</t>
  </si>
  <si>
    <t xml:space="preserve">Por pérdida de la integridad </t>
  </si>
  <si>
    <t>SOFTWARE</t>
  </si>
  <si>
    <t>Mayor a 6500 SMLMV</t>
  </si>
  <si>
    <t>El riesgo afecta la imagen de alguna área de la organización</t>
  </si>
  <si>
    <t>Correctivo</t>
  </si>
  <si>
    <t>RED</t>
  </si>
  <si>
    <t>Afectación menor a 130 SMLMV</t>
  </si>
  <si>
    <t xml:space="preserve">     Afectación menor a 130 SMLMV .</t>
  </si>
  <si>
    <t>Tipologia de Riesgo</t>
  </si>
  <si>
    <t xml:space="preserve">Impacto </t>
  </si>
  <si>
    <t>Reputacional</t>
  </si>
  <si>
    <t>Legal</t>
  </si>
  <si>
    <t>Operativo</t>
  </si>
  <si>
    <t>Contagio</t>
  </si>
  <si>
    <t>Leve 20%</t>
  </si>
  <si>
    <t>EL riesgo afecta la imagen de alguna dependencia de la entidad</t>
  </si>
  <si>
    <t>Cumplimiento parcial de procesos, procedimientos y políticas operacionales</t>
  </si>
  <si>
    <t>Afecta levemente las operaciones de una dependencia o grupo de la entidad</t>
  </si>
  <si>
    <t>Causado por un tercero interesado en un contrato con la entidad</t>
  </si>
  <si>
    <t xml:space="preserve">Menor 40% </t>
  </si>
  <si>
    <t>EL riesgo afecta la imagen de   la entidad internamente, de conocimiento general nivel interno, de junta directiva y/o proveedores</t>
  </si>
  <si>
    <t xml:space="preserve">Cumplimiento parcial de normas internas establecidas (Resoluciones, Circulares y otras directrices)    </t>
  </si>
  <si>
    <t>Sustancialmente afecta la operaciones de una dependencia o grupo de la entidad</t>
  </si>
  <si>
    <t>Causado por un usuario de la entidad</t>
  </si>
  <si>
    <t>Moderado 60%</t>
  </si>
  <si>
    <t>EL riesgo afecta la imagen de   la entidad con algunos usuarios de relevancia frente al logro de los objetivos</t>
  </si>
  <si>
    <t>Cumplimiento parcial de legislación vigente aplicable a la Entidad</t>
  </si>
  <si>
    <t>Afecta durante un día la prestación de servicio ofrecido por la entidad</t>
  </si>
  <si>
    <t>Causado por un proveedor, contratista o funcionario de la entidad</t>
  </si>
  <si>
    <t>Mayor 80%</t>
  </si>
  <si>
    <t>EL riesgo afecta la imagen de   la entidad con efecto publicitario sostenido a nivel sector</t>
  </si>
  <si>
    <t>Incumplimiento de legislación vigente aplicable a la Entidad</t>
  </si>
  <si>
    <t>Afecta la continuidad de las operaciones de una dependencia o un grupo de la entidad durante 15 días</t>
  </si>
  <si>
    <t>Causado por un Director, Subdirector o funcionario de libre nombramiento y remoción de la entidad</t>
  </si>
  <si>
    <t>Catastrófico 100%</t>
  </si>
  <si>
    <t>EL riesgo afecta la imagen de   la entidad a nivel nacional, con efecto publicitario sostenido a nivel País</t>
  </si>
  <si>
    <t>Incumplimiento de acuerdos u obligaciones nacionales o internacionales</t>
  </si>
  <si>
    <t>Afecta la continuidad de las operaciones de una dependencia o un grupo de la entidad por un mes</t>
  </si>
  <si>
    <t>Causado por un Gerente publico o Adminitración del Distrito Capital de la entidad</t>
  </si>
  <si>
    <t>Tabla Criterios para definir el nivel de impacto</t>
  </si>
  <si>
    <t>Afectación Económica (o presupuestal)</t>
  </si>
  <si>
    <t>Pérdida Reputacional</t>
  </si>
  <si>
    <t xml:space="preserve">Equivalente </t>
  </si>
  <si>
    <t>Insignificante</t>
  </si>
  <si>
    <t xml:space="preserve">Afectación menor a 130 SMLMV </t>
  </si>
  <si>
    <t>Menor</t>
  </si>
  <si>
    <t xml:space="preserve">Entre 130 y 650 SMLMV </t>
  </si>
  <si>
    <t>El riesgo afecta la imagen de la entidad internamente, de conocimiento general, nivel interno, de junta dircetiva y accionistas y/o de provedores</t>
  </si>
  <si>
    <t xml:space="preserve">Entre 650 y 1300 SMLMV </t>
  </si>
  <si>
    <t>El riesgo afecta la imagen de la entidad con algunos usuarios de relevancia frente al logro de los objetivos</t>
  </si>
  <si>
    <t>Mayor</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</si>
  <si>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</si>
  <si>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</si>
  <si>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</si>
  <si>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 xml:space="preserve">Mayor a 6500 SMLMV </t>
  </si>
  <si>
    <t>El riesgo afecta la imagen de la entidad a nivel nacional, con efecto publicitarios sostenible a nivel país</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</si>
  <si>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</si>
  <si>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</si>
  <si>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</si>
  <si>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</si>
  <si>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1300 y 6500 SMLMV </t>
  </si>
  <si>
    <t xml:space="preserve">     Mayor a 6500 SMLMV </t>
  </si>
  <si>
    <t>Criterios</t>
  </si>
  <si>
    <t>Subcriterios</t>
  </si>
  <si>
    <t>Catastrofico</t>
  </si>
  <si>
    <t>Afectación Económica o presupuestal</t>
  </si>
  <si>
    <t>Afectación menor a 130 SMLMV .</t>
  </si>
  <si>
    <t>Entre 130 y 650 SMLMV</t>
  </si>
  <si>
    <t>Entre 650 y 1300 SMLMV</t>
  </si>
  <si>
    <t>Entre 1300 y 6500 SMLMV</t>
  </si>
  <si>
    <t>El riesgo afecta la imagen de de la entidad con efecto publicitario sostenido a nivel de sector administrativo, nivel departamental o municipal</t>
  </si>
  <si>
    <t>❌</t>
  </si>
  <si>
    <t>✔</t>
  </si>
  <si>
    <t>Leve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</si>
  <si>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</si>
  <si>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</si>
  <si>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</si>
  <si>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</si>
  <si>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</si>
  <si>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</si>
  <si>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</si>
  <si>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</si>
  <si>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</si>
  <si>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</si>
  <si>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</si>
  <si>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</si>
  <si>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Tipo </t>
  </si>
  <si>
    <t>Clasificación </t>
  </si>
  <si>
    <t>Descripción </t>
  </si>
  <si>
    <t>Gestión</t>
  </si>
  <si>
    <t>Gestión </t>
  </si>
  <si>
    <r>
      <t>Ejecución y administración de procesos</t>
    </r>
    <r>
      <rPr>
        <sz val="9"/>
        <rFont val="Arial"/>
        <family val="2"/>
      </rPr>
      <t> </t>
    </r>
  </si>
  <si>
    <r>
      <t>Pérdidas derivadas de errores en la ejecución y administración de procesos.</t>
    </r>
    <r>
      <rPr>
        <b/>
        <sz val="9"/>
        <rFont val="Arial"/>
        <family val="2"/>
      </rPr>
      <t> </t>
    </r>
  </si>
  <si>
    <r>
      <t>Fallas tecnológicas</t>
    </r>
    <r>
      <rPr>
        <sz val="9"/>
        <rFont val="Arial"/>
        <family val="2"/>
      </rPr>
      <t> </t>
    </r>
  </si>
  <si>
    <r>
      <t>Errores en hardware, software, telecomunicaciones, interrupción de servicios básicos.</t>
    </r>
    <r>
      <rPr>
        <b/>
        <sz val="9"/>
        <rFont val="Arial"/>
        <family val="2"/>
      </rPr>
      <t> </t>
    </r>
  </si>
  <si>
    <t>Seguridad Digital</t>
  </si>
  <si>
    <r>
      <t>Relaciones laborales</t>
    </r>
    <r>
      <rPr>
        <sz val="9"/>
        <rFont val="Arial"/>
        <family val="2"/>
      </rPr>
      <t> </t>
    </r>
  </si>
  <si>
    <r>
      <t>Pérdidas que surgen de acciones contrarias a las leyes o acuerdos de empleo, salud o seguridad, del pago de demandas por daños personales o de discriminación.</t>
    </r>
    <r>
      <rPr>
        <b/>
        <sz val="9"/>
        <rFont val="Arial"/>
        <family val="2"/>
      </rPr>
      <t> </t>
    </r>
  </si>
  <si>
    <r>
      <t>Usuarios, productos y prácticas</t>
    </r>
    <r>
      <rPr>
        <sz val="9"/>
        <rFont val="Arial"/>
        <family val="2"/>
      </rPr>
      <t> </t>
    </r>
  </si>
  <si>
    <r>
      <t>Fallas negligentes o involuntarias de las obligaciones frente a los usuarios y que impiden satisfacer una obligación profesional frente a éstos.</t>
    </r>
    <r>
      <rPr>
        <b/>
        <sz val="9"/>
        <rFont val="Arial"/>
        <family val="2"/>
      </rPr>
      <t> </t>
    </r>
  </si>
  <si>
    <r>
      <t>Daños a activos fijos/ eventos externos</t>
    </r>
    <r>
      <rPr>
        <sz val="9"/>
        <rFont val="Arial"/>
        <family val="2"/>
      </rPr>
      <t> </t>
    </r>
  </si>
  <si>
    <r>
      <t>Pérdida por daños o extravíos de los activos fijos por desastres naturales u otros riesgos/eventos externos como atentados, vandalismo, orden público.</t>
    </r>
    <r>
      <rPr>
        <b/>
        <sz val="9"/>
        <rFont val="Arial"/>
        <family val="2"/>
      </rPr>
      <t> </t>
    </r>
  </si>
  <si>
    <r>
      <t>Efecto dañoso sobre recursos públicos o bienes o intereses patrimoniales de naturaleza pública, a causa de un evento potencial.</t>
    </r>
    <r>
      <rPr>
        <b/>
        <sz val="9"/>
        <rFont val="Arial"/>
        <family val="2"/>
      </rPr>
      <t> </t>
    </r>
  </si>
  <si>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</si>
  <si>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</si>
  <si>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</si>
  <si>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</si>
  <si>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</si>
  <si>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Es la posibilidad de pérdida, disminución de ingresos o incremento en procesos judiciales en que incurre una entidad por desprestigio, mala imagen, publicidad negativa respecto de la institución y sus prácticas de negocios.</t>
  </si>
  <si>
    <t>Riesgo legal:</t>
  </si>
  <si>
    <t>Es la posibilidad de pérdida en que incurre una entidad por sanciones o indemnizaciones de daños como resultado del incumplimiento normativo o de obligaciones contractuales. Se presenta de igual forma cuando existen fallas en los contratos y transacciones por actuaciones, negligencia o actos involuntarios.</t>
  </si>
  <si>
    <t>Riesgo operativo:</t>
  </si>
  <si>
    <t>Es la posibilidad de incurrir en pérdidas por fallas, deficiencias o inadecuaciones, en el recurso humano, los procesos, la tecnología, la infraestructura o por la ocurrencia de eventos externos.</t>
  </si>
  <si>
    <t>Riesgo de contagio:</t>
  </si>
  <si>
    <t>Es la posibilidad de pérdida en que incurre una entidad por una acción o experiencia de un vinculado, entendido este como el relacionado o asociado, incluyendo a las personas naturales y/o jurídicas que ejercen influencia sobre la entidad.</t>
  </si>
  <si>
    <t xml:space="preserve">Pérdida de la confidencialidad </t>
  </si>
  <si>
    <t>Determina que la información no esté disponible ni sea revelada a individuos, entidades o procesos no autorizados.</t>
  </si>
  <si>
    <t xml:space="preserve">Pérdida de la integridad </t>
  </si>
  <si>
    <t>Determina la exactitud y completitud de la información, permitiendo que la información sea precisa, coherente y completa desde su creación hasta su destrucción.</t>
  </si>
  <si>
    <t xml:space="preserve">Pérdida de la disponibilidad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</si>
  <si>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</si>
  <si>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</si>
  <si>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</si>
  <si>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HARDWARE</t>
  </si>
  <si>
    <t>INSTALACIONES</t>
  </si>
  <si>
    <t>PROCESOS</t>
  </si>
  <si>
    <t>RECURSOS HUMANOS</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</si>
  <si>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</si>
  <si>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</si>
  <si>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</si>
  <si>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</si>
  <si>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</si>
  <si>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</si>
  <si>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</si>
  <si>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</si>
  <si>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</si>
  <si>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</si>
  <si>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</si>
  <si>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</si>
  <si>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</si>
  <si>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</si>
  <si>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</si>
  <si>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</si>
  <si>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</si>
  <si>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</si>
  <si>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</si>
  <si>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</si>
  <si>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</si>
  <si>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</si>
  <si>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</si>
  <si>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</si>
  <si>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</si>
  <si>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</si>
  <si>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el registra la actualización de los riesgos a partir de 2024</t>
  </si>
  <si>
    <t>2024 -v1</t>
  </si>
  <si>
    <t>2024 -v2</t>
  </si>
  <si>
    <t>X</t>
  </si>
  <si>
    <t>Producir mezclas y entregar o despachar materias primas e insumos solicitados.</t>
  </si>
  <si>
    <t>falta de coordinacion entre el Gerente y los supervisores de los contratos de aprovisionamiento</t>
  </si>
  <si>
    <t>incumplimiento de los proveedores</t>
  </si>
  <si>
    <t>El Gerente de Produccion</t>
  </si>
  <si>
    <t>Alimentar el archivo de gestion de contratos de la Gerencia de produccion</t>
  </si>
  <si>
    <t>Actualizar el tablero de control de la gerencia de produccion</t>
  </si>
  <si>
    <t>Lider de seguimiento contratos GP</t>
  </si>
  <si>
    <t>Archivo actualizado para cargar a tablero de control</t>
  </si>
  <si>
    <t>mensual</t>
  </si>
  <si>
    <t xml:space="preserve">tablero de control con informacion oportuna </t>
  </si>
  <si>
    <t>Escalar estado de la cadena de abastecimiento al comité de planeacion, produccion e intervencion</t>
  </si>
  <si>
    <t>Acta de reunion del comité de planeacion con los ajustes realizados</t>
  </si>
  <si>
    <t>Lider de seguimiento contractual GP</t>
  </si>
  <si>
    <t>Programacion de ordenes de produccion</t>
  </si>
  <si>
    <t>Fallas en la trazabilidad de los pedidos</t>
  </si>
  <si>
    <t>colaboración interna
Presiones o motivaciones individuales, sociales o colectivas, que  inciten a realizar conductas contrarias al deber ser.
Presiones o exigencias irregulares por parte de terceros</t>
  </si>
  <si>
    <t>Disminución de la capacidad operativa</t>
  </si>
  <si>
    <t>El profesional lider de produccion</t>
  </si>
  <si>
    <t>El gerente de produccion</t>
  </si>
  <si>
    <t>Alimentar adecuadamente el archivo de despachos de la sede de produccion</t>
  </si>
  <si>
    <t>Gestionar la base de datos de seguimiento de contratos del tablero de control SPAL</t>
  </si>
  <si>
    <t>escalar a Secretaria General para iniciar investigacion</t>
  </si>
  <si>
    <t>memorando de reporte de novedad</t>
  </si>
  <si>
    <t>Gerente de produccion</t>
  </si>
  <si>
    <t>Base de datos contractual actualizada</t>
  </si>
  <si>
    <t>Profesional consolidacion seguimiento de contratos</t>
  </si>
  <si>
    <t>Profesional a cargo de la produccion</t>
  </si>
  <si>
    <t>Base de datos de despacho actualizada</t>
  </si>
  <si>
    <t>Programar, producir y/o despachar mezclas asfalticas en frio, caliente, concreto hidraulico y materiales requeridos para el desarrollo de las actividades de la entidad, con oportunidad y calidad acorde con los requerimientos de calidad.</t>
  </si>
  <si>
    <t>El proceso inicia con la Identificación de las cantidades solicitadas y conciliadas de las mezclas y materiales a producir y/o entregar. Continúa con la revisión de disponibilidad de materiales, mezclas, plantas industriales y del recurso humano requerido para el suministro de las necesidades solicitadas para la intervención de las obras, y finaliza con su produccion y/o alistamiento y despacho al cliente interno o externo.</t>
  </si>
  <si>
    <t>debido a la alteración o modificación no autorizada de la informacion de la bitacora de produccion</t>
  </si>
  <si>
    <t>Realizar los registros de produccion en bitacora</t>
  </si>
  <si>
    <t>bitacora de produccion</t>
  </si>
  <si>
    <t>SOFWARE</t>
  </si>
  <si>
    <t>Base de datos aplicativo Sigma</t>
  </si>
  <si>
    <t>Base de datos</t>
  </si>
  <si>
    <t>falta de informacion para apoyar la toma de decisiones</t>
  </si>
  <si>
    <t>actualizar la bitacora de produccion</t>
  </si>
  <si>
    <t>lider de produccion</t>
  </si>
  <si>
    <t>bitacora actualizada a frecuencia mensual</t>
  </si>
  <si>
    <t>El lider de produccion</t>
  </si>
  <si>
    <r>
      <rPr>
        <b/>
        <sz val="12"/>
        <rFont val="Arial"/>
        <family val="2"/>
      </rPr>
      <t>mesualmente</t>
    </r>
    <r>
      <rPr>
        <sz val="12"/>
        <rFont val="Arial"/>
        <family val="2"/>
      </rPr>
      <t xml:space="preserve"> la continuidad de los back ups de la bitacora con volumenes totales producidos y/ despachados con los valores totales del informe de produccion. De encontrar desviaciones por no disponibilidad del </t>
    </r>
    <r>
      <rPr>
        <b/>
        <u/>
        <sz val="12"/>
        <rFont val="Arial"/>
        <family val="2"/>
      </rPr>
      <t>mismo</t>
    </r>
    <r>
      <rPr>
        <sz val="12"/>
        <rFont val="Arial"/>
        <family val="2"/>
      </rPr>
      <t xml:space="preserve"> solicita la generacion de back up adicional</t>
    </r>
  </si>
  <si>
    <t>mensualmente que los backups de la bitácora hayan sido realizados correctamente y estén completos, esta validación debe incluir la revisión de la correcta ejecución de los respaldos, asegurándose de que no haya errores ni omisiones, y garantizando que la información esté completamente respaldada</t>
  </si>
  <si>
    <t>gerente de produccion</t>
  </si>
  <si>
    <t>se detuvo la operación afectando la programación de las intervenciones</t>
  </si>
  <si>
    <t xml:space="preserve">por sanciones o no conformidades de los entes de control o la OCI  por el desabastecimiento de mezcla o insumos para el cumplimiento de la misionalidad </t>
  </si>
  <si>
    <t xml:space="preserve">debido a deficiencias en la programación del material o control de los insumos para cumplir con las solicitudes concertadas. </t>
  </si>
  <si>
    <t>la revisión o control de los servidores públicos que participan en el proceso de despacho y asignación de materias primas o producto terminado en favor de un privado o tercero,</t>
  </si>
  <si>
    <t>mensualmente los avances de ejecución reportados en los informes de supervisión de los contratos de suministro de materias primas de la Gerencia de producción, registrando la trazabilidad en el acta del Comité de seguimiento contractual y presupuestal Proyectos Misionales de la Subdirección de producción
De encontrar diferencias el Gerente de producción solicita las verificaciones correspondientes respecto a los informes de supervisión de los contratos de materias primas y la corroboración de báscula de entrada, para identificar el faltante y escalar al área correspondiente para iniciar la investigación.</t>
  </si>
  <si>
    <r>
      <t>la exactitud en PRO-DI-001 donde se registran las ordenes de producción y los documentos soporte de materias primas por pedido a corte mensual. Registrando la trazabilidad en</t>
    </r>
    <r>
      <rPr>
        <b/>
        <sz val="12"/>
        <rFont val="Arial"/>
        <family val="2"/>
      </rPr>
      <t xml:space="preserve"> el acta de la mesa de</t>
    </r>
    <r>
      <rPr>
        <sz val="12"/>
        <rFont val="Arial"/>
        <family val="2"/>
      </rPr>
      <t xml:space="preserve"> trabajo con el Gerente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</si>
  <si>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t>debido a deficiencias en el control  de la entrega de materias primas o producto terminado asociado a las ordenes de produccion y /o despachos gestionadas para nuestro clientes internos y externos.</t>
  </si>
  <si>
    <t>mensualmente los informes de supervisión de la ejecución de los contratos a cargo de la Gerencia de producción, su ejecución y avance en el tablero de control de la mesa de seguimiento contractual y presupuestal Proyectos Misionales de la Subdirección de producción y apoyo logístico, con el objetivo de gestionar las modificaciones contractuales para la continuidad del suministro de mezclas, los cuales se documentan en el acta de la mesa de trabajo.
En caso de presentarse o identificar novedades que afecten significativamente el despacho, se escala al Comité de planificación, producción e intervención incluyéndolo en el orden del día para tomar las acciones relacionadas con la capacidad y programación ofertada de manera consensuada en la cadena de valor misional.</t>
  </si>
  <si>
    <t>Mensualmente el reporte de avance mensual y variaciones de metas institucionales de la gerencia de intervención con el plan anual de adquisiciones a su cargo e informar al equipo de trabajo de la Gerencia de producción las variaciones en la demanda de recursos para la toma de decisiones relacionadas con la gestión contractual y ajustar la capacidad de acuerdo con esas necesidades registradas en el acta mesa de seguimiento contractual y presupuestal Proyectos Misionales de la Subdirección de producción y apoyo logístico, 
En caso de presentarse o identificar novedades que afecten significativamente el volumen se escala al Comité de planificación, producción e intervención incluyéndolo en el orden del día para tomar las acciones relacionadas con la capacidad y programación ofertada de manera consensuada en la cadena de valor misional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</si>
</sst>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0.0%"/>
    <numFmt numFmtId="165" formatCode="_-&quot;$&quot;\ * #,##0_-;\-&quot;$&quot;\ * #,##0_-;_-&quot;$&quot;\ * &quot;-&quot;??_-;_-@_-"/>
    <numFmt numFmtId="166" formatCode="&quot;$&quot;\ #,##0.00"/>
    <numFmt numFmtId="167" formatCode="mm/dd/yyyy"/>
  </numFmts>
  <fonts count="126"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b/>
      <sz val="9"/>
      <color rgb="FF548DD4"/>
      <name val="Arial"/>
      <family val="2"/>
    </font>
    <font>
      <sz val="9"/>
      <color rgb="FF548DD4"/>
      <name val="Arial"/>
      <family val="2"/>
    </font>
    <font>
      <b/>
      <sz val="9"/>
      <name val="Arial"/>
      <family val="2"/>
    </font>
    <font>
      <sz val="9"/>
      <name val="Arial"/>
      <family val="2"/>
    </font>
    <font>
      <sz val="11"/>
      <name val="Arial"/>
      <family val="2"/>
    </font>
    <font>
      <sz val="8"/>
      <color theme="1"/>
      <name val="Calibri"/>
      <family val="2"/>
      <scheme val="minor"/>
    </font>
    <font>
      <sz val="14"/>
      <color rgb="FF000000"/>
      <name val="Arial Narrow"/>
      <family val="2"/>
    </font>
    <font>
      <sz val="14"/>
      <color rgb="FFFFFFFF"/>
      <name val="Arial Narrow"/>
      <family val="2"/>
    </font>
    <font>
      <sz val="11"/>
      <color rgb="FF030303"/>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theme="1"/>
      <name val="Arial Narrow"/>
      <family val="2"/>
    </font>
    <font>
      <b/>
      <sz val="10"/>
      <color rgb="FF000000"/>
      <name val="Arial Narrow"/>
      <family val="2"/>
    </font>
    <font>
      <sz val="10"/>
      <color rgb="FFFFFFFF"/>
      <name val="Arial Narrow"/>
      <family val="2"/>
    </font>
    <font>
      <b/>
      <sz val="13"/>
      <name val="Arial"/>
      <family val="2"/>
    </font>
    <font>
      <sz val="11"/>
      <color rgb="FF000000"/>
      <name val="Calibri"/>
      <family val="2"/>
      <charset val="1"/>
    </font>
    <font>
      <sz val="16"/>
      <name val="Arial"/>
      <family val="2"/>
      <charset val="1"/>
    </font>
    <font>
      <b/>
      <sz val="16"/>
      <name val="Arial"/>
      <family val="2"/>
      <charset val="1"/>
    </font>
    <font>
      <b/>
      <sz val="16"/>
      <color rgb="FF953735"/>
      <name val="Arial"/>
      <family val="2"/>
      <charset val="1"/>
    </font>
    <font>
      <sz val="12"/>
      <name val="Arial"/>
      <family val="2"/>
      <charset val="1"/>
    </font>
    <font>
      <b/>
      <sz val="12"/>
      <name val="Arial"/>
      <family val="2"/>
      <charset val="1"/>
    </font>
    <font>
      <sz val="13"/>
      <name val="Arial"/>
      <family val="2"/>
      <charset val="1"/>
    </font>
    <font>
      <sz val="12"/>
      <color rgb="FF000000"/>
      <name val="Arial"/>
      <family val="2"/>
      <charset val="1"/>
    </font>
    <font>
      <sz val="13"/>
      <color rgb="FF000000"/>
      <name val="Calibri"/>
      <family val="2"/>
      <charset val="1"/>
    </font>
    <font>
      <sz val="11"/>
      <name val="Arial"/>
      <family val="2"/>
      <charset val="1"/>
    </font>
    <font>
      <sz val="8"/>
      <name val="Arial"/>
      <family val="2"/>
      <charset val="1"/>
    </font>
    <font>
      <b/>
      <sz val="8"/>
      <name val="Arial"/>
      <family val="2"/>
      <charset val="1"/>
    </font>
    <font>
      <sz val="12"/>
      <color theme="0" tint="-0.34998626667073579"/>
      <name val="Arial"/>
      <family val="2"/>
      <charset val="1"/>
    </font>
    <font>
      <b/>
      <sz val="12"/>
      <color rgb="FF002060"/>
      <name val="Arial"/>
      <family val="2"/>
    </font>
    <font>
      <sz val="12"/>
      <color rgb="FF002060"/>
      <name val="Arial"/>
      <family val="2"/>
    </font>
    <font>
      <b/>
      <sz val="12"/>
      <color rgb="FF7030A0"/>
      <name val="Arial"/>
      <family val="2"/>
    </font>
    <font>
      <sz val="12"/>
      <color rgb="FF7030A0"/>
      <name val="Arial"/>
      <family val="2"/>
    </font>
    <font>
      <b/>
      <sz val="12"/>
      <color theme="8" tint="-0.499984740745262"/>
      <name val="Arial"/>
      <family val="2"/>
    </font>
    <font>
      <sz val="12"/>
      <color theme="8" tint="-0.499984740745262"/>
      <name val="Arial"/>
      <family val="2"/>
    </font>
    <font>
      <b/>
      <u/>
      <sz val="12"/>
      <name val="Arial"/>
      <family val="2"/>
    </font>
  </fonts>
  <fills count="4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AEEF3"/>
        <bgColor indexed="64"/>
      </patternFill>
    </fill>
    <fill>
      <patternFill patternType="solid">
        <fgColor rgb="FF4BACC6"/>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4" tint="0.39997558519241921"/>
        <bgColor indexed="64"/>
      </patternFill>
    </fill>
    <fill>
      <patternFill patternType="solid">
        <fgColor rgb="FFFFFFFF"/>
        <bgColor rgb="FFF2F2F2"/>
      </patternFill>
    </fill>
    <fill>
      <patternFill patternType="solid">
        <fgColor rgb="FFD9D9D9"/>
        <bgColor rgb="FFDDD9C3"/>
      </patternFill>
    </fill>
    <fill>
      <patternFill patternType="solid">
        <fgColor rgb="FFB9CDE5"/>
        <bgColor rgb="FFB7DEE8"/>
      </patternFill>
    </fill>
    <fill>
      <patternFill patternType="solid">
        <fgColor rgb="FFBFBFBF"/>
        <bgColor rgb="FFCCC1DA"/>
      </patternFill>
    </fill>
    <fill>
      <patternFill patternType="solid">
        <fgColor rgb="FFB7DEE8"/>
        <bgColor rgb="FFB9CDE5"/>
      </patternFill>
    </fill>
    <fill>
      <patternFill patternType="solid">
        <fgColor rgb="FFFCD5B5"/>
        <bgColor rgb="FFFFC7CE"/>
      </patternFill>
    </fill>
    <fill>
      <patternFill patternType="solid">
        <fgColor rgb="FFC3D69B"/>
        <bgColor rgb="FFD7E4BD"/>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medium">
        <color rgb="FF92CDDC"/>
      </bottom>
      <diagonal/>
    </border>
    <border>
      <left style="medium">
        <color rgb="FF4F6228"/>
      </left>
      <right/>
      <top style="medium">
        <color rgb="FF4F6228"/>
      </top>
      <bottom style="medium">
        <color rgb="FF4F6228"/>
      </bottom>
      <diagonal/>
    </border>
    <border>
      <left style="medium">
        <color auto="1"/>
      </left>
      <right style="medium">
        <color auto="1"/>
      </right>
      <top style="medium">
        <color auto="1"/>
      </top>
      <bottom style="hair">
        <color rgb="FF4F6228"/>
      </bottom>
      <diagonal/>
    </border>
    <border>
      <left style="medium">
        <color auto="1"/>
      </left>
      <right style="medium">
        <color auto="1"/>
      </right>
      <top style="hair">
        <color rgb="FF4F6228"/>
      </top>
      <bottom style="hair">
        <color rgb="FF4F6228"/>
      </bottom>
      <diagonal/>
    </border>
    <border>
      <left style="medium">
        <color auto="1"/>
      </left>
      <right style="medium">
        <color auto="1"/>
      </right>
      <top style="hair">
        <color rgb="FF4F6228"/>
      </top>
      <bottom style="medium">
        <color auto="1"/>
      </bottom>
      <diagonal/>
    </border>
    <border>
      <left style="hair">
        <color rgb="FF4F6228"/>
      </left>
      <right/>
      <top/>
      <bottom style="hair">
        <color rgb="FF4F6228"/>
      </bottom>
      <diagonal/>
    </border>
    <border>
      <left/>
      <right/>
      <top/>
      <bottom style="hair">
        <color rgb="FF4F6228"/>
      </bottom>
      <diagonal/>
    </border>
    <border>
      <left style="hair">
        <color rgb="FF4F6228"/>
      </left>
      <right style="hair">
        <color rgb="FF4F6228"/>
      </right>
      <top/>
      <bottom style="hair">
        <color rgb="FF4F6228"/>
      </bottom>
      <diagonal/>
    </border>
    <border>
      <left/>
      <right style="hair">
        <color rgb="FF4F6228"/>
      </right>
      <top/>
      <bottom style="hair">
        <color rgb="FF4F6228"/>
      </bottom>
      <diagonal/>
    </border>
    <border>
      <left style="hair">
        <color rgb="FF4F6228"/>
      </left>
      <right style="hair">
        <color rgb="FF4F6228"/>
      </right>
      <top style="hair">
        <color rgb="FF4F6228"/>
      </top>
      <bottom style="hair">
        <color rgb="FF4F6228"/>
      </bottom>
      <diagonal/>
    </border>
    <border>
      <left style="dashed">
        <color rgb="FFE46C0A"/>
      </left>
      <right style="dashed">
        <color rgb="FFE46C0A"/>
      </right>
      <top/>
      <bottom style="dashed">
        <color rgb="FFE46C0A"/>
      </bottom>
      <diagonal/>
    </border>
    <border>
      <left style="dashed">
        <color rgb="FFE46C0A"/>
      </left>
      <right/>
      <top/>
      <bottom style="dashed">
        <color rgb="FFE46C0A"/>
      </bottom>
      <diagonal/>
    </border>
    <border>
      <left style="hair">
        <color rgb="FF4F6228"/>
      </left>
      <right style="hair">
        <color rgb="FF4F6228"/>
      </right>
      <top style="hair">
        <color rgb="FF4F6228"/>
      </top>
      <bottom/>
      <diagonal/>
    </border>
    <border>
      <left style="hair">
        <color rgb="FF4F6228"/>
      </left>
      <right style="hair">
        <color rgb="FF4F6228"/>
      </right>
      <top/>
      <bottom/>
      <diagonal/>
    </border>
  </borders>
  <cellStyleXfs count="9">
    <xf numFmtId="0" fontId="0" fillId="0" borderId="0"/>
    <xf numFmtId="9" fontId="12" fillId="0" borderId="0" applyFont="0" applyFill="0" applyBorder="0" applyAlignment="0" applyProtection="0"/>
    <xf numFmtId="0" fontId="41" fillId="0" borderId="0"/>
    <xf numFmtId="0" fontId="42" fillId="0" borderId="0"/>
    <xf numFmtId="0" fontId="4" fillId="0" borderId="0"/>
    <xf numFmtId="44" fontId="12" fillId="0" borderId="0" applyFont="0" applyFill="0" applyBorder="0" applyAlignment="0" applyProtection="0"/>
    <xf numFmtId="44" fontId="12" fillId="0" borderId="0" applyFont="0" applyFill="0" applyBorder="0" applyAlignment="0" applyProtection="0"/>
    <xf numFmtId="0" fontId="106" fillId="0" borderId="0"/>
    <xf numFmtId="9" fontId="106" fillId="0" borderId="0" applyBorder="0" applyProtection="0"/>
  </cellStyleXfs>
  <cellXfs count="79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7" fillId="6" borderId="0" xfId="0" applyFont="1" applyFill="1" applyAlignment="1">
      <alignment horizontal="center" vertical="center" wrapText="1" readingOrder="1"/>
    </xf>
    <xf numFmtId="0" fontId="28" fillId="5" borderId="4" xfId="0" applyFont="1" applyFill="1" applyBorder="1" applyAlignment="1">
      <alignment horizontal="center" vertical="center" wrapText="1" readingOrder="1"/>
    </xf>
    <xf numFmtId="0" fontId="28" fillId="7" borderId="1"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8" fillId="0" borderId="4"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3" fillId="3" borderId="40" xfId="2" applyFont="1" applyFill="1" applyBorder="1"/>
    <xf numFmtId="0" fontId="43" fillId="3" borderId="41" xfId="2" applyFont="1" applyFill="1" applyBorder="1"/>
    <xf numFmtId="0" fontId="43" fillId="3" borderId="42" xfId="2" applyFont="1" applyFill="1" applyBorder="1"/>
    <xf numFmtId="0" fontId="14" fillId="3" borderId="0" xfId="0" applyFont="1" applyFill="1" applyAlignment="1">
      <alignment vertical="center"/>
    </xf>
    <xf numFmtId="0" fontId="4" fillId="3" borderId="0" xfId="0" applyFont="1" applyFill="1"/>
    <xf numFmtId="0" fontId="31" fillId="3" borderId="0" xfId="0" applyFont="1" applyFill="1"/>
    <xf numFmtId="0" fontId="32" fillId="3" borderId="23" xfId="0" applyFont="1" applyFill="1" applyBorder="1" applyAlignment="1">
      <alignment horizontal="center" vertical="center" wrapText="1" readingOrder="1"/>
    </xf>
    <xf numFmtId="0" fontId="33" fillId="3" borderId="23" xfId="0" applyFont="1" applyFill="1" applyBorder="1" applyAlignment="1">
      <alignment horizontal="justify" vertical="center" wrapText="1" readingOrder="1"/>
    </xf>
    <xf numFmtId="9" fontId="32" fillId="3" borderId="32" xfId="0" applyNumberFormat="1"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3" fillId="3" borderId="22" xfId="0" applyFont="1" applyFill="1" applyBorder="1" applyAlignment="1">
      <alignment horizontal="justify" vertical="center" wrapText="1" readingOrder="1"/>
    </xf>
    <xf numFmtId="9" fontId="32" fillId="3" borderId="27" xfId="0" applyNumberFormat="1" applyFont="1" applyFill="1" applyBorder="1" applyAlignment="1">
      <alignment horizontal="center" vertical="center" wrapText="1" readingOrder="1"/>
    </xf>
    <xf numFmtId="0" fontId="33" fillId="3" borderId="27"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33" fillId="3" borderId="29" xfId="0" applyFont="1" applyFill="1" applyBorder="1" applyAlignment="1">
      <alignment horizontal="justify" vertical="center" wrapText="1" readingOrder="1"/>
    </xf>
    <xf numFmtId="0" fontId="33" fillId="3" borderId="30" xfId="0" applyFont="1" applyFill="1" applyBorder="1" applyAlignment="1">
      <alignment horizontal="center" vertical="center" wrapText="1" readingOrder="1"/>
    </xf>
    <xf numFmtId="0" fontId="40" fillId="3" borderId="0" xfId="0" applyFont="1" applyFill="1"/>
    <xf numFmtId="0" fontId="32" fillId="15" borderId="34" xfId="0" applyFont="1" applyFill="1" applyBorder="1" applyAlignment="1">
      <alignment horizontal="center" vertical="center" wrapText="1" readingOrder="1"/>
    </xf>
    <xf numFmtId="0" fontId="32"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3" fillId="3" borderId="7" xfId="2" applyFont="1" applyFill="1" applyBorder="1"/>
    <xf numFmtId="0" fontId="48" fillId="3" borderId="0" xfId="0" applyFont="1" applyFill="1" applyAlignment="1">
      <alignment horizontal="left" vertical="center" wrapText="1"/>
    </xf>
    <xf numFmtId="0" fontId="49" fillId="3" borderId="0" xfId="0" applyFont="1" applyFill="1" applyAlignment="1">
      <alignment horizontal="left" vertical="top" wrapText="1"/>
    </xf>
    <xf numFmtId="0" fontId="43" fillId="3" borderId="0" xfId="2" applyFont="1" applyFill="1"/>
    <xf numFmtId="0" fontId="43" fillId="3" borderId="8" xfId="2" applyFont="1" applyFill="1" applyBorder="1"/>
    <xf numFmtId="0" fontId="43" fillId="3" borderId="9" xfId="2" applyFont="1" applyFill="1" applyBorder="1"/>
    <xf numFmtId="0" fontId="43" fillId="3" borderId="11" xfId="2" applyFont="1" applyFill="1" applyBorder="1"/>
    <xf numFmtId="0" fontId="43" fillId="3" borderId="10" xfId="2" applyFont="1" applyFill="1" applyBorder="1"/>
    <xf numFmtId="0" fontId="47" fillId="3" borderId="0" xfId="2" applyFont="1" applyFill="1" applyAlignment="1">
      <alignment horizontal="left" vertical="center" wrapText="1"/>
    </xf>
    <xf numFmtId="0" fontId="43" fillId="3" borderId="0" xfId="2" applyFont="1" applyFill="1" applyAlignment="1">
      <alignment horizontal="left" vertical="center" wrapText="1"/>
    </xf>
    <xf numFmtId="0" fontId="43" fillId="3" borderId="0" xfId="2" quotePrefix="1" applyFont="1" applyFill="1" applyAlignment="1">
      <alignment horizontal="left" vertical="center" wrapText="1"/>
    </xf>
    <xf numFmtId="0" fontId="45" fillId="3" borderId="7" xfId="2" quotePrefix="1" applyFont="1" applyFill="1" applyBorder="1" applyAlignment="1">
      <alignment horizontal="left" vertical="top" wrapText="1"/>
    </xf>
    <xf numFmtId="0" fontId="46" fillId="3" borderId="0" xfId="2" quotePrefix="1" applyFont="1" applyFill="1" applyAlignment="1">
      <alignment horizontal="left" vertical="top" wrapText="1"/>
    </xf>
    <xf numFmtId="0" fontId="46" fillId="3" borderId="8" xfId="2" quotePrefix="1" applyFont="1" applyFill="1" applyBorder="1" applyAlignment="1">
      <alignment horizontal="left" vertical="top" wrapText="1"/>
    </xf>
    <xf numFmtId="0" fontId="28" fillId="0" borderId="64" xfId="0" applyFont="1" applyBorder="1" applyAlignment="1">
      <alignment horizontal="justify" vertical="center" wrapText="1" readingOrder="1"/>
    </xf>
    <xf numFmtId="0" fontId="28" fillId="0" borderId="65" xfId="0" applyFont="1" applyBorder="1" applyAlignment="1">
      <alignment horizontal="justify" vertical="center" wrapText="1" readingOrder="1"/>
    </xf>
    <xf numFmtId="165" fontId="26"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3" fillId="3" borderId="0" xfId="0" applyFont="1" applyFill="1"/>
    <xf numFmtId="0" fontId="54" fillId="3" borderId="0" xfId="0" applyFont="1" applyFill="1" applyAlignment="1">
      <alignment horizontal="justify" vertical="center" wrapText="1" readingOrder="1"/>
    </xf>
    <xf numFmtId="0" fontId="53" fillId="0" borderId="0" xfId="0" applyFont="1"/>
    <xf numFmtId="0" fontId="55" fillId="3" borderId="0" xfId="0" applyFont="1" applyFill="1" applyAlignment="1">
      <alignment vertical="center"/>
    </xf>
    <xf numFmtId="44" fontId="0"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6" fillId="0" borderId="0" xfId="0" applyFont="1"/>
    <xf numFmtId="0" fontId="57" fillId="0" borderId="0" xfId="0" applyFont="1"/>
    <xf numFmtId="0" fontId="58" fillId="0" borderId="0" xfId="0" applyFont="1"/>
    <xf numFmtId="0" fontId="59" fillId="0" borderId="0" xfId="0" applyFont="1" applyAlignment="1">
      <alignment wrapText="1"/>
    </xf>
    <xf numFmtId="0" fontId="58" fillId="0" borderId="0" xfId="0" applyFont="1" applyAlignment="1">
      <alignment wrapText="1"/>
    </xf>
    <xf numFmtId="0" fontId="56" fillId="0" borderId="8" xfId="0" applyFont="1" applyBorder="1"/>
    <xf numFmtId="0" fontId="61" fillId="0" borderId="8" xfId="0" applyFont="1" applyBorder="1"/>
    <xf numFmtId="0" fontId="62" fillId="19" borderId="69" xfId="0" applyFont="1" applyFill="1" applyBorder="1" applyAlignment="1">
      <alignment horizontal="center" vertical="center" wrapText="1"/>
    </xf>
    <xf numFmtId="0" fontId="63" fillId="19" borderId="10" xfId="0" applyFont="1" applyFill="1" applyBorder="1" applyAlignment="1">
      <alignment horizontal="center" vertical="center" wrapText="1"/>
    </xf>
    <xf numFmtId="0" fontId="62" fillId="19" borderId="33" xfId="0" applyFont="1" applyFill="1" applyBorder="1" applyAlignment="1">
      <alignment horizontal="center" vertical="center" wrapText="1"/>
    </xf>
    <xf numFmtId="0" fontId="61" fillId="0" borderId="0" xfId="0" applyFont="1"/>
    <xf numFmtId="0" fontId="62" fillId="19" borderId="69" xfId="0" applyFont="1" applyFill="1" applyBorder="1" applyAlignment="1">
      <alignment horizontal="center" vertical="center" textRotation="90" wrapText="1"/>
    </xf>
    <xf numFmtId="0" fontId="59" fillId="0" borderId="6" xfId="0" applyFont="1" applyBorder="1" applyAlignment="1">
      <alignment horizontal="justify" vertical="center" wrapText="1"/>
    </xf>
    <xf numFmtId="0" fontId="62" fillId="19" borderId="68" xfId="0" applyFont="1" applyFill="1" applyBorder="1" applyAlignment="1">
      <alignment horizontal="center" vertical="center" textRotation="90" wrapText="1"/>
    </xf>
    <xf numFmtId="0" fontId="59" fillId="0" borderId="68" xfId="0" applyFont="1" applyBorder="1" applyAlignment="1">
      <alignment horizontal="left" vertical="center" wrapText="1"/>
    </xf>
    <xf numFmtId="0" fontId="62" fillId="19" borderId="71" xfId="0" applyFont="1" applyFill="1" applyBorder="1" applyAlignment="1">
      <alignment horizontal="center" vertical="center" textRotation="90" wrapText="1"/>
    </xf>
    <xf numFmtId="0" fontId="59" fillId="0" borderId="69" xfId="0" applyFont="1" applyBorder="1" applyAlignment="1">
      <alignment horizontal="left" vertical="center" wrapText="1"/>
    </xf>
    <xf numFmtId="0" fontId="62" fillId="19" borderId="6" xfId="0" applyFont="1" applyFill="1" applyBorder="1" applyAlignment="1">
      <alignment horizontal="center" vertical="center" textRotation="90" wrapText="1"/>
    </xf>
    <xf numFmtId="0" fontId="66" fillId="0" borderId="68" xfId="0" applyFont="1" applyBorder="1" applyAlignment="1">
      <alignment horizontal="left" vertical="center" wrapText="1"/>
    </xf>
    <xf numFmtId="0" fontId="62" fillId="19" borderId="36" xfId="0" applyFont="1" applyFill="1" applyBorder="1" applyAlignment="1">
      <alignment horizontal="center" vertical="center" textRotation="90" wrapText="1"/>
    </xf>
    <xf numFmtId="0" fontId="67" fillId="0" borderId="8" xfId="0" applyFont="1" applyBorder="1"/>
    <xf numFmtId="0" fontId="68" fillId="20" borderId="6" xfId="0" applyFont="1" applyFill="1" applyBorder="1" applyAlignment="1">
      <alignment horizontal="center" vertical="center" textRotation="90" wrapText="1"/>
    </xf>
    <xf numFmtId="0" fontId="67" fillId="0" borderId="0" xfId="0" applyFont="1"/>
    <xf numFmtId="0" fontId="67" fillId="20" borderId="36" xfId="0" applyFont="1" applyFill="1" applyBorder="1"/>
    <xf numFmtId="0" fontId="69" fillId="20" borderId="69" xfId="0" applyFont="1" applyFill="1" applyBorder="1" applyAlignment="1">
      <alignment horizontal="center" vertical="center" wrapText="1"/>
    </xf>
    <xf numFmtId="0" fontId="68" fillId="20" borderId="69" xfId="0" applyFont="1" applyFill="1" applyBorder="1" applyAlignment="1">
      <alignment horizontal="center" vertical="center" wrapText="1"/>
    </xf>
    <xf numFmtId="0" fontId="63" fillId="0" borderId="0" xfId="0" applyFont="1" applyAlignment="1">
      <alignment horizontal="center" vertical="center"/>
    </xf>
    <xf numFmtId="0" fontId="62" fillId="0" borderId="0" xfId="0" applyFont="1" applyAlignment="1">
      <alignment horizontal="center" vertical="center"/>
    </xf>
    <xf numFmtId="0" fontId="59" fillId="0" borderId="0" xfId="0" applyFont="1"/>
    <xf numFmtId="0" fontId="70" fillId="0" borderId="0" xfId="0" applyFont="1" applyAlignment="1">
      <alignment vertical="center" wrapText="1"/>
    </xf>
    <xf numFmtId="0" fontId="70" fillId="0" borderId="73"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2" xfId="0" applyFont="1" applyBorder="1" applyAlignment="1">
      <alignment vertical="center" wrapText="1"/>
    </xf>
    <xf numFmtId="0" fontId="70" fillId="0" borderId="27" xfId="0" applyFont="1" applyBorder="1" applyAlignment="1">
      <alignment vertical="center" wrapText="1"/>
    </xf>
    <xf numFmtId="0" fontId="72" fillId="16" borderId="29" xfId="0" applyFont="1" applyFill="1" applyBorder="1" applyAlignment="1">
      <alignment horizontal="center" vertical="center" wrapText="1"/>
    </xf>
    <xf numFmtId="0" fontId="72" fillId="16" borderId="30" xfId="0" applyFont="1" applyFill="1" applyBorder="1" applyAlignment="1">
      <alignment horizontal="center" vertical="center" wrapText="1"/>
    </xf>
    <xf numFmtId="0" fontId="74" fillId="19" borderId="69" xfId="0" applyFont="1" applyFill="1" applyBorder="1" applyAlignment="1">
      <alignment horizontal="center" vertical="center" wrapText="1"/>
    </xf>
    <xf numFmtId="0" fontId="74" fillId="19" borderId="36" xfId="0" applyFont="1" applyFill="1" applyBorder="1" applyAlignment="1">
      <alignment horizontal="center" vertical="center" wrapText="1"/>
    </xf>
    <xf numFmtId="0" fontId="75" fillId="0" borderId="10" xfId="0" applyFont="1" applyBorder="1" applyAlignment="1">
      <alignment horizontal="justify" vertical="center" wrapText="1"/>
    </xf>
    <xf numFmtId="0" fontId="59" fillId="0" borderId="5" xfId="0" applyFont="1" applyBorder="1" applyAlignment="1">
      <alignment horizontal="justify" vertical="center" wrapText="1"/>
    </xf>
    <xf numFmtId="0" fontId="59" fillId="0" borderId="5" xfId="0" applyFont="1" applyBorder="1" applyAlignment="1">
      <alignment horizontal="left" vertical="center" wrapText="1"/>
    </xf>
    <xf numFmtId="0" fontId="58" fillId="0" borderId="24" xfId="0" applyFont="1" applyBorder="1" applyAlignment="1">
      <alignment horizontal="left" vertical="center" wrapText="1"/>
    </xf>
    <xf numFmtId="0" fontId="58" fillId="0" borderId="5" xfId="0" applyFont="1" applyBorder="1" applyAlignment="1">
      <alignment horizontal="justify" vertical="center" wrapText="1"/>
    </xf>
    <xf numFmtId="0" fontId="61" fillId="0" borderId="79" xfId="0" applyFont="1" applyBorder="1" applyAlignment="1">
      <alignment horizontal="center" vertical="center"/>
    </xf>
    <xf numFmtId="0" fontId="61" fillId="0" borderId="78" xfId="0" applyFont="1" applyBorder="1" applyAlignment="1">
      <alignment horizontal="center" vertical="center"/>
    </xf>
    <xf numFmtId="0" fontId="67" fillId="0" borderId="80" xfId="0" applyFont="1" applyBorder="1" applyAlignment="1">
      <alignment horizontal="center" vertical="center"/>
    </xf>
    <xf numFmtId="0" fontId="82" fillId="0" borderId="78" xfId="0" applyFont="1" applyBorder="1" applyAlignment="1">
      <alignment vertical="center" wrapText="1"/>
    </xf>
    <xf numFmtId="0" fontId="81" fillId="0" borderId="78" xfId="0" applyFont="1" applyBorder="1" applyAlignment="1">
      <alignment vertical="center"/>
    </xf>
    <xf numFmtId="0" fontId="81" fillId="0" borderId="78" xfId="0" applyFont="1" applyBorder="1" applyAlignment="1">
      <alignment vertical="center" wrapText="1"/>
    </xf>
    <xf numFmtId="0" fontId="81" fillId="24" borderId="0" xfId="0" applyFont="1" applyFill="1" applyAlignment="1">
      <alignment horizontal="center" vertical="center"/>
    </xf>
    <xf numFmtId="0" fontId="74" fillId="24" borderId="69" xfId="0" applyFont="1" applyFill="1" applyBorder="1" applyAlignment="1">
      <alignment horizontal="center" vertical="center" wrapText="1"/>
    </xf>
    <xf numFmtId="0" fontId="74" fillId="24" borderId="36" xfId="0" applyFont="1" applyFill="1" applyBorder="1" applyAlignment="1">
      <alignment horizontal="center" vertical="center" wrapText="1"/>
    </xf>
    <xf numFmtId="0" fontId="70" fillId="0" borderId="74" xfId="0" applyFont="1" applyBorder="1" applyAlignment="1">
      <alignment horizontal="center" vertical="center" wrapText="1"/>
    </xf>
    <xf numFmtId="0" fontId="70" fillId="0" borderId="75"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7" xfId="0" applyFont="1" applyBorder="1" applyAlignment="1">
      <alignment horizontal="center" vertical="center" wrapText="1"/>
    </xf>
    <xf numFmtId="0" fontId="0" fillId="3" borderId="0" xfId="0" applyFill="1" applyAlignment="1">
      <alignment vertical="top"/>
    </xf>
    <xf numFmtId="0" fontId="0" fillId="0" borderId="0" xfId="0" applyAlignment="1">
      <alignment vertical="top"/>
    </xf>
    <xf numFmtId="44" fontId="52" fillId="3" borderId="0" xfId="5" applyFont="1" applyFill="1" applyAlignment="1">
      <alignment vertical="top"/>
    </xf>
    <xf numFmtId="0" fontId="78" fillId="0" borderId="83" xfId="0" applyFont="1" applyBorder="1" applyAlignment="1" applyProtection="1">
      <alignment horizontal="center" vertical="center" wrapText="1"/>
      <protection locked="0"/>
    </xf>
    <xf numFmtId="0" fontId="78" fillId="0" borderId="83" xfId="0" applyFont="1" applyBorder="1" applyAlignment="1" applyProtection="1">
      <alignment horizontal="center" vertical="center"/>
      <protection hidden="1"/>
    </xf>
    <xf numFmtId="0" fontId="78" fillId="0" borderId="83" xfId="0" applyFont="1" applyBorder="1" applyAlignment="1" applyProtection="1">
      <alignment horizontal="center" vertical="center" textRotation="90"/>
      <protection locked="0"/>
    </xf>
    <xf numFmtId="9" fontId="78" fillId="0" borderId="83" xfId="0" applyNumberFormat="1" applyFont="1" applyBorder="1" applyAlignment="1" applyProtection="1">
      <alignment horizontal="center" vertical="center"/>
      <protection hidden="1"/>
    </xf>
    <xf numFmtId="164" fontId="78" fillId="0" borderId="83" xfId="1" applyNumberFormat="1" applyFont="1" applyFill="1" applyBorder="1" applyAlignment="1">
      <alignment horizontal="center" vertical="center"/>
    </xf>
    <xf numFmtId="0" fontId="79" fillId="0" borderId="83" xfId="0" applyFont="1" applyBorder="1" applyAlignment="1" applyProtection="1">
      <alignment horizontal="center" vertical="center" textRotation="90" wrapText="1"/>
      <protection hidden="1"/>
    </xf>
    <xf numFmtId="0" fontId="79" fillId="0" borderId="83" xfId="0" applyFont="1" applyBorder="1" applyAlignment="1" applyProtection="1">
      <alignment horizontal="center" vertical="center" textRotation="90"/>
      <protection hidden="1"/>
    </xf>
    <xf numFmtId="0" fontId="78" fillId="0" borderId="83" xfId="0" applyFont="1" applyBorder="1" applyAlignment="1" applyProtection="1">
      <alignment horizontal="center" vertical="center" textRotation="90" wrapText="1"/>
      <protection locked="0"/>
    </xf>
    <xf numFmtId="0" fontId="78" fillId="0" borderId="83" xfId="0" applyFont="1" applyBorder="1" applyAlignment="1" applyProtection="1">
      <alignment horizontal="center" vertical="center"/>
      <protection locked="0"/>
    </xf>
    <xf numFmtId="14" fontId="78" fillId="0" borderId="83" xfId="0" applyNumberFormat="1" applyFont="1" applyBorder="1" applyAlignment="1" applyProtection="1">
      <alignment horizontal="center" vertical="center"/>
      <protection locked="0"/>
    </xf>
    <xf numFmtId="0" fontId="78" fillId="0" borderId="0" xfId="0" applyFont="1"/>
    <xf numFmtId="0" fontId="83" fillId="3" borderId="0" xfId="0" applyFont="1" applyFill="1"/>
    <xf numFmtId="0" fontId="83" fillId="0" borderId="0" xfId="0" applyFont="1"/>
    <xf numFmtId="0" fontId="78" fillId="3" borderId="0" xfId="0" applyFont="1" applyFill="1" applyAlignment="1">
      <alignment horizontal="center" vertical="center"/>
    </xf>
    <xf numFmtId="0" fontId="78" fillId="3" borderId="0" xfId="0" applyFont="1" applyFill="1" applyAlignment="1">
      <alignment horizontal="left" vertical="center"/>
    </xf>
    <xf numFmtId="0" fontId="78" fillId="3" borderId="0" xfId="0" applyFont="1" applyFill="1"/>
    <xf numFmtId="0" fontId="78" fillId="3" borderId="0" xfId="0" applyFont="1" applyFill="1" applyAlignment="1">
      <alignment horizontal="center"/>
    </xf>
    <xf numFmtId="0" fontId="79" fillId="0" borderId="0" xfId="0" applyFont="1" applyAlignment="1">
      <alignment horizontal="left" vertical="center"/>
    </xf>
    <xf numFmtId="0" fontId="78" fillId="0" borderId="0" xfId="0" applyFont="1" applyAlignment="1" applyProtection="1">
      <alignment horizontal="left" vertical="center" wrapText="1"/>
      <protection locked="0"/>
    </xf>
    <xf numFmtId="0" fontId="79" fillId="0" borderId="0" xfId="0" applyFont="1"/>
    <xf numFmtId="0" fontId="78" fillId="0" borderId="0" xfId="0" applyFont="1" applyAlignment="1">
      <alignment horizontal="left" wrapText="1"/>
    </xf>
    <xf numFmtId="0" fontId="79" fillId="3" borderId="0" xfId="0" applyFont="1" applyFill="1" applyAlignment="1">
      <alignment horizontal="center" vertical="center"/>
    </xf>
    <xf numFmtId="0" fontId="79" fillId="0" borderId="0" xfId="0" applyFont="1" applyAlignment="1">
      <alignment horizontal="center" vertical="center"/>
    </xf>
    <xf numFmtId="0" fontId="79" fillId="2" borderId="0" xfId="0" applyFont="1" applyFill="1" applyAlignment="1">
      <alignment horizontal="center" vertical="center"/>
    </xf>
    <xf numFmtId="0" fontId="78" fillId="0" borderId="83" xfId="0" applyFont="1" applyBorder="1" applyAlignment="1">
      <alignment horizontal="center" vertical="center"/>
    </xf>
    <xf numFmtId="0" fontId="78" fillId="0" borderId="0" xfId="0" applyFont="1" applyAlignment="1">
      <alignment vertical="center"/>
    </xf>
    <xf numFmtId="0" fontId="78" fillId="0" borderId="3" xfId="0" applyFont="1" applyBorder="1" applyAlignment="1">
      <alignment horizontal="center" vertical="center"/>
    </xf>
    <xf numFmtId="0" fontId="78" fillId="0" borderId="0" xfId="0" applyFont="1" applyAlignment="1">
      <alignment wrapText="1"/>
    </xf>
    <xf numFmtId="0" fontId="78" fillId="0" borderId="0" xfId="0" applyFont="1" applyAlignment="1">
      <alignment horizontal="center" vertical="center"/>
    </xf>
    <xf numFmtId="0" fontId="78" fillId="0" borderId="0" xfId="0" applyFont="1" applyAlignment="1">
      <alignment horizontal="center"/>
    </xf>
    <xf numFmtId="166" fontId="28" fillId="0" borderId="64" xfId="0" applyNumberFormat="1" applyFont="1" applyBorder="1" applyAlignment="1">
      <alignment horizontal="center" vertical="center" wrapText="1" readingOrder="1"/>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5" borderId="7" xfId="0" applyFill="1" applyBorder="1"/>
    <xf numFmtId="0" fontId="0" fillId="25" borderId="0" xfId="0" applyFill="1"/>
    <xf numFmtId="0" fontId="0" fillId="25" borderId="9" xfId="0" applyFill="1" applyBorder="1"/>
    <xf numFmtId="0" fontId="0" fillId="25" borderId="11" xfId="0" applyFill="1" applyBorder="1"/>
    <xf numFmtId="0" fontId="0" fillId="0" borderId="11" xfId="0" applyBorder="1"/>
    <xf numFmtId="0" fontId="0" fillId="0" borderId="10" xfId="0" applyBorder="1"/>
    <xf numFmtId="0" fontId="81" fillId="0" borderId="24" xfId="0" applyFont="1" applyBorder="1"/>
    <xf numFmtId="0" fontId="81" fillId="0" borderId="25" xfId="0" applyFont="1" applyBorder="1"/>
    <xf numFmtId="0" fontId="0" fillId="0" borderId="25" xfId="0" applyBorder="1"/>
    <xf numFmtId="0" fontId="0" fillId="0" borderId="36" xfId="0" applyBorder="1"/>
    <xf numFmtId="0" fontId="84" fillId="0" borderId="83" xfId="0" applyFont="1" applyBorder="1" applyAlignment="1" applyProtection="1">
      <alignment horizontal="justify" vertical="center" wrapText="1"/>
      <protection locked="0"/>
    </xf>
    <xf numFmtId="0" fontId="85" fillId="26" borderId="102" xfId="0" applyFont="1" applyFill="1" applyBorder="1" applyAlignment="1" applyProtection="1">
      <alignment horizontal="center" vertical="center" wrapText="1"/>
      <protection hidden="1"/>
    </xf>
    <xf numFmtId="0" fontId="85" fillId="26" borderId="103" xfId="0" applyFont="1" applyFill="1" applyBorder="1" applyAlignment="1" applyProtection="1">
      <alignment horizontal="center" vertical="center" wrapText="1"/>
      <protection hidden="1"/>
    </xf>
    <xf numFmtId="0" fontId="85" fillId="26" borderId="104"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0" fillId="0" borderId="0" xfId="0" applyFont="1" applyAlignment="1">
      <alignment vertical="center"/>
    </xf>
    <xf numFmtId="0" fontId="81" fillId="0" borderId="70" xfId="0" applyFont="1" applyBorder="1" applyAlignment="1">
      <alignment vertical="center"/>
    </xf>
    <xf numFmtId="0" fontId="81" fillId="3" borderId="0" xfId="0" applyFont="1" applyFill="1"/>
    <xf numFmtId="0" fontId="77" fillId="0" borderId="0" xfId="0" applyFont="1" applyAlignment="1">
      <alignment vertical="center"/>
    </xf>
    <xf numFmtId="0" fontId="87" fillId="0" borderId="0" xfId="0" applyFont="1" applyAlignment="1">
      <alignment vertical="center"/>
    </xf>
    <xf numFmtId="0" fontId="78" fillId="3" borderId="0" xfId="0" applyFont="1" applyFill="1" applyAlignment="1">
      <alignment wrapText="1"/>
    </xf>
    <xf numFmtId="0" fontId="78" fillId="0" borderId="0" xfId="0" applyFont="1" applyAlignment="1" applyProtection="1">
      <alignment vertical="center"/>
      <protection locked="0"/>
    </xf>
    <xf numFmtId="0" fontId="78" fillId="3" borderId="0" xfId="0" applyFont="1" applyFill="1" applyAlignment="1" applyProtection="1">
      <alignment vertical="center" wrapText="1"/>
      <protection locked="0"/>
    </xf>
    <xf numFmtId="0" fontId="79" fillId="3" borderId="0" xfId="0" applyFont="1" applyFill="1"/>
    <xf numFmtId="0" fontId="78" fillId="23" borderId="0" xfId="0" applyFont="1" applyFill="1" applyAlignment="1">
      <alignment horizontal="center" vertical="center"/>
    </xf>
    <xf numFmtId="0" fontId="78" fillId="23" borderId="0" xfId="0" applyFont="1" applyFill="1"/>
    <xf numFmtId="0" fontId="78" fillId="23" borderId="0" xfId="0" applyFont="1" applyFill="1" applyAlignment="1">
      <alignment horizontal="center"/>
    </xf>
    <xf numFmtId="0" fontId="78" fillId="23" borderId="0" xfId="0" applyFont="1" applyFill="1" applyAlignment="1">
      <alignment wrapText="1"/>
    </xf>
    <xf numFmtId="0" fontId="78" fillId="0" borderId="83"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left"/>
    </xf>
    <xf numFmtId="0" fontId="73" fillId="21" borderId="12" xfId="0" applyFont="1" applyFill="1" applyBorder="1" applyAlignment="1">
      <alignment horizontal="center" vertical="center" wrapText="1"/>
    </xf>
    <xf numFmtId="0" fontId="79" fillId="27" borderId="83" xfId="0" applyFont="1" applyFill="1" applyBorder="1" applyAlignment="1">
      <alignment horizontal="center" vertical="center" textRotation="90"/>
    </xf>
    <xf numFmtId="0" fontId="79" fillId="27" borderId="83"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79" fillId="27" borderId="83" xfId="0" applyFont="1" applyFill="1" applyBorder="1" applyAlignment="1">
      <alignment horizontal="center" vertical="center" textRotation="90"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5" xfId="0" applyFont="1" applyFill="1" applyBorder="1" applyAlignment="1">
      <alignment horizontal="center" vertical="center" wrapText="1"/>
    </xf>
    <xf numFmtId="0" fontId="79" fillId="2" borderId="83" xfId="0" applyFont="1" applyFill="1" applyBorder="1" applyAlignment="1">
      <alignment horizontal="center" vertical="center" textRotation="90" wrapText="1"/>
    </xf>
    <xf numFmtId="0" fontId="70" fillId="0" borderId="0" xfId="0" applyFont="1"/>
    <xf numFmtId="0" fontId="94" fillId="0" borderId="0" xfId="0" applyFont="1"/>
    <xf numFmtId="0" fontId="92" fillId="0" borderId="0" xfId="0" applyFont="1" applyAlignment="1">
      <alignment horizontal="left" vertical="center" wrapText="1"/>
    </xf>
    <xf numFmtId="0" fontId="93" fillId="0" borderId="0" xfId="0" applyFont="1" applyAlignment="1">
      <alignment horizontal="justify" vertical="center" wrapText="1"/>
    </xf>
    <xf numFmtId="0" fontId="92" fillId="30" borderId="0" xfId="0" applyFont="1" applyFill="1" applyAlignment="1">
      <alignment horizontal="center" vertical="center" wrapText="1"/>
    </xf>
    <xf numFmtId="0" fontId="92" fillId="0" borderId="0" xfId="0" applyFont="1" applyAlignment="1">
      <alignment horizontal="left" vertical="center" wrapText="1" indent="1"/>
    </xf>
    <xf numFmtId="0" fontId="0" fillId="31" borderId="0" xfId="0" applyFill="1"/>
    <xf numFmtId="0" fontId="0" fillId="0" borderId="7" xfId="0" applyBorder="1"/>
    <xf numFmtId="0" fontId="95" fillId="0" borderId="0" xfId="0" applyFont="1"/>
    <xf numFmtId="0" fontId="96" fillId="5" borderId="4" xfId="0" applyFont="1" applyFill="1" applyBorder="1" applyAlignment="1">
      <alignment horizontal="center" vertical="center" wrapText="1" readingOrder="1"/>
    </xf>
    <xf numFmtId="0" fontId="96" fillId="7" borderId="1" xfId="0" applyFont="1" applyFill="1" applyBorder="1" applyAlignment="1">
      <alignment horizontal="center" vertical="center" wrapText="1" readingOrder="1"/>
    </xf>
    <xf numFmtId="0" fontId="96" fillId="4" borderId="1" xfId="0" applyFont="1" applyFill="1" applyBorder="1" applyAlignment="1">
      <alignment horizontal="center" vertical="center" wrapText="1" readingOrder="1"/>
    </xf>
    <xf numFmtId="0" fontId="96" fillId="8" borderId="1" xfId="0" applyFont="1" applyFill="1" applyBorder="1" applyAlignment="1">
      <alignment horizontal="center" vertical="center" wrapText="1" readingOrder="1"/>
    </xf>
    <xf numFmtId="0" fontId="97" fillId="9" borderId="1" xfId="0" applyFont="1" applyFill="1" applyBorder="1" applyAlignment="1">
      <alignment horizontal="center" vertical="center" wrapText="1" readingOrder="1"/>
    </xf>
    <xf numFmtId="0" fontId="53" fillId="3" borderId="0" xfId="0" applyFont="1" applyFill="1" applyAlignment="1">
      <alignment wrapText="1"/>
    </xf>
    <xf numFmtId="44" fontId="53" fillId="3" borderId="0" xfId="5" applyFont="1" applyFill="1" applyAlignment="1">
      <alignment horizontal="left" vertical="center" wrapText="1"/>
    </xf>
    <xf numFmtId="44" fontId="81" fillId="0" borderId="0" xfId="5" applyFont="1" applyAlignment="1">
      <alignment horizontal="left" vertical="center" wrapText="1"/>
    </xf>
    <xf numFmtId="44" fontId="12" fillId="3" borderId="0" xfId="5" applyFont="1" applyFill="1" applyAlignment="1">
      <alignment horizontal="left" vertical="top" wrapText="1"/>
    </xf>
    <xf numFmtId="44" fontId="12" fillId="3" borderId="0" xfId="5" applyFont="1" applyFill="1" applyAlignment="1">
      <alignment horizontal="left" vertical="center" wrapText="1"/>
    </xf>
    <xf numFmtId="0" fontId="12" fillId="3" borderId="0" xfId="0" applyFont="1" applyFill="1" applyAlignment="1">
      <alignment wrapText="1"/>
    </xf>
    <xf numFmtId="165" fontId="12" fillId="3" borderId="0" xfId="5" applyNumberFormat="1" applyFont="1" applyFill="1" applyAlignment="1">
      <alignment horizontal="center" vertical="center" wrapText="1"/>
    </xf>
    <xf numFmtId="44" fontId="12" fillId="0" borderId="0" xfId="5" applyFont="1" applyAlignment="1">
      <alignment horizontal="left" vertical="center" wrapText="1"/>
    </xf>
    <xf numFmtId="44" fontId="98" fillId="0" borderId="0" xfId="5" applyFont="1" applyAlignment="1">
      <alignment horizontal="left" vertical="center" wrapText="1"/>
    </xf>
    <xf numFmtId="44" fontId="12" fillId="0" borderId="0" xfId="5" applyFont="1" applyAlignment="1">
      <alignment horizontal="left" vertical="top" wrapText="1"/>
    </xf>
    <xf numFmtId="0" fontId="99" fillId="32" borderId="0" xfId="0" applyFont="1" applyFill="1" applyAlignment="1">
      <alignment horizontal="left" vertical="center" wrapText="1" readingOrder="1"/>
    </xf>
    <xf numFmtId="0" fontId="100" fillId="0" borderId="4" xfId="0" applyFont="1" applyBorder="1" applyAlignment="1">
      <alignment horizontal="left" vertical="center" wrapText="1" readingOrder="1"/>
    </xf>
    <xf numFmtId="0" fontId="99" fillId="6" borderId="0" xfId="0" applyFont="1" applyFill="1" applyAlignment="1">
      <alignment horizontal="left" vertical="center" wrapText="1" readingOrder="1"/>
    </xf>
    <xf numFmtId="0" fontId="100" fillId="0" borderId="64" xfId="0" applyFont="1" applyBorder="1" applyAlignment="1">
      <alignment horizontal="left" vertical="center" wrapText="1" readingOrder="1"/>
    </xf>
    <xf numFmtId="0" fontId="82" fillId="6" borderId="0" xfId="0" applyFont="1" applyFill="1" applyAlignment="1">
      <alignment horizontal="left" vertical="center" wrapText="1" readingOrder="1"/>
    </xf>
    <xf numFmtId="0" fontId="101" fillId="0" borderId="64" xfId="0" applyFont="1" applyBorder="1" applyAlignment="1">
      <alignment horizontal="left" vertical="center" wrapText="1" readingOrder="1"/>
    </xf>
    <xf numFmtId="166" fontId="101" fillId="0" borderId="64" xfId="0" applyNumberFormat="1" applyFont="1" applyBorder="1" applyAlignment="1">
      <alignment horizontal="left" vertical="center" wrapText="1" readingOrder="1"/>
    </xf>
    <xf numFmtId="44" fontId="4" fillId="3" borderId="0" xfId="5" applyFont="1" applyFill="1" applyAlignment="1">
      <alignment vertical="top"/>
    </xf>
    <xf numFmtId="0" fontId="4" fillId="3" borderId="0" xfId="0" applyFont="1" applyFill="1" applyAlignment="1">
      <alignment vertical="top"/>
    </xf>
    <xf numFmtId="0" fontId="103" fillId="32" borderId="0" xfId="0" applyFont="1" applyFill="1" applyAlignment="1">
      <alignment horizontal="center" vertical="center" wrapText="1" readingOrder="1"/>
    </xf>
    <xf numFmtId="0" fontId="103" fillId="6" borderId="0" xfId="0" applyFont="1" applyFill="1" applyAlignment="1">
      <alignment horizontal="center" vertical="center" wrapText="1" readingOrder="1"/>
    </xf>
    <xf numFmtId="0" fontId="2" fillId="5" borderId="4" xfId="0"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64" xfId="0" applyFont="1" applyBorder="1" applyAlignment="1">
      <alignment horizontal="center" vertical="center" wrapText="1" readingOrder="1"/>
    </xf>
    <xf numFmtId="0" fontId="2" fillId="0" borderId="64" xfId="0" applyFont="1" applyBorder="1" applyAlignment="1">
      <alignment horizontal="justify" vertical="center" wrapText="1" readingOrder="1"/>
    </xf>
    <xf numFmtId="166" fontId="2" fillId="0" borderId="64" xfId="0" applyNumberFormat="1" applyFont="1" applyBorder="1" applyAlignment="1">
      <alignment horizontal="center" vertical="center" wrapText="1" readingOrder="1"/>
    </xf>
    <xf numFmtId="0" fontId="2" fillId="7"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104" fillId="9" borderId="1" xfId="0" applyFont="1" applyFill="1" applyBorder="1" applyAlignment="1">
      <alignment horizontal="center" vertical="center" wrapText="1" readingOrder="1"/>
    </xf>
    <xf numFmtId="0" fontId="74" fillId="0" borderId="109" xfId="0" applyFont="1" applyBorder="1" applyAlignment="1">
      <alignment vertical="center" wrapText="1" readingOrder="1"/>
    </xf>
    <xf numFmtId="0" fontId="74" fillId="0" borderId="110" xfId="0" applyFont="1" applyBorder="1" applyAlignment="1">
      <alignment vertical="center" wrapText="1" readingOrder="1"/>
    </xf>
    <xf numFmtId="0" fontId="81" fillId="0" borderId="0" xfId="0" applyFont="1"/>
    <xf numFmtId="0" fontId="0" fillId="34" borderId="0" xfId="0" applyFill="1"/>
    <xf numFmtId="0" fontId="90" fillId="29" borderId="111" xfId="0" applyFont="1" applyFill="1" applyBorder="1" applyAlignment="1">
      <alignment horizontal="left" vertical="center" indent="1"/>
    </xf>
    <xf numFmtId="0" fontId="92" fillId="29" borderId="111" xfId="0" applyFont="1" applyFill="1" applyBorder="1" applyAlignment="1">
      <alignment horizontal="left" vertical="center" wrapText="1" indent="1"/>
    </xf>
    <xf numFmtId="0" fontId="0" fillId="2" borderId="0" xfId="0" applyFill="1"/>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08" fillId="0" borderId="0" xfId="7" applyFont="1" applyAlignment="1">
      <alignment vertical="center"/>
    </xf>
    <xf numFmtId="0" fontId="107" fillId="35" borderId="0" xfId="7" applyFont="1" applyFill="1"/>
    <xf numFmtId="0" fontId="107" fillId="0" borderId="0" xfId="7" applyFont="1"/>
    <xf numFmtId="0" fontId="109" fillId="0" borderId="0" xfId="7" applyFont="1" applyAlignment="1">
      <alignment vertical="center"/>
    </xf>
    <xf numFmtId="0" fontId="110" fillId="35" borderId="0" xfId="7" applyFont="1" applyFill="1" applyAlignment="1">
      <alignment horizontal="center" vertical="center"/>
    </xf>
    <xf numFmtId="0" fontId="110" fillId="35" borderId="0" xfId="7" applyFont="1" applyFill="1" applyAlignment="1">
      <alignment horizontal="left" vertical="center"/>
    </xf>
    <xf numFmtId="0" fontId="110" fillId="35" borderId="0" xfId="7" applyFont="1" applyFill="1"/>
    <xf numFmtId="0" fontId="110" fillId="35" borderId="0" xfId="7" applyFont="1" applyFill="1" applyAlignment="1">
      <alignment horizontal="center"/>
    </xf>
    <xf numFmtId="0" fontId="110" fillId="35" borderId="0" xfId="7" applyFont="1" applyFill="1" applyAlignment="1">
      <alignment wrapText="1"/>
    </xf>
    <xf numFmtId="0" fontId="110" fillId="0" borderId="0" xfId="7" applyFont="1"/>
    <xf numFmtId="0" fontId="110" fillId="0" borderId="0" xfId="7" applyFont="1" applyAlignment="1" applyProtection="1">
      <alignment vertical="center"/>
      <protection locked="0"/>
    </xf>
    <xf numFmtId="0" fontId="110" fillId="35" borderId="0" xfId="7" applyFont="1" applyFill="1" applyAlignment="1" applyProtection="1">
      <alignment vertical="center" wrapText="1"/>
      <protection locked="0"/>
    </xf>
    <xf numFmtId="0" fontId="111" fillId="35" borderId="0" xfId="7" applyFont="1" applyFill="1"/>
    <xf numFmtId="0" fontId="111" fillId="0" borderId="0" xfId="7" applyFont="1" applyAlignment="1">
      <alignment horizontal="left" vertical="center"/>
    </xf>
    <xf numFmtId="0" fontId="110" fillId="0" borderId="0" xfId="7" applyFont="1" applyAlignment="1" applyProtection="1">
      <alignment horizontal="center" vertical="center" wrapText="1"/>
      <protection locked="0"/>
    </xf>
    <xf numFmtId="0" fontId="110" fillId="0" borderId="0" xfId="7" applyFont="1" applyAlignment="1" applyProtection="1">
      <alignment horizontal="left" vertical="center" wrapText="1"/>
      <protection locked="0"/>
    </xf>
    <xf numFmtId="0" fontId="111" fillId="0" borderId="0" xfId="7" applyFont="1"/>
    <xf numFmtId="0" fontId="110" fillId="0" borderId="0" xfId="7" applyFont="1" applyAlignment="1">
      <alignment horizontal="left" wrapText="1"/>
    </xf>
    <xf numFmtId="0" fontId="111" fillId="37" borderId="117" xfId="7" applyFont="1" applyFill="1" applyBorder="1" applyAlignment="1">
      <alignment horizontal="center" vertical="center"/>
    </xf>
    <xf numFmtId="0" fontId="111" fillId="37" borderId="120" xfId="7" applyFont="1" applyFill="1" applyBorder="1" applyAlignment="1">
      <alignment horizontal="center" vertical="center" textRotation="90"/>
    </xf>
    <xf numFmtId="0" fontId="111" fillId="37" borderId="120" xfId="7" applyFont="1" applyFill="1" applyBorder="1" applyAlignment="1">
      <alignment horizontal="center" vertical="center" wrapText="1"/>
    </xf>
    <xf numFmtId="0" fontId="111" fillId="37" borderId="120" xfId="7" applyFont="1" applyFill="1" applyBorder="1" applyAlignment="1">
      <alignment horizontal="center" vertical="center" textRotation="90" wrapText="1"/>
    </xf>
    <xf numFmtId="0" fontId="111" fillId="35" borderId="0" xfId="7" applyFont="1" applyFill="1" applyAlignment="1">
      <alignment horizontal="center" vertical="center"/>
    </xf>
    <xf numFmtId="0" fontId="111" fillId="0" borderId="0" xfId="7" applyFont="1" applyAlignment="1">
      <alignment horizontal="center" vertical="center"/>
    </xf>
    <xf numFmtId="0" fontId="111" fillId="40" borderId="0" xfId="7" applyFont="1" applyFill="1" applyAlignment="1">
      <alignment horizontal="center" vertical="center"/>
    </xf>
    <xf numFmtId="0" fontId="110" fillId="0" borderId="120" xfId="7" applyFont="1" applyBorder="1" applyAlignment="1" applyProtection="1">
      <alignment horizontal="center" vertical="center" wrapText="1"/>
      <protection locked="0"/>
    </xf>
    <xf numFmtId="0" fontId="110" fillId="0" borderId="120" xfId="7" applyFont="1" applyBorder="1" applyAlignment="1" applyProtection="1">
      <alignment horizontal="center" vertical="center"/>
      <protection locked="0"/>
    </xf>
    <xf numFmtId="0" fontId="110" fillId="0" borderId="120" xfId="7" applyFont="1" applyBorder="1" applyAlignment="1">
      <alignment horizontal="center" vertical="center"/>
    </xf>
    <xf numFmtId="0" fontId="110" fillId="0" borderId="120" xfId="7" applyFont="1" applyBorder="1" applyAlignment="1">
      <alignment horizontal="center" vertical="center" wrapText="1"/>
    </xf>
    <xf numFmtId="0" fontId="113" fillId="0" borderId="120" xfId="7" applyFont="1" applyBorder="1" applyAlignment="1" applyProtection="1">
      <alignment horizontal="justify" vertical="center" wrapText="1"/>
      <protection locked="0"/>
    </xf>
    <xf numFmtId="0" fontId="110" fillId="0" borderId="120" xfId="7" applyFont="1" applyBorder="1" applyAlignment="1" applyProtection="1">
      <alignment horizontal="center" vertical="center"/>
      <protection hidden="1"/>
    </xf>
    <xf numFmtId="0" fontId="110" fillId="0" borderId="22" xfId="7" applyFont="1" applyBorder="1" applyAlignment="1">
      <alignment horizontal="center" vertical="center" wrapText="1"/>
    </xf>
    <xf numFmtId="0" fontId="110" fillId="0" borderId="120" xfId="7" applyFont="1" applyBorder="1" applyAlignment="1" applyProtection="1">
      <alignment horizontal="center" vertical="center" textRotation="90" wrapText="1"/>
      <protection locked="0"/>
    </xf>
    <xf numFmtId="0" fontId="110" fillId="0" borderId="120" xfId="7" applyFont="1" applyBorder="1" applyAlignment="1" applyProtection="1">
      <alignment horizontal="center" vertical="center" textRotation="90"/>
      <protection locked="0"/>
    </xf>
    <xf numFmtId="167" fontId="110" fillId="0" borderId="120" xfId="7" applyNumberFormat="1" applyFont="1" applyBorder="1" applyAlignment="1" applyProtection="1">
      <alignment horizontal="center" vertical="center"/>
      <protection locked="0"/>
    </xf>
    <xf numFmtId="0" fontId="110" fillId="0" borderId="0" xfId="7" applyFont="1" applyAlignment="1">
      <alignment vertical="center"/>
    </xf>
    <xf numFmtId="0" fontId="110" fillId="0" borderId="121" xfId="7" applyFont="1" applyBorder="1" applyAlignment="1">
      <alignment horizontal="center" vertical="center"/>
    </xf>
    <xf numFmtId="0" fontId="110" fillId="0" borderId="0" xfId="7" applyFont="1" applyAlignment="1">
      <alignment wrapText="1"/>
    </xf>
    <xf numFmtId="0" fontId="110" fillId="41" borderId="0" xfId="7" applyFont="1" applyFill="1" applyAlignment="1">
      <alignment horizontal="center" vertical="center"/>
    </xf>
    <xf numFmtId="0" fontId="110" fillId="41" borderId="0" xfId="7" applyFont="1" applyFill="1"/>
    <xf numFmtId="0" fontId="110" fillId="41" borderId="0" xfId="7" applyFont="1" applyFill="1" applyAlignment="1">
      <alignment horizontal="center"/>
    </xf>
    <xf numFmtId="0" fontId="110" fillId="41" borderId="0" xfId="7" applyFont="1" applyFill="1" applyAlignment="1">
      <alignment wrapText="1"/>
    </xf>
    <xf numFmtId="0" fontId="110" fillId="0" borderId="0" xfId="7" applyFont="1" applyAlignment="1">
      <alignment horizontal="center" vertical="center"/>
    </xf>
    <xf numFmtId="0" fontId="110" fillId="0" borderId="0" xfId="7" applyFont="1" applyAlignment="1">
      <alignment horizontal="center"/>
    </xf>
    <xf numFmtId="0" fontId="106" fillId="0" borderId="0" xfId="7"/>
    <xf numFmtId="49" fontId="0" fillId="0" borderId="0" xfId="0" quotePrefix="1" applyNumberFormat="1" applyAlignment="1">
      <alignment horizontal="center" vertical="center" wrapText="1"/>
    </xf>
    <xf numFmtId="0" fontId="116" fillId="0" borderId="120" xfId="7" applyFont="1" applyBorder="1" applyAlignment="1" applyProtection="1">
      <alignment horizontal="center" vertical="center" textRotation="90" wrapText="1"/>
      <protection locked="0"/>
    </xf>
    <xf numFmtId="0" fontId="116" fillId="0" borderId="120" xfId="7" applyFont="1" applyBorder="1" applyAlignment="1" applyProtection="1">
      <alignment horizontal="center" vertical="center" textRotation="90"/>
      <protection locked="0"/>
    </xf>
    <xf numFmtId="9" fontId="116" fillId="0" borderId="120" xfId="7" applyNumberFormat="1" applyFont="1" applyBorder="1" applyAlignment="1" applyProtection="1">
      <alignment horizontal="center" vertical="center"/>
      <protection hidden="1"/>
    </xf>
    <xf numFmtId="164" fontId="116" fillId="0" borderId="120" xfId="8" applyNumberFormat="1" applyFont="1" applyBorder="1" applyAlignment="1" applyProtection="1">
      <alignment horizontal="center" vertical="center"/>
    </xf>
    <xf numFmtId="0" fontId="117" fillId="0" borderId="120" xfId="7" applyFont="1" applyBorder="1" applyAlignment="1" applyProtection="1">
      <alignment horizontal="center" vertical="center" textRotation="90" wrapText="1"/>
      <protection hidden="1"/>
    </xf>
    <xf numFmtId="0" fontId="117" fillId="0" borderId="120" xfId="7" applyFont="1" applyBorder="1" applyAlignment="1" applyProtection="1">
      <alignment horizontal="center" vertical="center" textRotation="90"/>
      <protection hidden="1"/>
    </xf>
    <xf numFmtId="0" fontId="115" fillId="0" borderId="22" xfId="7" applyFont="1" applyBorder="1" applyAlignment="1">
      <alignment horizontal="center" vertical="center" wrapText="1"/>
    </xf>
    <xf numFmtId="0" fontId="120" fillId="0" borderId="83" xfId="0" applyFont="1" applyBorder="1" applyAlignment="1" applyProtection="1">
      <alignment horizontal="center" vertical="center" wrapText="1"/>
      <protection locked="0"/>
    </xf>
    <xf numFmtId="0" fontId="120" fillId="0" borderId="83" xfId="0" applyFont="1" applyBorder="1" applyAlignment="1" applyProtection="1">
      <alignment horizontal="justify" vertical="center" wrapText="1"/>
      <protection locked="0"/>
    </xf>
    <xf numFmtId="0" fontId="120" fillId="0" borderId="83" xfId="0" applyFont="1" applyBorder="1" applyAlignment="1" applyProtection="1">
      <alignment horizontal="center" vertical="center"/>
      <protection locked="0"/>
    </xf>
    <xf numFmtId="0" fontId="120" fillId="0" borderId="83" xfId="0" applyFont="1" applyBorder="1" applyAlignment="1">
      <alignment horizontal="center" vertical="center"/>
    </xf>
    <xf numFmtId="0" fontId="120" fillId="0" borderId="83" xfId="0" applyFont="1" applyBorder="1" applyAlignment="1">
      <alignment horizontal="center" vertical="center" wrapText="1"/>
    </xf>
    <xf numFmtId="0" fontId="120" fillId="0" borderId="83" xfId="0" applyFont="1" applyBorder="1" applyAlignment="1" applyProtection="1">
      <alignment horizontal="center" vertical="center"/>
      <protection hidden="1"/>
    </xf>
    <xf numFmtId="0" fontId="120" fillId="0" borderId="83" xfId="0" applyFont="1" applyBorder="1" applyAlignment="1" applyProtection="1">
      <alignment horizontal="center" vertical="center" textRotation="90"/>
      <protection locked="0"/>
    </xf>
    <xf numFmtId="9" fontId="120" fillId="0" borderId="83" xfId="0" applyNumberFormat="1" applyFont="1" applyBorder="1" applyAlignment="1" applyProtection="1">
      <alignment horizontal="center" vertical="center"/>
      <protection hidden="1"/>
    </xf>
    <xf numFmtId="164" fontId="120" fillId="0" borderId="83" xfId="1" applyNumberFormat="1" applyFont="1" applyFill="1" applyBorder="1" applyAlignment="1">
      <alignment horizontal="center" vertical="center"/>
    </xf>
    <xf numFmtId="0" fontId="119" fillId="0" borderId="83" xfId="0" applyFont="1" applyBorder="1" applyAlignment="1" applyProtection="1">
      <alignment horizontal="center" vertical="center" textRotation="90" wrapText="1"/>
      <protection hidden="1"/>
    </xf>
    <xf numFmtId="0" fontId="119" fillId="0" borderId="83" xfId="0" applyFont="1" applyBorder="1" applyAlignment="1" applyProtection="1">
      <alignment horizontal="center" vertical="center" textRotation="90"/>
      <protection hidden="1"/>
    </xf>
    <xf numFmtId="0" fontId="120" fillId="0" borderId="83" xfId="0" applyFont="1" applyBorder="1" applyAlignment="1" applyProtection="1">
      <alignment horizontal="center" vertical="center" textRotation="90" wrapText="1"/>
      <protection locked="0"/>
    </xf>
    <xf numFmtId="14" fontId="120" fillId="0" borderId="83" xfId="0" applyNumberFormat="1" applyFont="1" applyBorder="1" applyAlignment="1" applyProtection="1">
      <alignment horizontal="center" vertical="center"/>
      <protection locked="0"/>
    </xf>
    <xf numFmtId="0" fontId="120" fillId="0" borderId="0" xfId="0" applyFont="1"/>
    <xf numFmtId="0" fontId="122" fillId="0" borderId="83" xfId="0" applyFont="1" applyBorder="1" applyAlignment="1" applyProtection="1">
      <alignment horizontal="center" vertical="center" wrapText="1"/>
      <protection locked="0"/>
    </xf>
    <xf numFmtId="0" fontId="122" fillId="0" borderId="83" xfId="0" applyFont="1" applyBorder="1" applyAlignment="1" applyProtection="1">
      <alignment horizontal="justify" vertical="center" wrapText="1"/>
      <protection locked="0"/>
    </xf>
    <xf numFmtId="0" fontId="122" fillId="0" borderId="83" xfId="0" applyFont="1" applyBorder="1" applyAlignment="1" applyProtection="1">
      <alignment horizontal="center" vertical="center"/>
      <protection locked="0"/>
    </xf>
    <xf numFmtId="0" fontId="122" fillId="0" borderId="83" xfId="0" applyFont="1" applyBorder="1" applyAlignment="1">
      <alignment horizontal="center" vertical="center"/>
    </xf>
    <xf numFmtId="0" fontId="122" fillId="0" borderId="83" xfId="0" applyFont="1" applyBorder="1" applyAlignment="1">
      <alignment horizontal="center" vertical="center" wrapText="1"/>
    </xf>
    <xf numFmtId="0" fontId="122" fillId="0" borderId="83" xfId="0" applyFont="1" applyBorder="1" applyAlignment="1" applyProtection="1">
      <alignment horizontal="center" vertical="center"/>
      <protection hidden="1"/>
    </xf>
    <xf numFmtId="0" fontId="122" fillId="0" borderId="83" xfId="0" applyFont="1" applyBorder="1" applyAlignment="1" applyProtection="1">
      <alignment horizontal="center" vertical="center" textRotation="90"/>
      <protection locked="0"/>
    </xf>
    <xf numFmtId="9" fontId="122" fillId="0" borderId="83" xfId="0" applyNumberFormat="1" applyFont="1" applyBorder="1" applyAlignment="1" applyProtection="1">
      <alignment horizontal="center" vertical="center"/>
      <protection hidden="1"/>
    </xf>
    <xf numFmtId="164" fontId="122" fillId="0" borderId="83" xfId="1" applyNumberFormat="1" applyFont="1" applyFill="1" applyBorder="1" applyAlignment="1">
      <alignment horizontal="center" vertical="center"/>
    </xf>
    <xf numFmtId="0" fontId="121" fillId="0" borderId="83" xfId="0" applyFont="1" applyBorder="1" applyAlignment="1" applyProtection="1">
      <alignment horizontal="center" vertical="center" textRotation="90" wrapText="1"/>
      <protection hidden="1"/>
    </xf>
    <xf numFmtId="0" fontId="121" fillId="0" borderId="83" xfId="0" applyFont="1" applyBorder="1" applyAlignment="1" applyProtection="1">
      <alignment horizontal="center" vertical="center" textRotation="90"/>
      <protection hidden="1"/>
    </xf>
    <xf numFmtId="0" fontId="122" fillId="0" borderId="83" xfId="0" applyFont="1" applyBorder="1" applyAlignment="1" applyProtection="1">
      <alignment horizontal="center" vertical="center" textRotation="90" wrapText="1"/>
      <protection locked="0"/>
    </xf>
    <xf numFmtId="14" fontId="122" fillId="0" borderId="83" xfId="0" applyNumberFormat="1" applyFont="1" applyBorder="1" applyAlignment="1" applyProtection="1">
      <alignment horizontal="center" vertical="center"/>
      <protection locked="0"/>
    </xf>
    <xf numFmtId="0" fontId="122" fillId="0" borderId="0" xfId="0" applyFont="1"/>
    <xf numFmtId="0" fontId="124" fillId="0" borderId="83" xfId="0" applyFont="1" applyBorder="1" applyAlignment="1" applyProtection="1">
      <alignment horizontal="center" vertical="center" wrapText="1"/>
      <protection locked="0"/>
    </xf>
    <xf numFmtId="0" fontId="124" fillId="0" borderId="83" xfId="0" applyFont="1" applyBorder="1" applyAlignment="1" applyProtection="1">
      <alignment horizontal="justify" vertical="center" wrapText="1"/>
      <protection locked="0"/>
    </xf>
    <xf numFmtId="0" fontId="124" fillId="0" borderId="83" xfId="0" applyFont="1" applyBorder="1" applyAlignment="1" applyProtection="1">
      <alignment horizontal="center" vertical="center"/>
      <protection locked="0"/>
    </xf>
    <xf numFmtId="0" fontId="124" fillId="0" borderId="83" xfId="0" applyFont="1" applyBorder="1" applyAlignment="1">
      <alignment horizontal="center" vertical="center"/>
    </xf>
    <xf numFmtId="0" fontId="124" fillId="0" borderId="83" xfId="0" applyFont="1" applyBorder="1" applyAlignment="1">
      <alignment horizontal="center" vertical="center" wrapText="1"/>
    </xf>
    <xf numFmtId="0" fontId="124" fillId="0" borderId="83" xfId="0" applyFont="1" applyBorder="1" applyAlignment="1" applyProtection="1">
      <alignment horizontal="center" vertical="center"/>
      <protection hidden="1"/>
    </xf>
    <xf numFmtId="0" fontId="124" fillId="0" borderId="83" xfId="0" applyFont="1" applyBorder="1" applyAlignment="1" applyProtection="1">
      <alignment horizontal="center" vertical="center" textRotation="90"/>
      <protection locked="0"/>
    </xf>
    <xf numFmtId="9" fontId="124" fillId="0" borderId="83" xfId="0" applyNumberFormat="1" applyFont="1" applyBorder="1" applyAlignment="1" applyProtection="1">
      <alignment horizontal="center" vertical="center"/>
      <protection hidden="1"/>
    </xf>
    <xf numFmtId="164" fontId="124" fillId="0" borderId="83" xfId="1" applyNumberFormat="1" applyFont="1" applyFill="1" applyBorder="1" applyAlignment="1">
      <alignment horizontal="center" vertical="center"/>
    </xf>
    <xf numFmtId="0" fontId="123" fillId="0" borderId="83" xfId="0" applyFont="1" applyBorder="1" applyAlignment="1" applyProtection="1">
      <alignment horizontal="center" vertical="center" textRotation="90" wrapText="1"/>
      <protection hidden="1"/>
    </xf>
    <xf numFmtId="0" fontId="123" fillId="0" borderId="83" xfId="0" applyFont="1" applyBorder="1" applyAlignment="1" applyProtection="1">
      <alignment horizontal="center" vertical="center" textRotation="90"/>
      <protection hidden="1"/>
    </xf>
    <xf numFmtId="0" fontId="124" fillId="0" borderId="83" xfId="0" applyFont="1" applyBorder="1" applyAlignment="1" applyProtection="1">
      <alignment horizontal="center" vertical="center" textRotation="90" wrapText="1"/>
      <protection locked="0"/>
    </xf>
    <xf numFmtId="14" fontId="124" fillId="0" borderId="83" xfId="0" applyNumberFormat="1" applyFont="1" applyBorder="1" applyAlignment="1" applyProtection="1">
      <alignment horizontal="center" vertical="center"/>
      <protection locked="0"/>
    </xf>
    <xf numFmtId="0" fontId="124" fillId="0" borderId="0" xfId="0" applyFont="1" applyAlignment="1">
      <alignment vertical="center"/>
    </xf>
    <xf numFmtId="0" fontId="124" fillId="0" borderId="0" xfId="0" applyFont="1"/>
    <xf numFmtId="0" fontId="78" fillId="0" borderId="0" xfId="0" applyFont="1" applyAlignment="1">
      <alignment horizontal="left"/>
    </xf>
    <xf numFmtId="0" fontId="78" fillId="23" borderId="0" xfId="0" applyFont="1" applyFill="1" applyAlignment="1">
      <alignment horizontal="left" vertical="center"/>
    </xf>
    <xf numFmtId="0" fontId="78" fillId="0" borderId="0" xfId="0" applyFont="1" applyAlignment="1">
      <alignment horizontal="left" vertical="center"/>
    </xf>
    <xf numFmtId="0" fontId="78" fillId="0" borderId="83" xfId="0" applyFont="1" applyBorder="1" applyAlignment="1">
      <alignment horizontal="justify" vertical="center" wrapText="1"/>
    </xf>
    <xf numFmtId="14" fontId="78" fillId="0" borderId="83" xfId="0" applyNumberFormat="1" applyFont="1" applyBorder="1" applyAlignment="1" applyProtection="1">
      <alignment horizontal="center" vertical="center" wrapText="1"/>
      <protection locked="0"/>
    </xf>
    <xf numFmtId="0" fontId="110" fillId="0" borderId="0" xfId="7" applyFont="1" applyAlignment="1">
      <alignment vertical="center" wrapText="1"/>
    </xf>
    <xf numFmtId="0" fontId="78" fillId="0" borderId="83" xfId="0" applyFont="1" applyBorder="1" applyAlignment="1" applyProtection="1">
      <alignment horizontal="justify" vertical="center" wrapText="1"/>
      <protection locked="0"/>
    </xf>
    <xf numFmtId="0" fontId="78" fillId="31" borderId="83" xfId="0" applyFont="1" applyFill="1" applyBorder="1" applyAlignment="1">
      <alignment horizontal="justify" vertical="center" wrapText="1"/>
    </xf>
    <xf numFmtId="0" fontId="48" fillId="3" borderId="47" xfId="3" applyFont="1" applyFill="1" applyBorder="1" applyAlignment="1">
      <alignment horizontal="left" vertical="top" wrapText="1" readingOrder="1"/>
    </xf>
    <xf numFmtId="0" fontId="48" fillId="3" borderId="48" xfId="3" applyFont="1" applyFill="1" applyBorder="1" applyAlignment="1">
      <alignment horizontal="left" vertical="top" wrapText="1" readingOrder="1"/>
    </xf>
    <xf numFmtId="0" fontId="49" fillId="3" borderId="49" xfId="2" applyFont="1" applyFill="1" applyBorder="1" applyAlignment="1">
      <alignment horizontal="justify" vertical="center" wrapText="1"/>
    </xf>
    <xf numFmtId="0" fontId="49" fillId="3" borderId="50" xfId="2" applyFont="1" applyFill="1" applyBorder="1" applyAlignment="1">
      <alignment horizontal="justify" vertical="center" wrapText="1"/>
    </xf>
    <xf numFmtId="0" fontId="49" fillId="3" borderId="53" xfId="2" applyFont="1" applyFill="1" applyBorder="1" applyAlignment="1">
      <alignment horizontal="justify" vertical="center" wrapText="1"/>
    </xf>
    <xf numFmtId="0" fontId="49" fillId="3" borderId="54" xfId="2" applyFont="1" applyFill="1" applyBorder="1" applyAlignment="1">
      <alignment horizontal="justify" vertical="center" wrapText="1"/>
    </xf>
    <xf numFmtId="0" fontId="48" fillId="3" borderId="51" xfId="0" applyFont="1" applyFill="1" applyBorder="1" applyAlignment="1">
      <alignment horizontal="left" vertical="center" wrapText="1"/>
    </xf>
    <xf numFmtId="0" fontId="48" fillId="3" borderId="52" xfId="0" applyFont="1" applyFill="1" applyBorder="1" applyAlignment="1">
      <alignment horizontal="left" vertical="center" wrapText="1"/>
    </xf>
    <xf numFmtId="0" fontId="48" fillId="3" borderId="60" xfId="0" applyFont="1" applyFill="1" applyBorder="1" applyAlignment="1">
      <alignment horizontal="left" vertical="center" wrapText="1"/>
    </xf>
    <xf numFmtId="0" fontId="48" fillId="3" borderId="61" xfId="0" applyFont="1" applyFill="1" applyBorder="1" applyAlignment="1">
      <alignment horizontal="left" vertical="center" wrapText="1"/>
    </xf>
    <xf numFmtId="0" fontId="48" fillId="3" borderId="62" xfId="0" applyFont="1" applyFill="1" applyBorder="1" applyAlignment="1">
      <alignment horizontal="left" vertical="center" wrapText="1"/>
    </xf>
    <xf numFmtId="0" fontId="48" fillId="3" borderId="63" xfId="0" applyFont="1" applyFill="1" applyBorder="1" applyAlignment="1">
      <alignment horizontal="left" vertical="center" wrapText="1"/>
    </xf>
    <xf numFmtId="0" fontId="49" fillId="3" borderId="55" xfId="0" applyFont="1" applyFill="1" applyBorder="1" applyAlignment="1">
      <alignment horizontal="justify" vertical="center" wrapText="1"/>
    </xf>
    <xf numFmtId="0" fontId="49" fillId="3" borderId="56" xfId="0" applyFont="1" applyFill="1" applyBorder="1" applyAlignment="1">
      <alignment horizontal="justify" vertical="center" wrapText="1"/>
    </xf>
    <xf numFmtId="0" fontId="44" fillId="23" borderId="37" xfId="2" applyFont="1" applyFill="1" applyBorder="1" applyAlignment="1">
      <alignment horizontal="center" vertical="center" wrapText="1"/>
    </xf>
    <xf numFmtId="0" fontId="44" fillId="23" borderId="38" xfId="2" applyFont="1" applyFill="1" applyBorder="1" applyAlignment="1">
      <alignment horizontal="center" vertical="center" wrapText="1"/>
    </xf>
    <xf numFmtId="0" fontId="44" fillId="23" borderId="39" xfId="2" applyFont="1" applyFill="1" applyBorder="1" applyAlignment="1">
      <alignment horizontal="center" vertical="center" wrapText="1"/>
    </xf>
    <xf numFmtId="0" fontId="43" fillId="0" borderId="7" xfId="2" quotePrefix="1" applyFont="1" applyBorder="1" applyAlignment="1">
      <alignment horizontal="left" vertical="center" wrapText="1"/>
    </xf>
    <xf numFmtId="0" fontId="43" fillId="0" borderId="0" xfId="2" quotePrefix="1" applyFont="1" applyAlignment="1">
      <alignment horizontal="left" vertical="center" wrapText="1"/>
    </xf>
    <xf numFmtId="0" fontId="43" fillId="0" borderId="8" xfId="2" quotePrefix="1" applyFont="1" applyBorder="1" applyAlignment="1">
      <alignment horizontal="left" vertical="center" wrapText="1"/>
    </xf>
    <xf numFmtId="0" fontId="43" fillId="0" borderId="57" xfId="2" quotePrefix="1" applyFont="1" applyBorder="1" applyAlignment="1">
      <alignment horizontal="left" vertical="center" wrapText="1"/>
    </xf>
    <xf numFmtId="0" fontId="43" fillId="0" borderId="58" xfId="2" quotePrefix="1" applyFont="1" applyBorder="1" applyAlignment="1">
      <alignment horizontal="left" vertical="center" wrapText="1"/>
    </xf>
    <xf numFmtId="0" fontId="43" fillId="0" borderId="59" xfId="2" quotePrefix="1" applyFont="1" applyBorder="1" applyAlignment="1">
      <alignment horizontal="left" vertical="center" wrapText="1"/>
    </xf>
    <xf numFmtId="0" fontId="45" fillId="3" borderId="40" xfId="2" quotePrefix="1" applyFont="1" applyFill="1" applyBorder="1" applyAlignment="1">
      <alignment horizontal="left" vertical="top" wrapText="1"/>
    </xf>
    <xf numFmtId="0" fontId="46" fillId="3" borderId="41" xfId="2" quotePrefix="1" applyFont="1" applyFill="1" applyBorder="1" applyAlignment="1">
      <alignment horizontal="left" vertical="top" wrapText="1"/>
    </xf>
    <xf numFmtId="0" fontId="46" fillId="3" borderId="42" xfId="2" quotePrefix="1" applyFont="1" applyFill="1" applyBorder="1" applyAlignment="1">
      <alignment horizontal="left" vertical="top" wrapText="1"/>
    </xf>
    <xf numFmtId="0" fontId="43" fillId="0" borderId="7" xfId="2" quotePrefix="1" applyFont="1" applyBorder="1" applyAlignment="1">
      <alignment horizontal="left" vertical="top" wrapText="1"/>
    </xf>
    <xf numFmtId="0" fontId="43" fillId="0" borderId="0" xfId="2" quotePrefix="1" applyFont="1" applyAlignment="1">
      <alignment horizontal="left" vertical="top" wrapText="1"/>
    </xf>
    <xf numFmtId="0" fontId="43" fillId="0" borderId="8" xfId="2" quotePrefix="1" applyFont="1" applyBorder="1" applyAlignment="1">
      <alignment horizontal="left" vertical="top" wrapText="1"/>
    </xf>
    <xf numFmtId="0" fontId="48" fillId="14" borderId="43" xfId="3" applyFont="1" applyFill="1" applyBorder="1" applyAlignment="1">
      <alignment horizontal="center" vertical="center" wrapText="1"/>
    </xf>
    <xf numFmtId="0" fontId="48" fillId="14" borderId="44" xfId="3" applyFont="1" applyFill="1" applyBorder="1" applyAlignment="1">
      <alignment horizontal="center" vertical="center" wrapText="1"/>
    </xf>
    <xf numFmtId="0" fontId="48" fillId="14" borderId="45" xfId="2" applyFont="1" applyFill="1" applyBorder="1" applyAlignment="1">
      <alignment horizontal="center" vertical="center"/>
    </xf>
    <xf numFmtId="0" fontId="48"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0" fillId="17" borderId="66" xfId="0" applyFont="1" applyFill="1" applyBorder="1" applyAlignment="1">
      <alignment horizontal="center" vertical="center" wrapText="1"/>
    </xf>
    <xf numFmtId="0" fontId="60" fillId="17" borderId="67" xfId="0" applyFont="1" applyFill="1" applyBorder="1" applyAlignment="1">
      <alignment horizontal="center" vertical="center" wrapText="1"/>
    </xf>
    <xf numFmtId="0" fontId="60" fillId="18" borderId="68" xfId="0" applyFont="1" applyFill="1" applyBorder="1" applyAlignment="1">
      <alignment horizontal="center" vertical="center" textRotation="90"/>
    </xf>
    <xf numFmtId="0" fontId="60" fillId="18" borderId="70" xfId="0" applyFont="1" applyFill="1" applyBorder="1" applyAlignment="1">
      <alignment horizontal="center" vertical="center" textRotation="90"/>
    </xf>
    <xf numFmtId="0" fontId="60" fillId="18" borderId="72" xfId="0" applyFont="1" applyFill="1" applyBorder="1" applyAlignment="1">
      <alignment horizontal="center" vertical="center" textRotation="90"/>
    </xf>
    <xf numFmtId="0" fontId="76" fillId="22" borderId="81" xfId="0" applyFont="1" applyFill="1" applyBorder="1" applyAlignment="1">
      <alignment horizontal="center" vertical="center"/>
    </xf>
    <xf numFmtId="0" fontId="76" fillId="22" borderId="82" xfId="0" applyFont="1" applyFill="1" applyBorder="1" applyAlignment="1">
      <alignment horizontal="center" vertical="center"/>
    </xf>
    <xf numFmtId="0" fontId="74" fillId="0" borderId="71" xfId="0" applyFont="1" applyBorder="1" applyAlignment="1">
      <alignment horizontal="center" vertical="center" wrapText="1"/>
    </xf>
    <xf numFmtId="0" fontId="74" fillId="0" borderId="70"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68" xfId="0" applyFont="1" applyBorder="1" applyAlignment="1">
      <alignment horizontal="center" vertical="center" wrapText="1"/>
    </xf>
    <xf numFmtId="0" fontId="78" fillId="3" borderId="24" xfId="0" applyFont="1" applyFill="1" applyBorder="1" applyAlignment="1" applyProtection="1">
      <alignment horizontal="center" vertical="center" wrapText="1"/>
      <protection locked="0"/>
    </xf>
    <xf numFmtId="0" fontId="78" fillId="3" borderId="25" xfId="0" applyFont="1" applyFill="1" applyBorder="1" applyAlignment="1" applyProtection="1">
      <alignment horizontal="center" vertical="center" wrapText="1"/>
      <protection locked="0"/>
    </xf>
    <xf numFmtId="0" fontId="78" fillId="3" borderId="36" xfId="0" applyFont="1" applyFill="1" applyBorder="1" applyAlignment="1" applyProtection="1">
      <alignment horizontal="center" vertical="center" wrapText="1"/>
      <protection locked="0"/>
    </xf>
    <xf numFmtId="0" fontId="77" fillId="0" borderId="5" xfId="0" applyFont="1" applyBorder="1" applyAlignment="1">
      <alignment horizontal="center" vertical="center"/>
    </xf>
    <xf numFmtId="0" fontId="77" fillId="0" borderId="12" xfId="0" applyFont="1" applyBorder="1" applyAlignment="1">
      <alignment horizontal="center" vertical="center"/>
    </xf>
    <xf numFmtId="0" fontId="77" fillId="0" borderId="6" xfId="0" applyFont="1" applyBorder="1" applyAlignment="1">
      <alignment horizontal="center" vertical="center"/>
    </xf>
    <xf numFmtId="0" fontId="77" fillId="0" borderId="9" xfId="0" applyFont="1" applyBorder="1" applyAlignment="1">
      <alignment horizontal="center" vertical="center"/>
    </xf>
    <xf numFmtId="0" fontId="77" fillId="0" borderId="11" xfId="0" applyFont="1" applyBorder="1" applyAlignment="1">
      <alignment horizontal="center" vertical="center"/>
    </xf>
    <xf numFmtId="0" fontId="77" fillId="0" borderId="10" xfId="0" applyFont="1" applyBorder="1" applyAlignment="1">
      <alignment horizontal="center" vertical="center"/>
    </xf>
    <xf numFmtId="0" fontId="77" fillId="0" borderId="24" xfId="0" applyFont="1" applyBorder="1" applyAlignment="1">
      <alignment horizontal="left" vertical="center"/>
    </xf>
    <xf numFmtId="0" fontId="77" fillId="0" borderId="25" xfId="0" applyFont="1" applyBorder="1" applyAlignment="1">
      <alignment horizontal="left" vertical="center"/>
    </xf>
    <xf numFmtId="0" fontId="77" fillId="0" borderId="36" xfId="0" applyFont="1" applyBorder="1" applyAlignment="1">
      <alignment horizontal="left" vertical="center"/>
    </xf>
    <xf numFmtId="0" fontId="121" fillId="0" borderId="83" xfId="0" applyFont="1" applyBorder="1" applyAlignment="1">
      <alignment horizontal="center" vertical="center"/>
    </xf>
    <xf numFmtId="0" fontId="122" fillId="0" borderId="83" xfId="0" applyFont="1" applyBorder="1" applyAlignment="1" applyProtection="1">
      <alignment horizontal="center" vertical="center" wrapText="1"/>
      <protection locked="0"/>
    </xf>
    <xf numFmtId="0" fontId="83" fillId="0" borderId="87" xfId="0" applyFont="1" applyBorder="1" applyAlignment="1">
      <alignment horizontal="center" vertical="center"/>
    </xf>
    <xf numFmtId="0" fontId="83" fillId="0" borderId="88" xfId="0" applyFont="1" applyBorder="1" applyAlignment="1">
      <alignment horizontal="center" vertical="center"/>
    </xf>
    <xf numFmtId="0" fontId="83" fillId="0" borderId="106" xfId="0" applyFont="1" applyBorder="1" applyAlignment="1">
      <alignment horizontal="center" vertical="center"/>
    </xf>
    <xf numFmtId="0" fontId="83" fillId="0" borderId="89" xfId="0" applyFont="1" applyBorder="1" applyAlignment="1">
      <alignment horizontal="center" vertical="center"/>
    </xf>
    <xf numFmtId="0" fontId="83" fillId="0" borderId="83" xfId="0" applyFont="1" applyBorder="1" applyAlignment="1">
      <alignment horizontal="center" vertical="center"/>
    </xf>
    <xf numFmtId="0" fontId="83" fillId="0" borderId="108" xfId="0" applyFont="1" applyBorder="1" applyAlignment="1">
      <alignment horizontal="center" vertical="center"/>
    </xf>
    <xf numFmtId="0" fontId="83" fillId="0" borderId="90" xfId="0" applyFont="1" applyBorder="1" applyAlignment="1">
      <alignment horizontal="center" vertical="center"/>
    </xf>
    <xf numFmtId="0" fontId="83" fillId="0" borderId="91" xfId="0" applyFont="1" applyBorder="1" applyAlignment="1">
      <alignment horizontal="center" vertical="center"/>
    </xf>
    <xf numFmtId="0" fontId="83" fillId="0" borderId="107" xfId="0" applyFont="1" applyBorder="1" applyAlignment="1">
      <alignment horizontal="center" vertical="center"/>
    </xf>
    <xf numFmtId="0" fontId="122" fillId="0" borderId="83" xfId="0" applyFont="1" applyBorder="1" applyAlignment="1" applyProtection="1">
      <alignment horizontal="center" vertical="center"/>
      <protection locked="0"/>
    </xf>
    <xf numFmtId="0" fontId="121" fillId="0" borderId="83" xfId="0" applyFont="1" applyBorder="1" applyAlignment="1" applyProtection="1">
      <alignment horizontal="center" vertical="center" wrapText="1"/>
      <protection hidden="1"/>
    </xf>
    <xf numFmtId="9" fontId="122" fillId="0" borderId="83" xfId="0" applyNumberFormat="1" applyFont="1" applyBorder="1" applyAlignment="1" applyProtection="1">
      <alignment horizontal="center" vertical="center" wrapText="1"/>
      <protection hidden="1"/>
    </xf>
    <xf numFmtId="0" fontId="122" fillId="0" borderId="84" xfId="0" applyFont="1" applyBorder="1" applyAlignment="1" applyProtection="1">
      <alignment horizontal="center" vertical="center" wrapText="1"/>
      <protection locked="0"/>
    </xf>
    <xf numFmtId="0" fontId="122" fillId="0" borderId="92" xfId="0" applyFont="1" applyBorder="1" applyAlignment="1" applyProtection="1">
      <alignment horizontal="center" vertical="center" wrapText="1"/>
      <protection locked="0"/>
    </xf>
    <xf numFmtId="0" fontId="122" fillId="0" borderId="85" xfId="0" applyFont="1" applyBorder="1" applyAlignment="1" applyProtection="1">
      <alignment horizontal="center" vertical="center" wrapText="1"/>
      <protection locked="0"/>
    </xf>
    <xf numFmtId="0" fontId="78" fillId="3" borderId="0" xfId="0" applyFont="1" applyFill="1" applyAlignment="1">
      <alignment horizontal="left" wrapText="1"/>
    </xf>
    <xf numFmtId="0" fontId="77" fillId="0" borderId="0" xfId="0" applyFont="1" applyAlignment="1">
      <alignment horizontal="center" vertical="center"/>
    </xf>
    <xf numFmtId="0" fontId="77" fillId="0" borderId="0" xfId="0" applyFont="1" applyAlignment="1">
      <alignment horizontal="left" vertical="center"/>
    </xf>
    <xf numFmtId="0" fontId="79" fillId="21" borderId="93" xfId="0" applyFont="1" applyFill="1" applyBorder="1" applyAlignment="1">
      <alignment horizontal="left" vertical="center"/>
    </xf>
    <xf numFmtId="0" fontId="79" fillId="21" borderId="94" xfId="0" applyFont="1" applyFill="1" applyBorder="1" applyAlignment="1">
      <alignment horizontal="left" vertical="center"/>
    </xf>
    <xf numFmtId="0" fontId="79" fillId="21" borderId="95" xfId="0" applyFont="1" applyFill="1" applyBorder="1" applyAlignment="1">
      <alignment horizontal="left" vertical="center"/>
    </xf>
    <xf numFmtId="0" fontId="79" fillId="21" borderId="96" xfId="0" applyFont="1" applyFill="1" applyBorder="1" applyAlignment="1">
      <alignment horizontal="left" vertical="center"/>
    </xf>
    <xf numFmtId="0" fontId="79" fillId="21" borderId="97" xfId="0" applyFont="1" applyFill="1" applyBorder="1" applyAlignment="1">
      <alignment horizontal="left" vertical="center"/>
    </xf>
    <xf numFmtId="0" fontId="79" fillId="21" borderId="98" xfId="0" applyFont="1" applyFill="1" applyBorder="1" applyAlignment="1">
      <alignment horizontal="left" vertical="center"/>
    </xf>
    <xf numFmtId="0" fontId="79" fillId="3" borderId="0" xfId="0" applyFont="1" applyFill="1" applyAlignment="1">
      <alignment horizontal="left" vertical="center"/>
    </xf>
    <xf numFmtId="0" fontId="89" fillId="0" borderId="24" xfId="0" applyFont="1" applyBorder="1" applyAlignment="1" applyProtection="1">
      <alignment horizontal="center" vertical="center"/>
      <protection locked="0"/>
    </xf>
    <xf numFmtId="0" fontId="89" fillId="0" borderId="25" xfId="0" applyFont="1" applyBorder="1" applyAlignment="1" applyProtection="1">
      <alignment horizontal="center" vertical="center"/>
      <protection locked="0"/>
    </xf>
    <xf numFmtId="0" fontId="89" fillId="0" borderId="36" xfId="0" applyFont="1" applyBorder="1" applyAlignment="1" applyProtection="1">
      <alignment horizontal="center" vertical="center"/>
      <protection locked="0"/>
    </xf>
    <xf numFmtId="0" fontId="121" fillId="0" borderId="83" xfId="0" applyFont="1" applyBorder="1" applyAlignment="1" applyProtection="1">
      <alignment horizontal="center" vertical="center"/>
      <protection hidden="1"/>
    </xf>
    <xf numFmtId="9" fontId="122" fillId="0" borderId="83" xfId="0" applyNumberFormat="1" applyFont="1" applyBorder="1" applyAlignment="1" applyProtection="1">
      <alignment horizontal="center" vertical="center" wrapText="1"/>
      <protection locked="0"/>
    </xf>
    <xf numFmtId="0" fontId="79" fillId="27" borderId="99" xfId="0" applyFont="1" applyFill="1" applyBorder="1" applyAlignment="1">
      <alignment horizontal="center" vertical="center"/>
    </xf>
    <xf numFmtId="0" fontId="79" fillId="27" borderId="100" xfId="0" applyFont="1" applyFill="1" applyBorder="1" applyAlignment="1">
      <alignment horizontal="center" vertical="center"/>
    </xf>
    <xf numFmtId="0" fontId="79" fillId="27" borderId="101" xfId="0" applyFont="1" applyFill="1" applyBorder="1" applyAlignment="1">
      <alignment horizontal="center" vertical="center"/>
    </xf>
    <xf numFmtId="0" fontId="79" fillId="28" borderId="83" xfId="0" applyFont="1" applyFill="1" applyBorder="1" applyAlignment="1">
      <alignment horizontal="center" vertical="center"/>
    </xf>
    <xf numFmtId="0" fontId="79" fillId="27" borderId="83" xfId="0" applyFont="1" applyFill="1" applyBorder="1" applyAlignment="1">
      <alignment horizontal="center" vertical="center" wrapText="1"/>
    </xf>
    <xf numFmtId="0" fontId="79" fillId="0" borderId="83" xfId="0" applyFont="1" applyBorder="1" applyAlignment="1" applyProtection="1">
      <alignment horizontal="center" vertical="center"/>
      <protection hidden="1"/>
    </xf>
    <xf numFmtId="9" fontId="78" fillId="0" borderId="83" xfId="0" applyNumberFormat="1" applyFont="1" applyBorder="1" applyAlignment="1" applyProtection="1">
      <alignment horizontal="center" vertical="center" wrapText="1"/>
      <protection hidden="1"/>
    </xf>
    <xf numFmtId="9" fontId="78" fillId="0" borderId="83" xfId="0" applyNumberFormat="1" applyFont="1" applyBorder="1" applyAlignment="1" applyProtection="1">
      <alignment horizontal="center" vertical="center" wrapText="1"/>
      <protection locked="0"/>
    </xf>
    <xf numFmtId="0" fontId="79" fillId="0" borderId="83" xfId="0" applyFont="1" applyBorder="1" applyAlignment="1" applyProtection="1">
      <alignment horizontal="center" vertical="center" wrapText="1"/>
      <protection hidden="1"/>
    </xf>
    <xf numFmtId="0" fontId="78" fillId="0" borderId="83" xfId="0" applyFont="1" applyBorder="1" applyAlignment="1" applyProtection="1">
      <alignment horizontal="center" vertical="center" wrapText="1"/>
      <protection locked="0"/>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78" fillId="0" borderId="83" xfId="0" applyFont="1" applyBorder="1" applyAlignment="1" applyProtection="1">
      <alignment horizontal="center" vertical="center"/>
      <protection locked="0"/>
    </xf>
    <xf numFmtId="0" fontId="78" fillId="0" borderId="83" xfId="0" applyFont="1" applyBorder="1" applyAlignment="1" applyProtection="1">
      <alignment horizontal="justify" vertical="center" wrapText="1"/>
      <protection locked="0"/>
    </xf>
    <xf numFmtId="0" fontId="78" fillId="0" borderId="2" xfId="0" applyFont="1" applyBorder="1" applyAlignment="1">
      <alignment horizontal="left" vertical="center" wrapText="1"/>
    </xf>
    <xf numFmtId="0" fontId="78" fillId="0" borderId="21" xfId="0" applyFont="1" applyBorder="1" applyAlignment="1">
      <alignment horizontal="left" vertical="center" wrapText="1"/>
    </xf>
    <xf numFmtId="0" fontId="79" fillId="0" borderId="83" xfId="0" applyFont="1" applyBorder="1" applyAlignment="1">
      <alignment horizontal="center" vertical="center"/>
    </xf>
    <xf numFmtId="0" fontId="78" fillId="0" borderId="83" xfId="0" applyFont="1" applyBorder="1" applyAlignment="1" applyProtection="1">
      <alignment horizontal="left" vertical="center" wrapText="1"/>
      <protection locked="0"/>
    </xf>
    <xf numFmtId="0" fontId="79" fillId="27" borderId="83" xfId="0" applyFont="1" applyFill="1" applyBorder="1" applyAlignment="1">
      <alignment horizontal="center" vertical="center" textRotation="90"/>
    </xf>
    <xf numFmtId="0" fontId="79" fillId="27" borderId="83" xfId="0" applyFont="1" applyFill="1" applyBorder="1" applyAlignment="1">
      <alignment horizontal="center" vertical="center"/>
    </xf>
    <xf numFmtId="0" fontId="122" fillId="0" borderId="83" xfId="0" applyFont="1" applyBorder="1" applyAlignment="1" applyProtection="1">
      <alignment horizontal="justify" vertical="center" wrapText="1"/>
      <protection locked="0"/>
    </xf>
    <xf numFmtId="0" fontId="79" fillId="21" borderId="84" xfId="0" applyFont="1" applyFill="1" applyBorder="1" applyAlignment="1">
      <alignment horizontal="center" vertical="center" wrapText="1"/>
    </xf>
    <xf numFmtId="0" fontId="79" fillId="21" borderId="85" xfId="0" applyFont="1" applyFill="1" applyBorder="1" applyAlignment="1">
      <alignment horizontal="center" vertical="center" wrapText="1"/>
    </xf>
    <xf numFmtId="0" fontId="79" fillId="28" borderId="83" xfId="0" applyFont="1" applyFill="1" applyBorder="1" applyAlignment="1">
      <alignment horizontal="center" vertical="center" wrapText="1"/>
    </xf>
    <xf numFmtId="0" fontId="79" fillId="21" borderId="83" xfId="0" applyFont="1" applyFill="1" applyBorder="1" applyAlignment="1">
      <alignment horizontal="center" vertical="center" wrapText="1"/>
    </xf>
    <xf numFmtId="0" fontId="79" fillId="27" borderId="83" xfId="0" applyFont="1" applyFill="1" applyBorder="1" applyAlignment="1">
      <alignment horizontal="center" vertical="center" textRotation="90" wrapText="1"/>
    </xf>
    <xf numFmtId="0" fontId="79" fillId="21" borderId="83" xfId="0" applyFont="1" applyFill="1" applyBorder="1" applyAlignment="1">
      <alignment horizontal="center" vertical="center" textRotation="90" wrapText="1"/>
    </xf>
    <xf numFmtId="0" fontId="79" fillId="21" borderId="99" xfId="0" applyFont="1" applyFill="1" applyBorder="1" applyAlignment="1">
      <alignment horizontal="center" vertical="center"/>
    </xf>
    <xf numFmtId="0" fontId="79" fillId="21" borderId="100" xfId="0" applyFont="1" applyFill="1" applyBorder="1" applyAlignment="1">
      <alignment horizontal="center" vertical="center"/>
    </xf>
    <xf numFmtId="0" fontId="79" fillId="21" borderId="101" xfId="0" applyFont="1" applyFill="1" applyBorder="1" applyAlignment="1">
      <alignment horizontal="center" vertical="center"/>
    </xf>
    <xf numFmtId="0" fontId="79" fillId="21" borderId="99" xfId="0" applyFont="1" applyFill="1" applyBorder="1" applyAlignment="1">
      <alignment horizontal="center" vertical="center" wrapText="1"/>
    </xf>
    <xf numFmtId="0" fontId="79" fillId="21" borderId="100" xfId="0" applyFont="1" applyFill="1" applyBorder="1" applyAlignment="1">
      <alignment horizontal="center" vertical="center" wrapText="1"/>
    </xf>
    <xf numFmtId="0" fontId="79" fillId="21" borderId="101" xfId="0" applyFont="1" applyFill="1" applyBorder="1" applyAlignment="1">
      <alignment horizontal="center" vertical="center" wrapText="1"/>
    </xf>
    <xf numFmtId="0" fontId="79" fillId="27" borderId="105" xfId="0" applyFont="1" applyFill="1" applyBorder="1" applyAlignment="1">
      <alignment horizontal="center" vertical="center" wrapText="1"/>
    </xf>
    <xf numFmtId="0" fontId="79" fillId="27" borderId="86" xfId="0" applyFont="1" applyFill="1" applyBorder="1" applyAlignment="1">
      <alignment horizontal="center" vertical="center" wrapText="1"/>
    </xf>
    <xf numFmtId="0" fontId="79" fillId="28" borderId="99" xfId="0" applyFont="1" applyFill="1" applyBorder="1" applyAlignment="1">
      <alignment horizontal="center" vertical="center"/>
    </xf>
    <xf numFmtId="0" fontId="79" fillId="28" borderId="100" xfId="0" applyFont="1" applyFill="1" applyBorder="1" applyAlignment="1">
      <alignment horizontal="center" vertical="center"/>
    </xf>
    <xf numFmtId="0" fontId="79" fillId="31" borderId="84" xfId="0" applyFont="1" applyFill="1" applyBorder="1" applyAlignment="1">
      <alignment horizontal="center" vertical="center" wrapText="1"/>
    </xf>
    <xf numFmtId="0" fontId="79" fillId="31" borderId="85"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4" borderId="0" xfId="0" applyFont="1" applyFill="1" applyAlignment="1">
      <alignment horizontal="center" vertical="center" wrapText="1"/>
    </xf>
    <xf numFmtId="0" fontId="36" fillId="11" borderId="13" xfId="0" applyFont="1" applyFill="1" applyBorder="1" applyAlignment="1">
      <alignment horizontal="center" vertical="center" wrapText="1" readingOrder="1"/>
    </xf>
    <xf numFmtId="0" fontId="36" fillId="11" borderId="14" xfId="0" applyFont="1" applyFill="1" applyBorder="1" applyAlignment="1">
      <alignment horizontal="center" vertical="center" wrapText="1" readingOrder="1"/>
    </xf>
    <xf numFmtId="0" fontId="36" fillId="11" borderId="15" xfId="0" applyFont="1" applyFill="1" applyBorder="1" applyAlignment="1">
      <alignment horizontal="center" vertical="center" wrapText="1" readingOrder="1"/>
    </xf>
    <xf numFmtId="0" fontId="36" fillId="11" borderId="16" xfId="0" applyFont="1" applyFill="1" applyBorder="1" applyAlignment="1">
      <alignment horizontal="center" vertical="center" wrapText="1" readingOrder="1"/>
    </xf>
    <xf numFmtId="0" fontId="36" fillId="11" borderId="0" xfId="0" applyFont="1" applyFill="1" applyAlignment="1">
      <alignment horizontal="center" vertical="center" wrapText="1" readingOrder="1"/>
    </xf>
    <xf numFmtId="0" fontId="36" fillId="11" borderId="17" xfId="0" applyFont="1" applyFill="1" applyBorder="1" applyAlignment="1">
      <alignment horizontal="center" vertical="center" wrapText="1" readingOrder="1"/>
    </xf>
    <xf numFmtId="0" fontId="36" fillId="11" borderId="18" xfId="0" applyFont="1" applyFill="1" applyBorder="1" applyAlignment="1">
      <alignment horizontal="center" vertical="center" wrapText="1" readingOrder="1"/>
    </xf>
    <xf numFmtId="0" fontId="36" fillId="11" borderId="19" xfId="0" applyFont="1" applyFill="1" applyBorder="1" applyAlignment="1">
      <alignment horizontal="center" vertical="center" wrapText="1" readingOrder="1"/>
    </xf>
    <xf numFmtId="0" fontId="36" fillId="11" borderId="20" xfId="0" applyFont="1" applyFill="1" applyBorder="1" applyAlignment="1">
      <alignment horizontal="center" vertical="center" wrapText="1" readingOrder="1"/>
    </xf>
    <xf numFmtId="0" fontId="37" fillId="0" borderId="5" xfId="0" applyFont="1" applyBorder="1" applyAlignment="1">
      <alignment horizontal="center" vertical="center" wrapText="1"/>
    </xf>
    <xf numFmtId="0" fontId="37" fillId="0" borderId="12" xfId="0" applyFont="1" applyBorder="1" applyAlignment="1">
      <alignment horizontal="center" vertical="center"/>
    </xf>
    <xf numFmtId="0" fontId="37" fillId="0" borderId="7" xfId="0" applyFont="1" applyBorder="1" applyAlignment="1">
      <alignment horizontal="center" vertical="center" wrapText="1"/>
    </xf>
    <xf numFmtId="0" fontId="37" fillId="0" borderId="0" xfId="0" applyFont="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6" fillId="12" borderId="13" xfId="0" applyFont="1" applyFill="1" applyBorder="1" applyAlignment="1">
      <alignment horizontal="center" vertical="center" wrapText="1" readingOrder="1"/>
    </xf>
    <xf numFmtId="0" fontId="36" fillId="12" borderId="14" xfId="0" applyFont="1" applyFill="1" applyBorder="1" applyAlignment="1">
      <alignment horizontal="center" vertical="center" wrapText="1" readingOrder="1"/>
    </xf>
    <xf numFmtId="0" fontId="36" fillId="12" borderId="15" xfId="0" applyFont="1" applyFill="1" applyBorder="1" applyAlignment="1">
      <alignment horizontal="center" vertical="center" wrapText="1" readingOrder="1"/>
    </xf>
    <xf numFmtId="0" fontId="36" fillId="12" borderId="16" xfId="0" applyFont="1" applyFill="1" applyBorder="1" applyAlignment="1">
      <alignment horizontal="center" vertical="center" wrapText="1" readingOrder="1"/>
    </xf>
    <xf numFmtId="0" fontId="36" fillId="12" borderId="0" xfId="0" applyFont="1" applyFill="1" applyAlignment="1">
      <alignment horizontal="center" vertical="center" wrapText="1" readingOrder="1"/>
    </xf>
    <xf numFmtId="0" fontId="36" fillId="12" borderId="17" xfId="0" applyFont="1" applyFill="1" applyBorder="1" applyAlignment="1">
      <alignment horizontal="center" vertical="center" wrapText="1" readingOrder="1"/>
    </xf>
    <xf numFmtId="0" fontId="36" fillId="12" borderId="18" xfId="0" applyFont="1" applyFill="1" applyBorder="1" applyAlignment="1">
      <alignment horizontal="center" vertical="center" wrapText="1" readingOrder="1"/>
    </xf>
    <xf numFmtId="0" fontId="36" fillId="12" borderId="19" xfId="0" applyFont="1" applyFill="1" applyBorder="1" applyAlignment="1">
      <alignment horizontal="center" vertical="center" wrapText="1" readingOrder="1"/>
    </xf>
    <xf numFmtId="0" fontId="36" fillId="12" borderId="20" xfId="0" applyFont="1" applyFill="1" applyBorder="1" applyAlignment="1">
      <alignment horizontal="center" vertical="center" wrapText="1" readingOrder="1"/>
    </xf>
    <xf numFmtId="0" fontId="88" fillId="24" borderId="0" xfId="0" applyFont="1" applyFill="1" applyAlignment="1">
      <alignment horizontal="center" vertical="center" wrapText="1"/>
    </xf>
    <xf numFmtId="0" fontId="21" fillId="24" borderId="0" xfId="0" applyFont="1" applyFill="1" applyAlignment="1">
      <alignment horizontal="center" vertical="center" wrapText="1"/>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10" xfId="0" applyFont="1" applyBorder="1" applyAlignment="1">
      <alignment horizontal="center" vertical="center"/>
    </xf>
    <xf numFmtId="0" fontId="36" fillId="5" borderId="13" xfId="0" applyFont="1" applyFill="1" applyBorder="1" applyAlignment="1">
      <alignment horizontal="center" vertical="center" wrapText="1" readingOrder="1"/>
    </xf>
    <xf numFmtId="0" fontId="36" fillId="5" borderId="14" xfId="0" applyFont="1" applyFill="1" applyBorder="1" applyAlignment="1">
      <alignment horizontal="center" vertical="center" wrapText="1" readingOrder="1"/>
    </xf>
    <xf numFmtId="0" fontId="36" fillId="5" borderId="15" xfId="0" applyFont="1" applyFill="1" applyBorder="1" applyAlignment="1">
      <alignment horizontal="center" vertical="center" wrapText="1" readingOrder="1"/>
    </xf>
    <xf numFmtId="0" fontId="36" fillId="5" borderId="16" xfId="0" applyFont="1" applyFill="1" applyBorder="1" applyAlignment="1">
      <alignment horizontal="center" vertical="center" wrapText="1" readingOrder="1"/>
    </xf>
    <xf numFmtId="0" fontId="36" fillId="5" borderId="0" xfId="0" applyFont="1" applyFill="1" applyAlignment="1">
      <alignment horizontal="center" vertical="center" wrapText="1" readingOrder="1"/>
    </xf>
    <xf numFmtId="0" fontId="36" fillId="5" borderId="17" xfId="0" applyFont="1" applyFill="1" applyBorder="1" applyAlignment="1">
      <alignment horizontal="center" vertical="center" wrapText="1" readingOrder="1"/>
    </xf>
    <xf numFmtId="0" fontId="36" fillId="5" borderId="18" xfId="0" applyFont="1" applyFill="1" applyBorder="1" applyAlignment="1">
      <alignment horizontal="center" vertical="center" wrapText="1" readingOrder="1"/>
    </xf>
    <xf numFmtId="0" fontId="36" fillId="5" borderId="19" xfId="0" applyFont="1" applyFill="1" applyBorder="1" applyAlignment="1">
      <alignment horizontal="center" vertical="center" wrapText="1" readingOrder="1"/>
    </xf>
    <xf numFmtId="0" fontId="36" fillId="5" borderId="20" xfId="0" applyFont="1" applyFill="1" applyBorder="1" applyAlignment="1">
      <alignment horizontal="center" vertical="center" wrapText="1" readingOrder="1"/>
    </xf>
    <xf numFmtId="0" fontId="36" fillId="13" borderId="13" xfId="0" applyFont="1" applyFill="1" applyBorder="1" applyAlignment="1">
      <alignment horizontal="center" vertical="center" wrapText="1" readingOrder="1"/>
    </xf>
    <xf numFmtId="0" fontId="36" fillId="13" borderId="14" xfId="0" applyFont="1" applyFill="1" applyBorder="1" applyAlignment="1">
      <alignment horizontal="center" vertical="center" wrapText="1" readingOrder="1"/>
    </xf>
    <xf numFmtId="0" fontId="36" fillId="13" borderId="15" xfId="0" applyFont="1" applyFill="1" applyBorder="1" applyAlignment="1">
      <alignment horizontal="center" vertical="center" wrapText="1" readingOrder="1"/>
    </xf>
    <xf numFmtId="0" fontId="36" fillId="13" borderId="16" xfId="0" applyFont="1" applyFill="1" applyBorder="1" applyAlignment="1">
      <alignment horizontal="center" vertical="center" wrapText="1" readingOrder="1"/>
    </xf>
    <xf numFmtId="0" fontId="36" fillId="13" borderId="0" xfId="0" applyFont="1" applyFill="1" applyAlignment="1">
      <alignment horizontal="center" vertical="center" wrapText="1" readingOrder="1"/>
    </xf>
    <xf numFmtId="0" fontId="36" fillId="13" borderId="17" xfId="0" applyFont="1" applyFill="1" applyBorder="1" applyAlignment="1">
      <alignment horizontal="center" vertical="center" wrapText="1" readingOrder="1"/>
    </xf>
    <xf numFmtId="0" fontId="36" fillId="13" borderId="18" xfId="0" applyFont="1" applyFill="1" applyBorder="1" applyAlignment="1">
      <alignment horizontal="center" vertical="center" wrapText="1" readingOrder="1"/>
    </xf>
    <xf numFmtId="0" fontId="36" fillId="13" borderId="19" xfId="0" applyFont="1" applyFill="1" applyBorder="1" applyAlignment="1">
      <alignment horizontal="center" vertical="center" wrapText="1" readingOrder="1"/>
    </xf>
    <xf numFmtId="0" fontId="36" fillId="13" borderId="20" xfId="0" applyFont="1" applyFill="1" applyBorder="1" applyAlignment="1">
      <alignment horizontal="center" vertical="center" wrapText="1" readingOrder="1"/>
    </xf>
    <xf numFmtId="0" fontId="37" fillId="0" borderId="12" xfId="0" applyFont="1" applyBorder="1" applyAlignment="1">
      <alignment horizontal="center" vertical="center" wrapText="1"/>
    </xf>
    <xf numFmtId="0" fontId="105" fillId="0" borderId="24" xfId="0" applyFont="1" applyBorder="1" applyAlignment="1" applyProtection="1">
      <alignment horizontal="center" vertical="center"/>
      <protection locked="0"/>
    </xf>
    <xf numFmtId="0" fontId="105" fillId="0" borderId="25" xfId="0" applyFont="1" applyBorder="1" applyAlignment="1" applyProtection="1">
      <alignment horizontal="center" vertical="center"/>
      <protection locked="0"/>
    </xf>
    <xf numFmtId="0" fontId="105" fillId="0" borderId="36" xfId="0" applyFont="1" applyBorder="1" applyAlignment="1" applyProtection="1">
      <alignment horizontal="center" vertical="center"/>
      <protection locked="0"/>
    </xf>
    <xf numFmtId="0" fontId="79" fillId="27" borderId="84"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123" fillId="0" borderId="83" xfId="0" applyFont="1" applyBorder="1" applyAlignment="1" applyProtection="1">
      <alignment horizontal="center" vertical="center" wrapText="1"/>
      <protection hidden="1"/>
    </xf>
    <xf numFmtId="9" fontId="124" fillId="0" borderId="83" xfId="0" applyNumberFormat="1" applyFont="1" applyBorder="1" applyAlignment="1" applyProtection="1">
      <alignment horizontal="center" vertical="center" wrapText="1"/>
      <protection hidden="1"/>
    </xf>
    <xf numFmtId="0" fontId="123" fillId="0" borderId="83" xfId="0" applyFont="1" applyBorder="1" applyAlignment="1" applyProtection="1">
      <alignment horizontal="center" vertical="center"/>
      <protection hidden="1"/>
    </xf>
    <xf numFmtId="0" fontId="124" fillId="0" borderId="84" xfId="0" applyFont="1" applyBorder="1" applyAlignment="1" applyProtection="1">
      <alignment horizontal="center" vertical="center" wrapText="1"/>
      <protection locked="0"/>
    </xf>
    <xf numFmtId="0" fontId="124" fillId="0" borderId="92" xfId="0" applyFont="1" applyBorder="1" applyAlignment="1" applyProtection="1">
      <alignment horizontal="center" vertical="center" wrapText="1"/>
      <protection locked="0"/>
    </xf>
    <xf numFmtId="0" fontId="124" fillId="0" borderId="85" xfId="0" applyFont="1" applyBorder="1" applyAlignment="1" applyProtection="1">
      <alignment horizontal="center" vertical="center" wrapText="1"/>
      <protection locked="0"/>
    </xf>
    <xf numFmtId="0" fontId="123" fillId="0" borderId="83" xfId="0" applyFont="1" applyBorder="1" applyAlignment="1">
      <alignment horizontal="center" vertical="center"/>
    </xf>
    <xf numFmtId="0" fontId="124" fillId="0" borderId="83" xfId="0" applyFont="1" applyBorder="1" applyAlignment="1" applyProtection="1">
      <alignment horizontal="center" vertical="center" wrapText="1"/>
      <protection locked="0"/>
    </xf>
    <xf numFmtId="0" fontId="124" fillId="0" borderId="83" xfId="0" applyFont="1" applyBorder="1" applyAlignment="1" applyProtection="1">
      <alignment horizontal="justify" vertical="center" wrapText="1"/>
      <protection locked="0"/>
    </xf>
    <xf numFmtId="0" fontId="124" fillId="0" borderId="83" xfId="0" applyFont="1" applyBorder="1" applyAlignment="1" applyProtection="1">
      <alignment horizontal="center" vertical="center"/>
      <protection locked="0"/>
    </xf>
    <xf numFmtId="9" fontId="124" fillId="0" borderId="83" xfId="0" applyNumberFormat="1" applyFont="1" applyBorder="1" applyAlignment="1" applyProtection="1">
      <alignment horizontal="center" vertical="center" wrapText="1"/>
      <protection locked="0"/>
    </xf>
    <xf numFmtId="0" fontId="79" fillId="2" borderId="99" xfId="0" applyFont="1" applyFill="1" applyBorder="1" applyAlignment="1">
      <alignment horizontal="center" vertical="center"/>
    </xf>
    <xf numFmtId="0" fontId="79" fillId="2" borderId="100" xfId="0" applyFont="1" applyFill="1" applyBorder="1" applyAlignment="1">
      <alignment horizontal="center" vertical="center"/>
    </xf>
    <xf numFmtId="0" fontId="79" fillId="2" borderId="101" xfId="0" applyFont="1" applyFill="1" applyBorder="1" applyAlignment="1">
      <alignment horizontal="center" vertical="center"/>
    </xf>
    <xf numFmtId="0" fontId="79" fillId="2" borderId="105" xfId="0" applyFont="1" applyFill="1" applyBorder="1" applyAlignment="1">
      <alignment horizontal="center" vertical="center" wrapText="1"/>
    </xf>
    <xf numFmtId="0" fontId="79" fillId="2" borderId="86" xfId="0" applyFont="1" applyFill="1" applyBorder="1" applyAlignment="1">
      <alignment horizontal="center" vertical="center"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3" xfId="0" applyFont="1" applyFill="1" applyBorder="1" applyAlignment="1">
      <alignment horizontal="center" vertical="center"/>
    </xf>
    <xf numFmtId="0" fontId="79" fillId="2" borderId="84" xfId="0" applyFont="1" applyFill="1" applyBorder="1" applyAlignment="1">
      <alignment horizontal="left" vertical="center" wrapText="1"/>
    </xf>
    <xf numFmtId="0" fontId="79" fillId="2" borderId="85" xfId="0" applyFont="1" applyFill="1" applyBorder="1" applyAlignment="1">
      <alignment horizontal="left" vertical="center" wrapText="1"/>
    </xf>
    <xf numFmtId="0" fontId="79" fillId="21" borderId="83" xfId="0" applyFont="1" applyFill="1" applyBorder="1" applyAlignment="1">
      <alignment horizontal="center" vertical="center"/>
    </xf>
    <xf numFmtId="0" fontId="79" fillId="2" borderId="83" xfId="0" applyFont="1" applyFill="1" applyBorder="1" applyAlignment="1">
      <alignment horizontal="center" vertical="center" textRotation="90" wrapText="1"/>
    </xf>
    <xf numFmtId="0" fontId="120" fillId="0" borderId="83" xfId="0" applyFont="1" applyBorder="1" applyAlignment="1" applyProtection="1">
      <alignment horizontal="center" vertical="center" wrapText="1"/>
      <protection locked="0"/>
    </xf>
    <xf numFmtId="0" fontId="120" fillId="0" borderId="84" xfId="0" applyFont="1" applyBorder="1" applyAlignment="1" applyProtection="1">
      <alignment horizontal="center" vertical="center" wrapText="1"/>
      <protection locked="0"/>
    </xf>
    <xf numFmtId="0" fontId="120" fillId="0" borderId="92" xfId="0" applyFont="1" applyBorder="1" applyAlignment="1" applyProtection="1">
      <alignment horizontal="center" vertical="center" wrapText="1"/>
      <protection locked="0"/>
    </xf>
    <xf numFmtId="0" fontId="120" fillId="0" borderId="85" xfId="0" applyFont="1" applyBorder="1" applyAlignment="1" applyProtection="1">
      <alignment horizontal="center" vertical="center" wrapText="1"/>
      <protection locked="0"/>
    </xf>
    <xf numFmtId="0" fontId="120" fillId="0" borderId="83" xfId="0" applyFont="1" applyBorder="1" applyAlignment="1" applyProtection="1">
      <alignment horizontal="center" vertical="center"/>
      <protection locked="0"/>
    </xf>
    <xf numFmtId="0" fontId="119" fillId="0" borderId="83" xfId="0" applyFont="1" applyBorder="1" applyAlignment="1" applyProtection="1">
      <alignment horizontal="center" vertical="center" wrapText="1"/>
      <protection hidden="1"/>
    </xf>
    <xf numFmtId="9" fontId="120" fillId="0" borderId="83" xfId="0" applyNumberFormat="1" applyFont="1" applyBorder="1" applyAlignment="1" applyProtection="1">
      <alignment horizontal="center" vertical="center" wrapText="1"/>
      <protection hidden="1"/>
    </xf>
    <xf numFmtId="9" fontId="120" fillId="0" borderId="83" xfId="0" applyNumberFormat="1" applyFont="1" applyBorder="1" applyAlignment="1" applyProtection="1">
      <alignment horizontal="center" vertical="center" wrapText="1"/>
      <protection locked="0"/>
    </xf>
    <xf numFmtId="0" fontId="78" fillId="31" borderId="83" xfId="0" applyFont="1" applyFill="1" applyBorder="1" applyAlignment="1" applyProtection="1">
      <alignment horizontal="center" vertical="center" wrapText="1"/>
      <protection locked="0"/>
    </xf>
    <xf numFmtId="0" fontId="78" fillId="0" borderId="84" xfId="0" applyFont="1" applyBorder="1" applyAlignment="1" applyProtection="1">
      <alignment horizontal="left" vertical="center" wrapText="1"/>
      <protection locked="0"/>
    </xf>
    <xf numFmtId="0" fontId="78" fillId="0" borderId="92" xfId="0" applyFont="1" applyBorder="1" applyAlignment="1" applyProtection="1">
      <alignment horizontal="left" vertical="center" wrapText="1"/>
      <protection locked="0"/>
    </xf>
    <xf numFmtId="0" fontId="78" fillId="0" borderId="85" xfId="0" applyFont="1" applyBorder="1" applyAlignment="1" applyProtection="1">
      <alignment horizontal="left" vertical="center" wrapText="1"/>
      <protection locked="0"/>
    </xf>
    <xf numFmtId="0" fontId="78" fillId="31" borderId="83" xfId="0" applyFont="1" applyFill="1" applyBorder="1" applyAlignment="1" applyProtection="1">
      <alignment horizontal="justify" vertical="center" wrapText="1"/>
      <protection locked="0"/>
    </xf>
    <xf numFmtId="0" fontId="119" fillId="0" borderId="83" xfId="0" applyFont="1" applyBorder="1" applyAlignment="1" applyProtection="1">
      <alignment horizontal="center" vertical="center"/>
      <protection hidden="1"/>
    </xf>
    <xf numFmtId="0" fontId="70" fillId="0" borderId="12" xfId="0" applyFont="1" applyBorder="1" applyAlignment="1">
      <alignment horizontal="left" wrapText="1"/>
    </xf>
    <xf numFmtId="0" fontId="70" fillId="0" borderId="0" xfId="0" applyFont="1" applyAlignment="1">
      <alignment horizontal="left" wrapText="1"/>
    </xf>
    <xf numFmtId="0" fontId="70" fillId="4" borderId="12" xfId="0" applyFont="1" applyFill="1" applyBorder="1" applyAlignment="1">
      <alignment horizontal="center" vertical="center" wrapText="1"/>
    </xf>
    <xf numFmtId="0" fontId="70" fillId="4" borderId="0" xfId="0" applyFont="1" applyFill="1" applyAlignment="1">
      <alignment horizontal="center" vertical="center" wrapText="1"/>
    </xf>
    <xf numFmtId="0" fontId="73" fillId="21" borderId="34" xfId="0" applyFont="1" applyFill="1" applyBorder="1" applyAlignment="1">
      <alignment horizontal="center" vertical="center" wrapText="1"/>
    </xf>
    <xf numFmtId="0" fontId="73" fillId="21" borderId="35" xfId="0" applyFont="1" applyFill="1" applyBorder="1" applyAlignment="1">
      <alignment horizontal="center" vertical="center" wrapText="1"/>
    </xf>
    <xf numFmtId="0" fontId="70" fillId="0" borderId="22" xfId="0" applyFont="1" applyBorder="1" applyAlignment="1">
      <alignment horizontal="left" vertical="center" wrapText="1"/>
    </xf>
    <xf numFmtId="0" fontId="70" fillId="0" borderId="76" xfId="0" applyFont="1" applyBorder="1" applyAlignment="1">
      <alignment horizontal="left" vertical="center" wrapText="1"/>
    </xf>
    <xf numFmtId="0" fontId="73" fillId="21" borderId="33" xfId="0" applyFont="1" applyFill="1" applyBorder="1" applyAlignment="1">
      <alignment horizontal="center" vertical="center" wrapText="1"/>
    </xf>
    <xf numFmtId="0" fontId="71" fillId="16" borderId="24" xfId="0" applyFont="1" applyFill="1" applyBorder="1" applyAlignment="1">
      <alignment horizontal="center" vertical="center" wrapText="1"/>
    </xf>
    <xf numFmtId="0" fontId="71" fillId="16" borderId="25" xfId="0" applyFont="1" applyFill="1" applyBorder="1" applyAlignment="1">
      <alignment horizontal="center" vertical="center" wrapText="1"/>
    </xf>
    <xf numFmtId="0" fontId="71" fillId="16" borderId="36" xfId="0" applyFont="1" applyFill="1" applyBorder="1" applyAlignment="1">
      <alignment horizontal="center" vertical="center" wrapText="1"/>
    </xf>
    <xf numFmtId="0" fontId="72" fillId="16" borderId="73" xfId="0" applyFont="1" applyFill="1" applyBorder="1" applyAlignment="1">
      <alignment horizontal="center" vertical="center" wrapText="1"/>
    </xf>
    <xf numFmtId="0" fontId="72" fillId="16" borderId="28" xfId="0" applyFont="1" applyFill="1" applyBorder="1" applyAlignment="1">
      <alignment horizontal="center" vertical="center" wrapText="1"/>
    </xf>
    <xf numFmtId="0" fontId="72" fillId="16" borderId="74" xfId="0" applyFont="1" applyFill="1" applyBorder="1" applyAlignment="1">
      <alignment horizontal="center" vertical="center" wrapText="1"/>
    </xf>
    <xf numFmtId="0" fontId="72" fillId="16" borderId="29" xfId="0" applyFont="1" applyFill="1" applyBorder="1" applyAlignment="1">
      <alignment horizontal="center" vertical="center" wrapText="1"/>
    </xf>
    <xf numFmtId="0" fontId="72" fillId="16" borderId="75" xfId="0" applyFont="1" applyFill="1" applyBorder="1" applyAlignment="1">
      <alignment horizontal="center" vertical="center" wrapText="1"/>
    </xf>
    <xf numFmtId="0" fontId="70" fillId="0" borderId="74" xfId="0" applyFont="1" applyBorder="1" applyAlignment="1">
      <alignment horizontal="left" vertical="center" wrapText="1"/>
    </xf>
    <xf numFmtId="0" fontId="107" fillId="0" borderId="112" xfId="7" applyFont="1" applyBorder="1" applyAlignment="1">
      <alignment horizontal="center" vertical="center"/>
    </xf>
    <xf numFmtId="0" fontId="108" fillId="0" borderId="69" xfId="7" applyFont="1" applyBorder="1" applyAlignment="1">
      <alignment horizontal="center" vertical="center"/>
    </xf>
    <xf numFmtId="0" fontId="108" fillId="0" borderId="0" xfId="7" applyFont="1" applyAlignment="1">
      <alignment horizontal="center" vertical="center"/>
    </xf>
    <xf numFmtId="0" fontId="108" fillId="0" borderId="69" xfId="7" applyFont="1" applyBorder="1" applyAlignment="1">
      <alignment horizontal="left" vertical="center"/>
    </xf>
    <xf numFmtId="0" fontId="108" fillId="0" borderId="0" xfId="7" applyFont="1" applyAlignment="1">
      <alignment horizontal="left" vertical="center"/>
    </xf>
    <xf numFmtId="0" fontId="111" fillId="36" borderId="115" xfId="7" applyFont="1" applyFill="1" applyBorder="1" applyAlignment="1">
      <alignment horizontal="left" vertical="center"/>
    </xf>
    <xf numFmtId="0" fontId="110" fillId="35" borderId="69" xfId="7" applyFont="1" applyFill="1" applyBorder="1" applyAlignment="1" applyProtection="1">
      <alignment horizontal="center" vertical="center" wrapText="1"/>
      <protection locked="0"/>
    </xf>
    <xf numFmtId="0" fontId="110" fillId="35" borderId="0" xfId="7" applyFont="1" applyFill="1" applyAlignment="1">
      <alignment horizontal="left" wrapText="1"/>
    </xf>
    <xf numFmtId="0" fontId="111" fillId="37" borderId="116" xfId="7" applyFont="1" applyFill="1" applyBorder="1" applyAlignment="1">
      <alignment horizontal="center" vertical="center"/>
    </xf>
    <xf numFmtId="0" fontId="111" fillId="38" borderId="116" xfId="7" applyFont="1" applyFill="1" applyBorder="1" applyAlignment="1">
      <alignment horizontal="center" vertical="center"/>
    </xf>
    <xf numFmtId="0" fontId="111" fillId="37" borderId="119" xfId="7" applyFont="1" applyFill="1" applyBorder="1" applyAlignment="1">
      <alignment horizontal="center" vertical="center"/>
    </xf>
    <xf numFmtId="0" fontId="111" fillId="36" borderId="118" xfId="7" applyFont="1" applyFill="1" applyBorder="1" applyAlignment="1">
      <alignment horizontal="center" vertical="center" wrapText="1"/>
    </xf>
    <xf numFmtId="0" fontId="111" fillId="37" borderId="118" xfId="7" applyFont="1" applyFill="1" applyBorder="1" applyAlignment="1">
      <alignment horizontal="center" vertical="center"/>
    </xf>
    <xf numFmtId="0" fontId="111" fillId="36" borderId="113" xfId="7" applyFont="1" applyFill="1" applyBorder="1" applyAlignment="1">
      <alignment horizontal="left" vertical="center"/>
    </xf>
    <xf numFmtId="0" fontId="112" fillId="0" borderId="69" xfId="7" applyFont="1" applyBorder="1" applyAlignment="1" applyProtection="1">
      <alignment horizontal="center" vertical="center"/>
      <protection locked="0"/>
    </xf>
    <xf numFmtId="0" fontId="111" fillId="35" borderId="0" xfId="7" applyFont="1" applyFill="1" applyAlignment="1">
      <alignment horizontal="left" vertical="center"/>
    </xf>
    <xf numFmtId="0" fontId="111" fillId="36" borderId="114" xfId="7" applyFont="1" applyFill="1" applyBorder="1" applyAlignment="1">
      <alignment horizontal="left" vertical="center"/>
    </xf>
    <xf numFmtId="0" fontId="111" fillId="37" borderId="120" xfId="7" applyFont="1" applyFill="1" applyBorder="1" applyAlignment="1">
      <alignment horizontal="center" vertical="center" textRotation="90"/>
    </xf>
    <xf numFmtId="0" fontId="111" fillId="37" borderId="120" xfId="7" applyFont="1" applyFill="1" applyBorder="1" applyAlignment="1">
      <alignment horizontal="center" vertical="center" wrapText="1"/>
    </xf>
    <xf numFmtId="0" fontId="111" fillId="39" borderId="120" xfId="7" applyFont="1" applyFill="1" applyBorder="1" applyAlignment="1">
      <alignment horizontal="center" vertical="center" wrapText="1"/>
    </xf>
    <xf numFmtId="0" fontId="111" fillId="38" borderId="120" xfId="7" applyFont="1" applyFill="1" applyBorder="1" applyAlignment="1">
      <alignment horizontal="center" vertical="center" wrapText="1"/>
    </xf>
    <xf numFmtId="0" fontId="111" fillId="38" borderId="120" xfId="7" applyFont="1" applyFill="1" applyBorder="1" applyAlignment="1">
      <alignment horizontal="center" vertical="center"/>
    </xf>
    <xf numFmtId="0" fontId="111" fillId="36" borderId="118" xfId="7" applyFont="1" applyFill="1" applyBorder="1" applyAlignment="1">
      <alignment horizontal="center" vertical="center"/>
    </xf>
    <xf numFmtId="0" fontId="111" fillId="36" borderId="120" xfId="7" applyFont="1" applyFill="1" applyBorder="1" applyAlignment="1">
      <alignment horizontal="center" vertical="center" textRotation="90" wrapText="1"/>
    </xf>
    <xf numFmtId="0" fontId="111" fillId="37" borderId="120" xfId="7" applyFont="1" applyFill="1" applyBorder="1" applyAlignment="1">
      <alignment horizontal="center" vertical="center" textRotation="90" wrapText="1"/>
    </xf>
    <xf numFmtId="0" fontId="110" fillId="0" borderId="120" xfId="7" applyFont="1" applyBorder="1" applyAlignment="1" applyProtection="1">
      <alignment horizontal="center" vertical="center" wrapText="1"/>
      <protection locked="0"/>
    </xf>
    <xf numFmtId="0" fontId="111" fillId="36" borderId="120" xfId="7" applyFont="1" applyFill="1" applyBorder="1" applyAlignment="1">
      <alignment horizontal="center" vertical="center" wrapText="1"/>
    </xf>
    <xf numFmtId="0" fontId="111" fillId="0" borderId="120" xfId="7" applyFont="1" applyBorder="1" applyAlignment="1">
      <alignment horizontal="center" vertical="center"/>
    </xf>
    <xf numFmtId="0" fontId="118" fillId="0" borderId="120" xfId="7" applyFont="1" applyBorder="1" applyAlignment="1" applyProtection="1">
      <alignment horizontal="center" vertical="center" wrapText="1"/>
      <protection locked="0"/>
    </xf>
    <xf numFmtId="9" fontId="110" fillId="0" borderId="120" xfId="7" applyNumberFormat="1" applyFont="1" applyBorder="1" applyAlignment="1" applyProtection="1">
      <alignment horizontal="center" vertical="center" wrapText="1"/>
      <protection hidden="1"/>
    </xf>
    <xf numFmtId="0" fontId="111" fillId="0" borderId="120" xfId="7" applyFont="1" applyBorder="1" applyAlignment="1" applyProtection="1">
      <alignment horizontal="center" vertical="center" wrapText="1"/>
      <protection hidden="1"/>
    </xf>
    <xf numFmtId="0" fontId="111" fillId="0" borderId="120" xfId="7" applyFont="1" applyBorder="1" applyAlignment="1" applyProtection="1">
      <alignment horizontal="center" vertical="center"/>
      <protection hidden="1"/>
    </xf>
    <xf numFmtId="9" fontId="110" fillId="0" borderId="120" xfId="7" applyNumberFormat="1" applyFont="1" applyBorder="1" applyAlignment="1" applyProtection="1">
      <alignment horizontal="center" vertical="center" wrapText="1"/>
      <protection locked="0"/>
    </xf>
    <xf numFmtId="0" fontId="110" fillId="0" borderId="120" xfId="7" applyFont="1" applyBorder="1" applyAlignment="1" applyProtection="1">
      <alignment horizontal="center" vertical="center"/>
      <protection locked="0"/>
    </xf>
    <xf numFmtId="0" fontId="118" fillId="0" borderId="120" xfId="7" applyFont="1" applyBorder="1" applyAlignment="1" applyProtection="1">
      <alignment horizontal="center" vertical="center"/>
      <protection locked="0"/>
    </xf>
    <xf numFmtId="0" fontId="110" fillId="0" borderId="123" xfId="7" applyFont="1" applyBorder="1" applyAlignment="1">
      <alignment horizontal="center" vertical="center"/>
    </xf>
    <xf numFmtId="0" fontId="110" fillId="0" borderId="124" xfId="7" applyFont="1" applyBorder="1" applyAlignment="1">
      <alignment horizontal="center" vertical="center"/>
    </xf>
    <xf numFmtId="0" fontId="110" fillId="0" borderId="118" xfId="7" applyFont="1" applyBorder="1" applyAlignment="1">
      <alignment horizontal="center" vertical="center"/>
    </xf>
    <xf numFmtId="0" fontId="113" fillId="0" borderId="120" xfId="7" applyFont="1" applyBorder="1" applyAlignment="1" applyProtection="1">
      <alignment horizontal="center" vertical="center" wrapText="1"/>
      <protection locked="0"/>
    </xf>
    <xf numFmtId="0" fontId="110" fillId="0" borderId="122" xfId="7" applyFont="1" applyBorder="1" applyAlignment="1">
      <alignment horizontal="left" vertical="center" wrapText="1"/>
    </xf>
    <xf numFmtId="9" fontId="78" fillId="14" borderId="83" xfId="0" applyNumberFormat="1" applyFont="1" applyFill="1" applyBorder="1" applyAlignment="1" applyProtection="1">
      <alignment horizontal="center" vertical="center" wrapText="1"/>
      <protection hidden="1"/>
    </xf>
    <xf numFmtId="0" fontId="79" fillId="33" borderId="83" xfId="0" applyFont="1" applyFill="1" applyBorder="1" applyAlignment="1">
      <alignment horizontal="center" vertical="center" wrapText="1"/>
    </xf>
    <xf numFmtId="0" fontId="102"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35" fillId="15" borderId="24" xfId="0" applyFont="1" applyFill="1" applyBorder="1" applyAlignment="1">
      <alignment horizontal="center" vertical="center" wrapText="1" readingOrder="1"/>
    </xf>
    <xf numFmtId="0" fontId="35" fillId="15" borderId="25" xfId="0" applyFont="1" applyFill="1" applyBorder="1" applyAlignment="1">
      <alignment horizontal="center" vertical="center" wrapText="1" readingOrder="1"/>
    </xf>
    <xf numFmtId="0" fontId="35" fillId="15" borderId="36" xfId="0" applyFont="1" applyFill="1" applyBorder="1" applyAlignment="1">
      <alignment horizontal="center" vertical="center" wrapText="1" readingOrder="1"/>
    </xf>
    <xf numFmtId="0" fontId="30" fillId="3" borderId="0" xfId="0" applyFont="1" applyFill="1" applyAlignment="1">
      <alignment horizontal="justify" vertical="center" wrapText="1"/>
    </xf>
    <xf numFmtId="0" fontId="32" fillId="15" borderId="33" xfId="0" applyFont="1" applyFill="1" applyBorder="1" applyAlignment="1">
      <alignment horizontal="center" vertical="center" wrapText="1" readingOrder="1"/>
    </xf>
    <xf numFmtId="0" fontId="32" fillId="15" borderId="34" xfId="0" applyFont="1" applyFill="1" applyBorder="1" applyAlignment="1">
      <alignment horizontal="center" vertical="center" wrapText="1" readingOrder="1"/>
    </xf>
    <xf numFmtId="0" fontId="32" fillId="3" borderId="31" xfId="0" applyFont="1" applyFill="1" applyBorder="1" applyAlignment="1">
      <alignment horizontal="center" vertical="center" wrapText="1" readingOrder="1"/>
    </xf>
    <xf numFmtId="0" fontId="32" fillId="3" borderId="26" xfId="0" applyFont="1" applyFill="1" applyBorder="1" applyAlignment="1">
      <alignment horizontal="center" vertical="center" wrapText="1" readingOrder="1"/>
    </xf>
    <xf numFmtId="0" fontId="32" fillId="3" borderId="23" xfId="0"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2" fillId="3" borderId="28"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78" fillId="0" borderId="83" xfId="0" applyFont="1" applyFill="1" applyBorder="1" applyAlignment="1" applyProtection="1">
      <alignment horizontal="center" vertical="center" wrapText="1"/>
      <protection locked="0"/>
    </xf>
  </cellXfs>
  <cellStyles count="9">
    <cellStyle name="Moneda" xfId="5" builtinId="4"/>
    <cellStyle name="Moneda 2" xfId="6"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Normal 3" xfId="7" xr:uid="{1776AD55-DBD4-4E32-A89E-80CE87E27448}"/>
    <cellStyle name="Porcentaje" xfId="1" builtinId="5"/>
    <cellStyle name="Porcentaje 2" xfId="8" xr:uid="{ABFBF614-BB5B-44EC-B142-3BE8A35DF02D}"/>
  </cellStyles>
  <dxfs count="400">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rgb="FFE46C0A"/>
        </patternFill>
      </fill>
    </dxf>
    <dxf>
      <fill>
        <patternFill>
          <bgColor rgb="FFC00000"/>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46C0A"/>
        </patternFill>
      </fill>
    </dxf>
    <dxf>
      <fill>
        <patternFill>
          <bgColor rgb="FFC00000"/>
        </patternFill>
      </fill>
    </dxf>
    <dxf>
      <font>
        <sz val="11"/>
        <color rgb="FFCC0000"/>
        <name val="Calibri"/>
        <family val="2"/>
        <charset val="1"/>
      </font>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justify" vertical="center" textRotation="0" wrapText="1" indent="0" justifyLastLine="0" shrinkToFit="0" readingOrder="0"/>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auto="1"/>
        <name val="Arial"/>
        <family val="2"/>
        <scheme val="none"/>
      </font>
      <fill>
        <patternFill patternType="none">
          <fgColor indexed="64"/>
          <bgColor auto="1"/>
        </patternFill>
      </fill>
    </dxf>
    <dxf>
      <font>
        <b/>
        <i val="0"/>
        <strike val="0"/>
        <condense val="0"/>
        <extend val="0"/>
        <outline val="0"/>
        <shadow val="0"/>
        <u val="none"/>
        <vertAlign val="baseline"/>
        <sz val="9"/>
        <color auto="1"/>
        <name val="Arial"/>
        <family val="2"/>
        <scheme val="none"/>
      </font>
      <fill>
        <patternFill patternType="solid">
          <fgColor indexed="64"/>
          <bgColor rgb="FF4BACC6"/>
        </patternFill>
      </fill>
      <alignment horizontal="center" vertical="center"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s>
  <tableStyles count="0" defaultTableStyle="TableStyleMedium2" defaultPivotStyle="PivotStyleLight16"/>
  <colors>
    <mruColors>
      <color rgb="FFFFCC00"/>
      <color rgb="FFFF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DA272F65-4699-4A62-A68E-F16745D2B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2DB39274-1C83-45E4-B0AB-9A8500C833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190440</xdr:colOff>
      <xdr:row>0</xdr:row>
      <xdr:rowOff>68040</xdr:rowOff>
    </xdr:from>
    <xdr:to>
      <xdr:col>2</xdr:col>
      <xdr:colOff>1965</xdr:colOff>
      <xdr:row>3</xdr:row>
      <xdr:rowOff>305930</xdr:rowOff>
    </xdr:to>
    <xdr:pic>
      <xdr:nvPicPr>
        <xdr:cNvPr id="2" name="Imagen 1" descr="escudo negro">
          <a:extLst>
            <a:ext uri="{FF2B5EF4-FFF2-40B4-BE49-F238E27FC236}">
              <a16:creationId xmlns:a16="http://schemas.microsoft.com/office/drawing/2014/main" id="{63BE60AD-C6DB-49E4-926A-A7BA194B8990}"/>
            </a:ext>
          </a:extLst>
        </xdr:cNvPr>
        <xdr:cNvPicPr/>
      </xdr:nvPicPr>
      <xdr:blipFill>
        <a:blip xmlns:r="http://schemas.openxmlformats.org/officeDocument/2006/relationships" r:embed="rId1"/>
        <a:stretch/>
      </xdr:blipFill>
      <xdr:spPr>
        <a:xfrm>
          <a:off x="628590" y="68040"/>
          <a:ext cx="1326000" cy="113641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A1CF0E48-F612-4383-9C1F-E5353CFA4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 val="Listas"/>
      <sheetName val="Opciones Tratamiento"/>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n="Afectación menor a 130 SMLMV" x="0"/>
        <item n="Entre 130 y 650 SMLMV" x="1"/>
        <item n="Entre 650 y 1300 SMLMV" x="2"/>
        <item n="Entre 1300 y 6500 SMLMV" x="3"/>
        <item n="Mayor a 6500 SMLMV"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399">
      <pivotArea dataOnly="0" labelOnly="1" outline="0" fieldPosition="0">
        <references count="1">
          <reference field="0" count="1">
            <x v="1"/>
          </reference>
        </references>
      </pivotArea>
    </format>
    <format dxfId="398">
      <pivotArea dataOnly="0" labelOnly="1" outline="0" fieldPosition="0">
        <references count="2">
          <reference field="0" count="1" selected="0">
            <x v="1"/>
          </reference>
          <reference field="1" count="5">
            <x v="1"/>
            <x v="2"/>
            <x v="3"/>
            <x v="4"/>
            <x v="5"/>
          </reference>
        </references>
      </pivotArea>
    </format>
    <format dxfId="397">
      <pivotArea dataOnly="0" labelOnly="1" outline="0" fieldPosition="0">
        <references count="2">
          <reference field="0" count="1" selected="0">
            <x v="1"/>
          </reference>
          <reference field="1" count="5">
            <x v="1"/>
            <x v="2"/>
            <x v="3"/>
            <x v="4"/>
            <x v="5"/>
          </reference>
        </references>
      </pivotArea>
    </format>
    <format dxfId="396">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95" dataDxfId="394">
  <autoFilter ref="B210:C220" xr:uid="{00000000-0009-0000-0100-000001000000}"/>
  <tableColumns count="2">
    <tableColumn id="1" xr3:uid="{00000000-0010-0000-0000-000001000000}" name="Criterios" dataDxfId="393"/>
    <tableColumn id="2" xr3:uid="{00000000-0010-0000-0000-000002000000}" name="Subcriterios" dataDxfId="39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55A86-B6D5-473B-B812-01E8B1F8868E}" name="Tabla2" displayName="Tabla2" ref="B3:D19" totalsRowShown="0" headerRowDxfId="391" dataDxfId="390">
  <autoFilter ref="B3:D19" xr:uid="{EE355A86-B6D5-473B-B812-01E8B1F8868E}"/>
  <tableColumns count="3">
    <tableColumn id="1" xr3:uid="{3B9215A8-B72A-4971-8143-3EF085E5EE5A}" name="Tipo " dataDxfId="389"/>
    <tableColumn id="2" xr3:uid="{47CBB5D0-70C8-43A9-B546-DF768D6E0DE4}" name="Clasificación " dataDxfId="388"/>
    <tableColumn id="3" xr3:uid="{7A8CD2AC-589F-4E70-8DA0-EC796143EC0F}" name="Descripción " dataDxfId="387"/>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sheetPr>
  <dimension ref="B1:H318"/>
  <sheetViews>
    <sheetView topLeftCell="A40" zoomScale="110" zoomScaleNormal="110" workbookViewId="0">
      <selection activeCell="F45" sqref="F45"/>
    </sheetView>
  </sheetViews>
  <sheetFormatPr baseColWidth="10" defaultColWidth="11.42578125" defaultRowHeight="15" x14ac:dyDescent="0.25"/>
  <cols>
    <col min="1" max="1" width="2.85546875" style="66" customWidth="1"/>
    <col min="2" max="2" width="24.7109375" style="66" customWidth="1"/>
    <col min="3" max="3" width="36.2851562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429" t="s">
        <v>0</v>
      </c>
      <c r="C2" s="430"/>
      <c r="D2" s="430"/>
      <c r="E2" s="430"/>
      <c r="F2" s="430"/>
      <c r="G2" s="430"/>
      <c r="H2" s="431"/>
    </row>
    <row r="3" spans="2:8" x14ac:dyDescent="0.25">
      <c r="B3" s="67"/>
      <c r="C3" s="68"/>
      <c r="D3" s="68"/>
      <c r="E3" s="68"/>
      <c r="F3" s="68"/>
      <c r="G3" s="68"/>
      <c r="H3" s="69"/>
    </row>
    <row r="4" spans="2:8" ht="63" customHeight="1" x14ac:dyDescent="0.25">
      <c r="B4" s="432" t="s">
        <v>1</v>
      </c>
      <c r="C4" s="433"/>
      <c r="D4" s="433"/>
      <c r="E4" s="433"/>
      <c r="F4" s="433"/>
      <c r="G4" s="433"/>
      <c r="H4" s="434"/>
    </row>
    <row r="5" spans="2:8" ht="63" customHeight="1" x14ac:dyDescent="0.25">
      <c r="B5" s="435"/>
      <c r="C5" s="436"/>
      <c r="D5" s="436"/>
      <c r="E5" s="436"/>
      <c r="F5" s="436"/>
      <c r="G5" s="436"/>
      <c r="H5" s="437"/>
    </row>
    <row r="6" spans="2:8" ht="16.5" x14ac:dyDescent="0.25">
      <c r="B6" s="438" t="s">
        <v>2</v>
      </c>
      <c r="C6" s="439"/>
      <c r="D6" s="439"/>
      <c r="E6" s="439"/>
      <c r="F6" s="439"/>
      <c r="G6" s="439"/>
      <c r="H6" s="440"/>
    </row>
    <row r="7" spans="2:8" ht="95.25" customHeight="1" x14ac:dyDescent="0.25">
      <c r="B7" s="448" t="s">
        <v>3</v>
      </c>
      <c r="C7" s="449"/>
      <c r="D7" s="449"/>
      <c r="E7" s="449"/>
      <c r="F7" s="449"/>
      <c r="G7" s="449"/>
      <c r="H7" s="450"/>
    </row>
    <row r="8" spans="2:8" ht="16.5" x14ac:dyDescent="0.25">
      <c r="B8" s="101"/>
      <c r="C8" s="102"/>
      <c r="D8" s="102"/>
      <c r="E8" s="102"/>
      <c r="F8" s="102"/>
      <c r="G8" s="102"/>
      <c r="H8" s="103"/>
    </row>
    <row r="9" spans="2:8" ht="16.5" customHeight="1" x14ac:dyDescent="0.25">
      <c r="B9" s="441" t="s">
        <v>4</v>
      </c>
      <c r="C9" s="442"/>
      <c r="D9" s="442"/>
      <c r="E9" s="442"/>
      <c r="F9" s="442"/>
      <c r="G9" s="442"/>
      <c r="H9" s="443"/>
    </row>
    <row r="10" spans="2:8" ht="44.25" customHeight="1" x14ac:dyDescent="0.25">
      <c r="B10" s="441"/>
      <c r="C10" s="442"/>
      <c r="D10" s="442"/>
      <c r="E10" s="442"/>
      <c r="F10" s="442"/>
      <c r="G10" s="442"/>
      <c r="H10" s="443"/>
    </row>
    <row r="11" spans="2:8" ht="15.75" thickBot="1" x14ac:dyDescent="0.3">
      <c r="B11" s="90"/>
      <c r="C11" s="93"/>
      <c r="D11" s="98"/>
      <c r="E11" s="99"/>
      <c r="F11" s="99"/>
      <c r="G11" s="100"/>
      <c r="H11" s="94"/>
    </row>
    <row r="12" spans="2:8" ht="15.75" thickTop="1" x14ac:dyDescent="0.25">
      <c r="B12" s="90"/>
      <c r="C12" s="444" t="s">
        <v>5</v>
      </c>
      <c r="D12" s="445"/>
      <c r="E12" s="446" t="s">
        <v>6</v>
      </c>
      <c r="F12" s="447"/>
      <c r="G12" s="93"/>
      <c r="H12" s="94"/>
    </row>
    <row r="13" spans="2:8" ht="35.25" customHeight="1" x14ac:dyDescent="0.25">
      <c r="B13" s="90"/>
      <c r="C13" s="415" t="s">
        <v>7</v>
      </c>
      <c r="D13" s="416"/>
      <c r="E13" s="417" t="s">
        <v>8</v>
      </c>
      <c r="F13" s="418"/>
      <c r="G13" s="93"/>
      <c r="H13" s="94"/>
    </row>
    <row r="14" spans="2:8" ht="17.25" customHeight="1" x14ac:dyDescent="0.25">
      <c r="B14" s="90"/>
      <c r="C14" s="415" t="s">
        <v>9</v>
      </c>
      <c r="D14" s="416"/>
      <c r="E14" s="417" t="s">
        <v>10</v>
      </c>
      <c r="F14" s="418"/>
      <c r="G14" s="93"/>
      <c r="H14" s="94"/>
    </row>
    <row r="15" spans="2:8" ht="19.5" customHeight="1" x14ac:dyDescent="0.25">
      <c r="B15" s="90"/>
      <c r="C15" s="415" t="s">
        <v>11</v>
      </c>
      <c r="D15" s="416"/>
      <c r="E15" s="417" t="s">
        <v>12</v>
      </c>
      <c r="F15" s="418"/>
      <c r="G15" s="93"/>
      <c r="H15" s="94"/>
    </row>
    <row r="16" spans="2:8" ht="69.75" customHeight="1" x14ac:dyDescent="0.25">
      <c r="B16" s="90"/>
      <c r="C16" s="415" t="s">
        <v>13</v>
      </c>
      <c r="D16" s="416"/>
      <c r="E16" s="417" t="s">
        <v>14</v>
      </c>
      <c r="F16" s="418"/>
      <c r="G16" s="93"/>
      <c r="H16" s="94"/>
    </row>
    <row r="17" spans="2:8" ht="34.5" customHeight="1" x14ac:dyDescent="0.25">
      <c r="B17" s="90"/>
      <c r="C17" s="421" t="s">
        <v>15</v>
      </c>
      <c r="D17" s="422"/>
      <c r="E17" s="419" t="s">
        <v>16</v>
      </c>
      <c r="F17" s="420"/>
      <c r="G17" s="93"/>
      <c r="H17" s="94"/>
    </row>
    <row r="18" spans="2:8" ht="27.75" customHeight="1" x14ac:dyDescent="0.25">
      <c r="B18" s="90"/>
      <c r="C18" s="421" t="s">
        <v>17</v>
      </c>
      <c r="D18" s="422"/>
      <c r="E18" s="419" t="s">
        <v>18</v>
      </c>
      <c r="F18" s="420"/>
      <c r="G18" s="93"/>
      <c r="H18" s="94"/>
    </row>
    <row r="19" spans="2:8" ht="28.5" customHeight="1" x14ac:dyDescent="0.25">
      <c r="B19" s="90"/>
      <c r="C19" s="421" t="s">
        <v>19</v>
      </c>
      <c r="D19" s="422"/>
      <c r="E19" s="419" t="s">
        <v>20</v>
      </c>
      <c r="F19" s="420"/>
      <c r="G19" s="93"/>
      <c r="H19" s="94"/>
    </row>
    <row r="20" spans="2:8" ht="72.75" customHeight="1" x14ac:dyDescent="0.25">
      <c r="B20" s="90"/>
      <c r="C20" s="421" t="s">
        <v>21</v>
      </c>
      <c r="D20" s="422"/>
      <c r="E20" s="419" t="s">
        <v>22</v>
      </c>
      <c r="F20" s="420"/>
      <c r="G20" s="93"/>
      <c r="H20" s="94"/>
    </row>
    <row r="21" spans="2:8" ht="34.5" customHeight="1" x14ac:dyDescent="0.25">
      <c r="B21" s="90"/>
      <c r="C21" s="421" t="s">
        <v>23</v>
      </c>
      <c r="D21" s="422"/>
      <c r="E21" s="419" t="s">
        <v>24</v>
      </c>
      <c r="F21" s="420"/>
      <c r="G21" s="93"/>
      <c r="H21" s="94"/>
    </row>
    <row r="22" spans="2:8" ht="71.25" customHeight="1" x14ac:dyDescent="0.25">
      <c r="B22" s="90"/>
      <c r="C22" s="421" t="s">
        <v>25</v>
      </c>
      <c r="D22" s="422"/>
      <c r="E22" s="419" t="s">
        <v>26</v>
      </c>
      <c r="F22" s="420"/>
      <c r="G22" s="93"/>
      <c r="H22" s="94"/>
    </row>
    <row r="23" spans="2:8" ht="55.5" customHeight="1" x14ac:dyDescent="0.25">
      <c r="B23" s="90"/>
      <c r="C23" s="423" t="s">
        <v>27</v>
      </c>
      <c r="D23" s="424"/>
      <c r="E23" s="419" t="s">
        <v>28</v>
      </c>
      <c r="F23" s="420"/>
      <c r="G23" s="93"/>
      <c r="H23" s="94"/>
    </row>
    <row r="24" spans="2:8" ht="42" customHeight="1" x14ac:dyDescent="0.25">
      <c r="B24" s="90"/>
      <c r="C24" s="423" t="s">
        <v>29</v>
      </c>
      <c r="D24" s="424"/>
      <c r="E24" s="419" t="s">
        <v>30</v>
      </c>
      <c r="F24" s="420"/>
      <c r="G24" s="93"/>
      <c r="H24" s="94"/>
    </row>
    <row r="25" spans="2:8" ht="59.25" customHeight="1" x14ac:dyDescent="0.25">
      <c r="B25" s="90"/>
      <c r="C25" s="423" t="s">
        <v>31</v>
      </c>
      <c r="D25" s="424"/>
      <c r="E25" s="419" t="s">
        <v>32</v>
      </c>
      <c r="F25" s="420"/>
      <c r="G25" s="93"/>
      <c r="H25" s="94"/>
    </row>
    <row r="26" spans="2:8" ht="23.25" customHeight="1" x14ac:dyDescent="0.25">
      <c r="B26" s="90"/>
      <c r="C26" s="423" t="s">
        <v>33</v>
      </c>
      <c r="D26" s="424"/>
      <c r="E26" s="419" t="s">
        <v>34</v>
      </c>
      <c r="F26" s="420"/>
      <c r="G26" s="93"/>
      <c r="H26" s="94"/>
    </row>
    <row r="27" spans="2:8" ht="30.75" customHeight="1" x14ac:dyDescent="0.25">
      <c r="B27" s="90"/>
      <c r="C27" s="423" t="s">
        <v>35</v>
      </c>
      <c r="D27" s="424"/>
      <c r="E27" s="419" t="s">
        <v>36</v>
      </c>
      <c r="F27" s="420"/>
      <c r="G27" s="93"/>
      <c r="H27" s="94"/>
    </row>
    <row r="28" spans="2:8" ht="35.25" customHeight="1" x14ac:dyDescent="0.25">
      <c r="B28" s="90"/>
      <c r="C28" s="423" t="s">
        <v>37</v>
      </c>
      <c r="D28" s="424"/>
      <c r="E28" s="419" t="s">
        <v>38</v>
      </c>
      <c r="F28" s="420"/>
      <c r="G28" s="93"/>
      <c r="H28" s="94"/>
    </row>
    <row r="29" spans="2:8" ht="33" customHeight="1" x14ac:dyDescent="0.25">
      <c r="B29" s="90"/>
      <c r="C29" s="423" t="s">
        <v>37</v>
      </c>
      <c r="D29" s="424"/>
      <c r="E29" s="419" t="s">
        <v>38</v>
      </c>
      <c r="F29" s="420"/>
      <c r="G29" s="93"/>
      <c r="H29" s="94"/>
    </row>
    <row r="30" spans="2:8" ht="30" customHeight="1" x14ac:dyDescent="0.25">
      <c r="B30" s="90"/>
      <c r="C30" s="423" t="s">
        <v>39</v>
      </c>
      <c r="D30" s="424"/>
      <c r="E30" s="419" t="s">
        <v>40</v>
      </c>
      <c r="F30" s="420"/>
      <c r="G30" s="93"/>
      <c r="H30" s="94"/>
    </row>
    <row r="31" spans="2:8" ht="35.25" customHeight="1" x14ac:dyDescent="0.25">
      <c r="B31" s="90"/>
      <c r="C31" s="423" t="s">
        <v>41</v>
      </c>
      <c r="D31" s="424"/>
      <c r="E31" s="419" t="s">
        <v>42</v>
      </c>
      <c r="F31" s="420"/>
      <c r="G31" s="93"/>
      <c r="H31" s="94"/>
    </row>
    <row r="32" spans="2:8" ht="31.5" customHeight="1" x14ac:dyDescent="0.25">
      <c r="B32" s="90"/>
      <c r="C32" s="423" t="s">
        <v>43</v>
      </c>
      <c r="D32" s="424"/>
      <c r="E32" s="419" t="s">
        <v>44</v>
      </c>
      <c r="F32" s="420"/>
      <c r="G32" s="93"/>
      <c r="H32" s="94"/>
    </row>
    <row r="33" spans="2:8" ht="35.25" customHeight="1" x14ac:dyDescent="0.25">
      <c r="B33" s="90"/>
      <c r="C33" s="423" t="s">
        <v>45</v>
      </c>
      <c r="D33" s="424"/>
      <c r="E33" s="419" t="s">
        <v>46</v>
      </c>
      <c r="F33" s="420"/>
      <c r="G33" s="93"/>
      <c r="H33" s="94"/>
    </row>
    <row r="34" spans="2:8" ht="59.25" customHeight="1" x14ac:dyDescent="0.25">
      <c r="B34" s="90"/>
      <c r="C34" s="423" t="s">
        <v>47</v>
      </c>
      <c r="D34" s="424"/>
      <c r="E34" s="419" t="s">
        <v>48</v>
      </c>
      <c r="F34" s="420"/>
      <c r="G34" s="93"/>
      <c r="H34" s="94"/>
    </row>
    <row r="35" spans="2:8" ht="29.25" customHeight="1" x14ac:dyDescent="0.25">
      <c r="B35" s="90"/>
      <c r="C35" s="423" t="s">
        <v>49</v>
      </c>
      <c r="D35" s="424"/>
      <c r="E35" s="419" t="s">
        <v>50</v>
      </c>
      <c r="F35" s="420"/>
      <c r="G35" s="93"/>
      <c r="H35" s="94"/>
    </row>
    <row r="36" spans="2:8" ht="82.5" customHeight="1" x14ac:dyDescent="0.25">
      <c r="B36" s="90"/>
      <c r="C36" s="423" t="s">
        <v>51</v>
      </c>
      <c r="D36" s="424"/>
      <c r="E36" s="419" t="s">
        <v>52</v>
      </c>
      <c r="F36" s="420"/>
      <c r="G36" s="93"/>
      <c r="H36" s="94"/>
    </row>
    <row r="37" spans="2:8" ht="6.75" customHeight="1" thickBot="1" x14ac:dyDescent="0.3">
      <c r="B37" s="90"/>
      <c r="C37" s="425"/>
      <c r="D37" s="426"/>
      <c r="E37" s="427"/>
      <c r="F37" s="428"/>
      <c r="G37" s="93"/>
      <c r="H37" s="94"/>
    </row>
    <row r="38" spans="2:8" ht="15.75" thickTop="1" x14ac:dyDescent="0.25">
      <c r="B38" s="90"/>
      <c r="C38" s="91"/>
      <c r="D38" s="91"/>
      <c r="E38" s="92"/>
      <c r="F38" s="92"/>
      <c r="G38" s="93"/>
      <c r="H38" s="94"/>
    </row>
    <row r="39" spans="2:8" ht="15.75" thickBot="1" x14ac:dyDescent="0.3">
      <c r="B39" s="95"/>
      <c r="C39" s="96"/>
      <c r="D39" s="96"/>
      <c r="E39" s="96"/>
      <c r="F39" s="96"/>
      <c r="G39" s="96"/>
      <c r="H39" s="97"/>
    </row>
    <row r="41" spans="2:8" x14ac:dyDescent="0.25">
      <c r="B41" s="233" t="s">
        <v>53</v>
      </c>
    </row>
    <row r="42" spans="2:8" x14ac:dyDescent="0.25">
      <c r="B42" s="66" t="s">
        <v>716</v>
      </c>
    </row>
    <row r="43" spans="2:8" ht="28.5" customHeight="1" thickBot="1" x14ac:dyDescent="0.3">
      <c r="B43" s="225" t="s">
        <v>54</v>
      </c>
      <c r="C43" s="225" t="s">
        <v>55</v>
      </c>
      <c r="D43" s="225" t="s">
        <v>56</v>
      </c>
      <c r="E43" s="226" t="s">
        <v>57</v>
      </c>
      <c r="F43" s="227" t="s">
        <v>58</v>
      </c>
    </row>
    <row r="44" spans="2:8" x14ac:dyDescent="0.25">
      <c r="B44" s="228" t="s">
        <v>717</v>
      </c>
      <c r="C44" s="228" t="s">
        <v>59</v>
      </c>
      <c r="D44" s="229">
        <v>44957</v>
      </c>
      <c r="E44" s="228" t="s">
        <v>59</v>
      </c>
      <c r="F44" s="228" t="s">
        <v>59</v>
      </c>
    </row>
    <row r="45" spans="2:8" ht="30" x14ac:dyDescent="0.25">
      <c r="B45" s="228" t="s">
        <v>718</v>
      </c>
      <c r="C45" s="228" t="s">
        <v>60</v>
      </c>
      <c r="D45" s="229">
        <v>45016</v>
      </c>
      <c r="E45" s="228" t="s">
        <v>61</v>
      </c>
      <c r="F45" s="230" t="s">
        <v>62</v>
      </c>
    </row>
    <row r="294" spans="3:3" x14ac:dyDescent="0.25">
      <c r="C294" s="300" t="s">
        <v>63</v>
      </c>
    </row>
    <row r="295" spans="3:3" x14ac:dyDescent="0.25">
      <c r="C295" s="300" t="s">
        <v>64</v>
      </c>
    </row>
    <row r="296" spans="3:3" ht="36" x14ac:dyDescent="0.25">
      <c r="C296" s="300" t="s">
        <v>65</v>
      </c>
    </row>
    <row r="297" spans="3:3" x14ac:dyDescent="0.25">
      <c r="C297" s="300" t="s">
        <v>66</v>
      </c>
    </row>
    <row r="298" spans="3:3" ht="24" x14ac:dyDescent="0.25">
      <c r="C298" s="300" t="s">
        <v>67</v>
      </c>
    </row>
    <row r="299" spans="3:3" x14ac:dyDescent="0.25">
      <c r="C299" s="300" t="s">
        <v>68</v>
      </c>
    </row>
    <row r="300" spans="3:3" x14ac:dyDescent="0.25">
      <c r="C300" s="300" t="s">
        <v>69</v>
      </c>
    </row>
    <row r="301" spans="3:3" ht="24" x14ac:dyDescent="0.25">
      <c r="C301" s="300" t="s">
        <v>70</v>
      </c>
    </row>
    <row r="302" spans="3:3" x14ac:dyDescent="0.25">
      <c r="C302" s="300" t="s">
        <v>71</v>
      </c>
    </row>
    <row r="303" spans="3:3" ht="24" x14ac:dyDescent="0.25">
      <c r="C303" s="300" t="s">
        <v>72</v>
      </c>
    </row>
    <row r="304" spans="3:3" x14ac:dyDescent="0.25">
      <c r="C304" s="300" t="s">
        <v>73</v>
      </c>
    </row>
    <row r="305" spans="3:3" x14ac:dyDescent="0.25">
      <c r="C305" s="300" t="s">
        <v>74</v>
      </c>
    </row>
    <row r="306" spans="3:3" x14ac:dyDescent="0.25">
      <c r="C306" s="300" t="s">
        <v>75</v>
      </c>
    </row>
    <row r="307" spans="3:3" x14ac:dyDescent="0.25">
      <c r="C307" s="300" t="s">
        <v>76</v>
      </c>
    </row>
    <row r="308" spans="3:3" x14ac:dyDescent="0.25">
      <c r="C308" s="300" t="s">
        <v>77</v>
      </c>
    </row>
    <row r="309" spans="3:3" x14ac:dyDescent="0.25">
      <c r="C309" s="300" t="s">
        <v>78</v>
      </c>
    </row>
    <row r="310" spans="3:3" x14ac:dyDescent="0.25">
      <c r="C310" s="300" t="s">
        <v>79</v>
      </c>
    </row>
    <row r="311" spans="3:3" x14ac:dyDescent="0.25">
      <c r="C311" s="300" t="s">
        <v>80</v>
      </c>
    </row>
    <row r="312" spans="3:3" x14ac:dyDescent="0.25">
      <c r="C312" s="300" t="s">
        <v>81</v>
      </c>
    </row>
    <row r="313" spans="3:3" ht="24" x14ac:dyDescent="0.25">
      <c r="C313" s="301" t="s">
        <v>82</v>
      </c>
    </row>
    <row r="314" spans="3:3" x14ac:dyDescent="0.25">
      <c r="C314" t="s">
        <v>83</v>
      </c>
    </row>
    <row r="315" spans="3:3" x14ac:dyDescent="0.25">
      <c r="C315" t="s">
        <v>84</v>
      </c>
    </row>
    <row r="316" spans="3:3" x14ac:dyDescent="0.25">
      <c r="C316" t="s">
        <v>85</v>
      </c>
    </row>
    <row r="317" spans="3:3" x14ac:dyDescent="0.25">
      <c r="C317" t="s">
        <v>86</v>
      </c>
    </row>
    <row r="318" spans="3:3" x14ac:dyDescent="0.25">
      <c r="C318" s="66" t="s">
        <v>87</v>
      </c>
    </row>
  </sheetData>
  <mergeCells count="57">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C16:D16"/>
    <mergeCell ref="E16:F16"/>
    <mergeCell ref="C14:D14"/>
    <mergeCell ref="E14:F14"/>
    <mergeCell ref="C26:D26"/>
    <mergeCell ref="E26:F26"/>
    <mergeCell ref="E34:F34"/>
    <mergeCell ref="C32:D32"/>
    <mergeCell ref="C31:D31"/>
    <mergeCell ref="E31:F31"/>
    <mergeCell ref="E32:F32"/>
    <mergeCell ref="C27:D27"/>
    <mergeCell ref="E27:F27"/>
    <mergeCell ref="E28:F28"/>
    <mergeCell ref="C28:D28"/>
    <mergeCell ref="C37:D37"/>
    <mergeCell ref="E37:F37"/>
    <mergeCell ref="C33:D33"/>
    <mergeCell ref="C29:D29"/>
    <mergeCell ref="E29:F29"/>
    <mergeCell ref="C30:D30"/>
    <mergeCell ref="E30:F30"/>
    <mergeCell ref="E33:F33"/>
    <mergeCell ref="C34:D34"/>
    <mergeCell ref="C35:D35"/>
    <mergeCell ref="E35:F35"/>
    <mergeCell ref="C36:D36"/>
    <mergeCell ref="E36:F36"/>
    <mergeCell ref="C15:D15"/>
    <mergeCell ref="E15:F15"/>
    <mergeCell ref="E22:F22"/>
    <mergeCell ref="C22:D22"/>
    <mergeCell ref="C25:D25"/>
    <mergeCell ref="E25:F25"/>
    <mergeCell ref="E23:F23"/>
    <mergeCell ref="C23:D23"/>
    <mergeCell ref="C24:D24"/>
    <mergeCell ref="E24:F24"/>
  </mergeCells>
  <phoneticPr fontId="8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1AC6-F315-474C-A1BD-6E05C418B5A1}">
  <sheetPr>
    <tabColor rgb="FFBFBFBF"/>
  </sheetPr>
  <dimension ref="A1:AMD76"/>
  <sheetViews>
    <sheetView topLeftCell="AA9" zoomScale="60" zoomScaleNormal="60" workbookViewId="0">
      <selection activeCell="BN13" sqref="BN13"/>
    </sheetView>
  </sheetViews>
  <sheetFormatPr baseColWidth="10" defaultColWidth="11.42578125" defaultRowHeight="15.75" x14ac:dyDescent="0.25"/>
  <cols>
    <col min="1" max="1" width="6.5703125" style="353" customWidth="1"/>
    <col min="2" max="2" width="22.7109375" style="353" customWidth="1"/>
    <col min="3" max="3" width="27.140625" style="353" customWidth="1"/>
    <col min="4" max="5" width="25.28515625" style="353" customWidth="1"/>
    <col min="6" max="6" width="51.140625" style="353" customWidth="1"/>
    <col min="7" max="13" width="19.7109375" style="353" customWidth="1"/>
    <col min="14" max="14" width="16.7109375" style="354" customWidth="1"/>
    <col min="15" max="15" width="16.7109375" style="320" customWidth="1"/>
    <col min="16" max="16" width="8.5703125" style="320" customWidth="1"/>
    <col min="17" max="17" width="17.42578125" style="320" customWidth="1"/>
    <col min="18" max="18" width="8.140625" style="320" customWidth="1"/>
    <col min="19" max="19" width="33.28515625" style="320" customWidth="1"/>
    <col min="20" max="20" width="9.42578125" style="320" customWidth="1"/>
    <col min="21" max="21" width="13.140625" style="320" customWidth="1"/>
    <col min="22" max="22" width="19" style="320" customWidth="1"/>
    <col min="23" max="23" width="17.5703125" style="320" customWidth="1"/>
    <col min="24" max="24" width="15" style="320" customWidth="1"/>
    <col min="25" max="25" width="5.140625" style="320" customWidth="1"/>
    <col min="26" max="26" width="29.85546875" style="320" customWidth="1"/>
    <col min="27" max="27" width="11.7109375" style="320" customWidth="1"/>
    <col min="28" max="28" width="33.5703125" style="320" customWidth="1"/>
    <col min="29" max="29" width="32.7109375" style="320" customWidth="1"/>
    <col min="30" max="32" width="19.7109375" style="320" customWidth="1"/>
    <col min="33" max="33" width="8.140625" style="320" customWidth="1"/>
    <col min="34" max="34" width="6.85546875" style="320" customWidth="1"/>
    <col min="35" max="35" width="5" style="320" hidden="1" customWidth="1"/>
    <col min="36" max="36" width="5.5703125" style="320" customWidth="1"/>
    <col min="37" max="37" width="7.140625" style="320" customWidth="1"/>
    <col min="38" max="38" width="6.7109375" style="320" customWidth="1"/>
    <col min="39" max="39" width="9.28515625" style="320" customWidth="1"/>
    <col min="40" max="40" width="8.5703125" style="320" customWidth="1"/>
    <col min="41" max="45" width="10.85546875" style="320" customWidth="1"/>
    <col min="46" max="46" width="33.28515625" style="348" customWidth="1"/>
    <col min="47" max="47" width="23" style="320" customWidth="1"/>
    <col min="48" max="48" width="18.85546875" style="320" customWidth="1"/>
    <col min="49" max="49" width="23.7109375" style="320" customWidth="1"/>
    <col min="50" max="50" width="22.42578125" style="320" customWidth="1"/>
    <col min="51" max="51" width="16.42578125" style="320" customWidth="1"/>
    <col min="52" max="52" width="20.5703125" style="320" customWidth="1"/>
    <col min="53" max="1018" width="11.42578125" style="320"/>
    <col min="1019" max="16384" width="11.42578125" style="355"/>
  </cols>
  <sheetData>
    <row r="1" spans="1:280" s="313" customFormat="1" ht="21" thickBot="1" x14ac:dyDescent="0.35">
      <c r="A1" s="741"/>
      <c r="B1" s="741"/>
      <c r="C1" s="741"/>
      <c r="D1" s="742" t="s">
        <v>421</v>
      </c>
      <c r="E1" s="742"/>
      <c r="F1" s="742"/>
      <c r="G1" s="742"/>
      <c r="H1" s="742"/>
      <c r="I1" s="742"/>
      <c r="J1" s="742"/>
      <c r="K1" s="742"/>
      <c r="L1" s="742"/>
      <c r="M1" s="742"/>
      <c r="N1" s="742"/>
      <c r="O1" s="742"/>
      <c r="P1" s="742"/>
      <c r="Q1" s="742"/>
      <c r="R1" s="742"/>
      <c r="S1" s="742"/>
      <c r="T1" s="742"/>
      <c r="U1" s="742"/>
      <c r="V1" s="742"/>
      <c r="W1" s="742"/>
      <c r="X1" s="311"/>
      <c r="Y1" s="311"/>
      <c r="Z1" s="311"/>
      <c r="AA1" s="311"/>
      <c r="AB1" s="311"/>
      <c r="AC1" s="311"/>
      <c r="AD1" s="311"/>
      <c r="AE1" s="311"/>
      <c r="AF1" s="743"/>
      <c r="AG1" s="743"/>
      <c r="AH1" s="743"/>
      <c r="AI1" s="743"/>
      <c r="AJ1" s="743"/>
      <c r="AK1" s="743"/>
      <c r="AL1" s="743"/>
      <c r="AM1" s="743"/>
      <c r="AN1" s="743"/>
      <c r="AO1" s="743"/>
      <c r="AP1" s="743"/>
      <c r="AQ1" s="743"/>
      <c r="AR1" s="743"/>
      <c r="AS1" s="743"/>
      <c r="AT1" s="743"/>
      <c r="AU1" s="743"/>
      <c r="AV1" s="743"/>
      <c r="AW1" s="743"/>
      <c r="AX1" s="743"/>
      <c r="AY1" s="743"/>
      <c r="AZ1" s="743"/>
      <c r="BA1" s="312"/>
      <c r="BB1" s="312"/>
      <c r="BC1" s="312"/>
      <c r="BD1" s="312"/>
      <c r="BE1" s="312"/>
      <c r="BF1" s="312"/>
      <c r="BG1" s="312"/>
      <c r="BH1" s="312"/>
      <c r="BI1" s="312"/>
      <c r="BJ1" s="312"/>
      <c r="BK1" s="312"/>
      <c r="BL1" s="312"/>
      <c r="BM1" s="312"/>
      <c r="BN1" s="312"/>
      <c r="BO1" s="312"/>
      <c r="BP1" s="312"/>
      <c r="BQ1" s="312"/>
      <c r="BR1" s="312"/>
      <c r="BS1" s="312"/>
      <c r="BT1" s="312"/>
      <c r="BU1" s="312"/>
      <c r="BV1" s="312"/>
      <c r="BW1" s="312"/>
      <c r="BX1" s="312"/>
    </row>
    <row r="2" spans="1:280" s="313" customFormat="1" ht="21" thickBot="1" x14ac:dyDescent="0.35">
      <c r="A2" s="741"/>
      <c r="B2" s="741"/>
      <c r="C2" s="741"/>
      <c r="D2" s="742"/>
      <c r="E2" s="742"/>
      <c r="F2" s="742"/>
      <c r="G2" s="742"/>
      <c r="H2" s="742"/>
      <c r="I2" s="742"/>
      <c r="J2" s="742"/>
      <c r="K2" s="742"/>
      <c r="L2" s="742"/>
      <c r="M2" s="742"/>
      <c r="N2" s="742"/>
      <c r="O2" s="742"/>
      <c r="P2" s="742"/>
      <c r="Q2" s="742"/>
      <c r="R2" s="742"/>
      <c r="S2" s="742"/>
      <c r="T2" s="742"/>
      <c r="U2" s="742"/>
      <c r="V2" s="742"/>
      <c r="W2" s="742"/>
      <c r="X2" s="311"/>
      <c r="Y2" s="311"/>
      <c r="Z2" s="311"/>
      <c r="AA2" s="311"/>
      <c r="AB2" s="311"/>
      <c r="AC2" s="311"/>
      <c r="AD2" s="311"/>
      <c r="AE2" s="311"/>
      <c r="AF2" s="743"/>
      <c r="AG2" s="743"/>
      <c r="AH2" s="743"/>
      <c r="AI2" s="743"/>
      <c r="AJ2" s="743"/>
      <c r="AK2" s="743"/>
      <c r="AL2" s="743"/>
      <c r="AM2" s="743"/>
      <c r="AN2" s="743"/>
      <c r="AO2" s="743"/>
      <c r="AP2" s="743"/>
      <c r="AQ2" s="743"/>
      <c r="AR2" s="743"/>
      <c r="AS2" s="743"/>
      <c r="AT2" s="743"/>
      <c r="AU2" s="743"/>
      <c r="AV2" s="743"/>
      <c r="AW2" s="743"/>
      <c r="AX2" s="743"/>
      <c r="AY2" s="743"/>
      <c r="AZ2" s="743"/>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row>
    <row r="3" spans="1:280" s="313" customFormat="1" ht="27.75" customHeight="1" thickBot="1" x14ac:dyDescent="0.35">
      <c r="A3" s="741"/>
      <c r="B3" s="741"/>
      <c r="C3" s="741"/>
      <c r="D3" s="744" t="s">
        <v>422</v>
      </c>
      <c r="E3" s="744"/>
      <c r="F3" s="744"/>
      <c r="G3" s="744"/>
      <c r="H3" s="744"/>
      <c r="I3" s="744"/>
      <c r="J3" s="744"/>
      <c r="K3" s="744"/>
      <c r="L3" s="744"/>
      <c r="M3" s="744"/>
      <c r="N3" s="471" t="s">
        <v>423</v>
      </c>
      <c r="O3" s="472"/>
      <c r="P3" s="472"/>
      <c r="Q3" s="472"/>
      <c r="R3" s="472"/>
      <c r="S3" s="472"/>
      <c r="T3" s="472"/>
      <c r="U3" s="472"/>
      <c r="V3" s="472"/>
      <c r="W3" s="473"/>
      <c r="X3" s="311"/>
      <c r="Y3" s="314"/>
      <c r="Z3" s="314"/>
      <c r="AA3" s="314"/>
      <c r="AB3" s="314"/>
      <c r="AC3" s="311"/>
      <c r="AD3" s="311"/>
      <c r="AE3" s="311"/>
      <c r="AF3" s="745"/>
      <c r="AG3" s="745"/>
      <c r="AH3" s="745"/>
      <c r="AI3" s="745"/>
      <c r="AJ3" s="745"/>
      <c r="AK3" s="745"/>
      <c r="AL3" s="745"/>
      <c r="AM3" s="745"/>
      <c r="AN3" s="745"/>
      <c r="AO3" s="745"/>
      <c r="AP3" s="745"/>
      <c r="AQ3" s="745"/>
      <c r="AR3" s="745"/>
      <c r="AS3" s="745"/>
      <c r="AT3" s="745"/>
      <c r="AU3" s="745"/>
      <c r="AV3" s="745"/>
      <c r="AW3" s="745"/>
      <c r="AX3" s="745"/>
      <c r="AY3" s="745"/>
      <c r="AZ3" s="745"/>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row>
    <row r="4" spans="1:280" s="313" customFormat="1" ht="27.75" customHeight="1" thickBot="1" x14ac:dyDescent="0.35">
      <c r="A4" s="741"/>
      <c r="B4" s="741"/>
      <c r="C4" s="741"/>
      <c r="D4" s="744" t="s">
        <v>424</v>
      </c>
      <c r="E4" s="744"/>
      <c r="F4" s="744"/>
      <c r="G4" s="744"/>
      <c r="H4" s="744"/>
      <c r="I4" s="744"/>
      <c r="J4" s="744"/>
      <c r="K4" s="744"/>
      <c r="L4" s="744"/>
      <c r="M4" s="744"/>
      <c r="N4" s="744"/>
      <c r="O4" s="744"/>
      <c r="P4" s="744"/>
      <c r="Q4" s="744"/>
      <c r="R4" s="744"/>
      <c r="S4" s="744"/>
      <c r="T4" s="744"/>
      <c r="U4" s="744"/>
      <c r="V4" s="744"/>
      <c r="W4" s="744"/>
      <c r="X4" s="311"/>
      <c r="Y4" s="311"/>
      <c r="Z4" s="311"/>
      <c r="AA4" s="311"/>
      <c r="AB4" s="311"/>
      <c r="AC4" s="311"/>
      <c r="AD4" s="311"/>
      <c r="AE4" s="311"/>
      <c r="AF4" s="745"/>
      <c r="AG4" s="745"/>
      <c r="AH4" s="745"/>
      <c r="AI4" s="745"/>
      <c r="AJ4" s="745"/>
      <c r="AK4" s="745"/>
      <c r="AL4" s="745"/>
      <c r="AM4" s="745"/>
      <c r="AN4" s="745"/>
      <c r="AO4" s="745"/>
      <c r="AP4" s="745"/>
      <c r="AQ4" s="745"/>
      <c r="AR4" s="745"/>
      <c r="AS4" s="745"/>
      <c r="AT4" s="745"/>
      <c r="AU4" s="745"/>
      <c r="AV4" s="745"/>
      <c r="AW4" s="745"/>
      <c r="AX4" s="745"/>
      <c r="AY4" s="745"/>
      <c r="AZ4" s="745"/>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row>
    <row r="5" spans="1:280" ht="16.5" thickBot="1" x14ac:dyDescent="0.3">
      <c r="A5" s="315"/>
      <c r="B5" s="316"/>
      <c r="C5" s="315"/>
      <c r="D5" s="315"/>
      <c r="E5" s="315"/>
      <c r="F5" s="315"/>
      <c r="G5" s="315"/>
      <c r="H5" s="315"/>
      <c r="I5" s="315"/>
      <c r="J5" s="315"/>
      <c r="K5" s="315"/>
      <c r="L5" s="315"/>
      <c r="M5" s="315"/>
      <c r="N5" s="318"/>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9"/>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row>
    <row r="6" spans="1:280" ht="27" customHeight="1" thickBot="1" x14ac:dyDescent="0.3">
      <c r="A6" s="754" t="s">
        <v>425</v>
      </c>
      <c r="B6" s="754"/>
      <c r="C6" s="755" t="s">
        <v>69</v>
      </c>
      <c r="D6" s="755"/>
      <c r="E6" s="755"/>
      <c r="F6" s="755"/>
      <c r="G6" s="755"/>
      <c r="H6" s="755"/>
      <c r="I6" s="755"/>
      <c r="J6" s="755"/>
      <c r="K6" s="755"/>
      <c r="L6" s="755"/>
      <c r="M6" s="755"/>
      <c r="N6" s="755"/>
      <c r="O6" s="755"/>
      <c r="P6" s="755"/>
      <c r="Q6" s="755"/>
      <c r="R6" s="755"/>
      <c r="S6" s="755"/>
      <c r="T6" s="755"/>
      <c r="U6" s="755"/>
      <c r="V6" s="755"/>
      <c r="W6" s="755"/>
      <c r="X6" s="321"/>
      <c r="Y6" s="321"/>
      <c r="Z6" s="321"/>
      <c r="AA6" s="321"/>
      <c r="AB6" s="321"/>
      <c r="AC6" s="756"/>
      <c r="AD6" s="756"/>
      <c r="AE6" s="756"/>
      <c r="AF6" s="756"/>
      <c r="AG6" s="756"/>
      <c r="AH6" s="748"/>
      <c r="AI6" s="748"/>
      <c r="AJ6" s="748"/>
      <c r="AK6" s="748"/>
      <c r="AL6" s="748"/>
      <c r="AM6" s="748"/>
      <c r="AN6" s="748"/>
      <c r="AO6" s="748"/>
      <c r="AP6" s="748"/>
      <c r="AQ6" s="748"/>
      <c r="AR6" s="748"/>
      <c r="AS6" s="748"/>
      <c r="AT6" s="748"/>
      <c r="AU6" s="748"/>
      <c r="AV6" s="748"/>
      <c r="AW6" s="748"/>
      <c r="AX6" s="748"/>
      <c r="AY6" s="748"/>
      <c r="AZ6" s="748"/>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row>
    <row r="7" spans="1:280" ht="27" customHeight="1" thickBot="1" x14ac:dyDescent="0.3">
      <c r="A7" s="757" t="s">
        <v>427</v>
      </c>
      <c r="B7" s="757"/>
      <c r="C7" s="747" t="s">
        <v>748</v>
      </c>
      <c r="D7" s="747"/>
      <c r="E7" s="747"/>
      <c r="F7" s="747"/>
      <c r="G7" s="747"/>
      <c r="H7" s="747"/>
      <c r="I7" s="747"/>
      <c r="J7" s="747"/>
      <c r="K7" s="747"/>
      <c r="L7" s="747"/>
      <c r="M7" s="747"/>
      <c r="N7" s="747"/>
      <c r="O7" s="747"/>
      <c r="P7" s="747"/>
      <c r="Q7" s="747"/>
      <c r="R7" s="747"/>
      <c r="S7" s="747"/>
      <c r="T7" s="747"/>
      <c r="U7" s="747"/>
      <c r="V7" s="747"/>
      <c r="W7" s="747"/>
      <c r="X7" s="322"/>
      <c r="Y7" s="322"/>
      <c r="Z7" s="322"/>
      <c r="AA7" s="322"/>
      <c r="AB7" s="322"/>
      <c r="AC7" s="323"/>
      <c r="AD7" s="323"/>
      <c r="AE7" s="323"/>
      <c r="AF7" s="323"/>
      <c r="AG7" s="323"/>
      <c r="AH7" s="748"/>
      <c r="AI7" s="748"/>
      <c r="AJ7" s="748"/>
      <c r="AK7" s="748"/>
      <c r="AL7" s="748"/>
      <c r="AM7" s="748"/>
      <c r="AN7" s="748"/>
      <c r="AO7" s="748"/>
      <c r="AP7" s="748"/>
      <c r="AQ7" s="748"/>
      <c r="AR7" s="748"/>
      <c r="AS7" s="748"/>
      <c r="AT7" s="748"/>
      <c r="AU7" s="748"/>
      <c r="AV7" s="748"/>
      <c r="AW7" s="748"/>
      <c r="AX7" s="748"/>
      <c r="AY7" s="748"/>
      <c r="AZ7" s="748"/>
      <c r="BA7" s="317"/>
      <c r="BB7" s="317"/>
      <c r="BC7" s="317"/>
      <c r="BD7" s="317"/>
      <c r="BE7" s="317"/>
      <c r="BF7" s="317"/>
      <c r="BG7" s="317"/>
      <c r="BH7" s="317"/>
      <c r="BI7" s="317"/>
      <c r="BJ7" s="317"/>
      <c r="BK7" s="317"/>
      <c r="BL7" s="317"/>
      <c r="BM7" s="317"/>
      <c r="BN7" s="317"/>
      <c r="BO7" s="317"/>
      <c r="BP7" s="317"/>
      <c r="BQ7" s="317"/>
      <c r="BR7" s="317"/>
      <c r="BS7" s="317"/>
      <c r="BT7" s="317"/>
      <c r="BU7" s="317"/>
      <c r="BV7" s="317"/>
      <c r="BW7" s="317"/>
      <c r="BX7" s="317"/>
    </row>
    <row r="8" spans="1:280" ht="27" customHeight="1" thickBot="1" x14ac:dyDescent="0.3">
      <c r="A8" s="746" t="s">
        <v>428</v>
      </c>
      <c r="B8" s="746"/>
      <c r="C8" s="747" t="s">
        <v>749</v>
      </c>
      <c r="D8" s="747"/>
      <c r="E8" s="747"/>
      <c r="F8" s="747"/>
      <c r="G8" s="747"/>
      <c r="H8" s="747"/>
      <c r="I8" s="747"/>
      <c r="J8" s="747"/>
      <c r="K8" s="747"/>
      <c r="L8" s="747"/>
      <c r="M8" s="747"/>
      <c r="N8" s="747"/>
      <c r="O8" s="747"/>
      <c r="P8" s="747"/>
      <c r="Q8" s="747"/>
      <c r="R8" s="747"/>
      <c r="S8" s="747"/>
      <c r="T8" s="747"/>
      <c r="U8" s="747"/>
      <c r="V8" s="747"/>
      <c r="W8" s="747"/>
      <c r="X8" s="322"/>
      <c r="Y8" s="322"/>
      <c r="Z8" s="322"/>
      <c r="AA8" s="322"/>
      <c r="AB8" s="322"/>
      <c r="AC8" s="323"/>
      <c r="AD8" s="323"/>
      <c r="AE8" s="323"/>
      <c r="AF8" s="323"/>
      <c r="AG8" s="323"/>
      <c r="AH8" s="748"/>
      <c r="AI8" s="748"/>
      <c r="AJ8" s="748"/>
      <c r="AK8" s="748"/>
      <c r="AL8" s="748"/>
      <c r="AM8" s="748"/>
      <c r="AN8" s="748"/>
      <c r="AO8" s="748"/>
      <c r="AP8" s="748"/>
      <c r="AQ8" s="748"/>
      <c r="AR8" s="748"/>
      <c r="AS8" s="748"/>
      <c r="AT8" s="748"/>
      <c r="AU8" s="748"/>
      <c r="AV8" s="748"/>
      <c r="AW8" s="748"/>
      <c r="AX8" s="748"/>
      <c r="AY8" s="748"/>
      <c r="AZ8" s="748"/>
      <c r="BA8" s="317"/>
      <c r="BB8" s="317"/>
      <c r="BC8" s="317"/>
      <c r="BD8" s="317"/>
      <c r="BE8" s="317"/>
      <c r="BF8" s="317"/>
      <c r="BG8" s="317"/>
      <c r="BH8" s="317"/>
      <c r="BI8" s="317"/>
      <c r="BJ8" s="317"/>
      <c r="BK8" s="317"/>
      <c r="BL8" s="317"/>
      <c r="BM8" s="317"/>
      <c r="BN8" s="317"/>
      <c r="BO8" s="317"/>
      <c r="BP8" s="317"/>
      <c r="BQ8" s="317"/>
      <c r="BR8" s="317"/>
      <c r="BS8" s="317"/>
      <c r="BT8" s="317"/>
      <c r="BU8" s="317"/>
      <c r="BV8" s="317"/>
      <c r="BW8" s="317"/>
      <c r="BX8" s="317"/>
    </row>
    <row r="9" spans="1:280" x14ac:dyDescent="0.25">
      <c r="A9" s="324"/>
      <c r="B9" s="324"/>
      <c r="C9" s="325"/>
      <c r="D9" s="325"/>
      <c r="E9" s="326"/>
      <c r="F9" s="326"/>
      <c r="G9" s="326"/>
      <c r="H9" s="326"/>
      <c r="I9" s="326"/>
      <c r="J9" s="326"/>
      <c r="K9" s="326"/>
      <c r="L9" s="326"/>
      <c r="M9" s="326"/>
      <c r="N9" s="326"/>
      <c r="O9" s="326"/>
      <c r="P9" s="326"/>
      <c r="Q9" s="326"/>
      <c r="R9" s="326"/>
      <c r="S9" s="326"/>
      <c r="T9" s="326"/>
      <c r="U9" s="326"/>
      <c r="V9" s="326"/>
      <c r="W9" s="326"/>
      <c r="X9" s="326"/>
      <c r="Y9" s="326"/>
      <c r="Z9" s="326"/>
      <c r="AA9" s="326"/>
      <c r="AB9" s="326"/>
      <c r="AC9" s="327"/>
      <c r="AD9" s="327"/>
      <c r="AE9" s="327"/>
      <c r="AF9" s="327"/>
      <c r="AG9" s="327"/>
      <c r="AH9" s="328"/>
      <c r="AI9" s="328"/>
      <c r="AJ9" s="328"/>
      <c r="AK9" s="328"/>
      <c r="AL9" s="328"/>
      <c r="AM9" s="328"/>
      <c r="AN9" s="328"/>
      <c r="AO9" s="328"/>
      <c r="AP9" s="328"/>
      <c r="AQ9" s="328"/>
      <c r="AR9" s="328"/>
      <c r="AS9" s="328"/>
      <c r="AT9" s="328"/>
      <c r="AU9" s="328"/>
      <c r="AV9" s="328"/>
      <c r="AW9" s="328"/>
      <c r="AX9" s="328"/>
      <c r="AY9" s="328"/>
      <c r="AZ9" s="328"/>
    </row>
    <row r="10" spans="1:280" ht="27.75" customHeight="1" x14ac:dyDescent="0.25">
      <c r="A10" s="749" t="s">
        <v>429</v>
      </c>
      <c r="B10" s="749"/>
      <c r="C10" s="749"/>
      <c r="D10" s="749"/>
      <c r="E10" s="749"/>
      <c r="F10" s="749"/>
      <c r="G10" s="329"/>
      <c r="H10" s="329"/>
      <c r="I10" s="329"/>
      <c r="J10" s="329"/>
      <c r="K10" s="329"/>
      <c r="L10" s="329"/>
      <c r="M10" s="329"/>
      <c r="N10" s="750" t="s">
        <v>432</v>
      </c>
      <c r="O10" s="750"/>
      <c r="P10" s="750"/>
      <c r="Q10" s="750"/>
      <c r="R10" s="750"/>
      <c r="S10" s="750"/>
      <c r="T10" s="750"/>
      <c r="U10" s="750"/>
      <c r="V10" s="750"/>
      <c r="W10" s="750"/>
      <c r="X10" s="750"/>
      <c r="Y10" s="751" t="s">
        <v>433</v>
      </c>
      <c r="Z10" s="751"/>
      <c r="AA10" s="751"/>
      <c r="AB10" s="751"/>
      <c r="AC10" s="751"/>
      <c r="AD10" s="751"/>
      <c r="AE10" s="751"/>
      <c r="AF10" s="751"/>
      <c r="AG10" s="751"/>
      <c r="AH10" s="751"/>
      <c r="AI10" s="751"/>
      <c r="AJ10" s="751"/>
      <c r="AK10" s="751"/>
      <c r="AL10" s="751"/>
      <c r="AM10" s="751"/>
      <c r="AN10" s="752" t="s">
        <v>434</v>
      </c>
      <c r="AO10" s="752"/>
      <c r="AP10" s="752"/>
      <c r="AQ10" s="752"/>
      <c r="AR10" s="752"/>
      <c r="AS10" s="753" t="s">
        <v>435</v>
      </c>
      <c r="AT10" s="753"/>
      <c r="AU10" s="753"/>
      <c r="AV10" s="753"/>
      <c r="AW10" s="753"/>
      <c r="AX10" s="763" t="s">
        <v>436</v>
      </c>
      <c r="AY10" s="763"/>
      <c r="AZ10" s="763"/>
      <c r="BA10" s="317"/>
      <c r="BB10" s="317"/>
      <c r="BC10" s="317"/>
      <c r="BD10" s="317"/>
      <c r="BE10" s="317"/>
      <c r="BF10" s="317"/>
      <c r="BG10" s="317"/>
      <c r="BH10" s="317"/>
      <c r="BI10" s="317"/>
      <c r="BJ10" s="317"/>
      <c r="BK10" s="317"/>
      <c r="BL10" s="317"/>
      <c r="BM10" s="317"/>
      <c r="BN10" s="317"/>
      <c r="BO10" s="317"/>
      <c r="BP10" s="317"/>
      <c r="BQ10" s="317"/>
      <c r="BR10" s="317"/>
      <c r="BS10" s="317"/>
      <c r="BT10" s="317"/>
      <c r="BU10" s="317"/>
      <c r="BV10" s="317"/>
      <c r="BW10" s="317"/>
      <c r="BX10" s="317"/>
    </row>
    <row r="11" spans="1:280" ht="15" customHeight="1" x14ac:dyDescent="0.25">
      <c r="A11" s="758" t="s">
        <v>437</v>
      </c>
      <c r="B11" s="759" t="s">
        <v>544</v>
      </c>
      <c r="C11" s="759" t="s">
        <v>545</v>
      </c>
      <c r="D11" s="759" t="s">
        <v>546</v>
      </c>
      <c r="E11" s="759" t="s">
        <v>547</v>
      </c>
      <c r="F11" s="759" t="s">
        <v>548</v>
      </c>
      <c r="G11" s="760" t="s">
        <v>549</v>
      </c>
      <c r="H11" s="760" t="s">
        <v>550</v>
      </c>
      <c r="I11" s="760" t="s">
        <v>551</v>
      </c>
      <c r="J11" s="760" t="s">
        <v>552</v>
      </c>
      <c r="K11" s="760" t="s">
        <v>553</v>
      </c>
      <c r="L11" s="760" t="s">
        <v>554</v>
      </c>
      <c r="M11" s="760" t="s">
        <v>555</v>
      </c>
      <c r="N11" s="761" t="s">
        <v>473</v>
      </c>
      <c r="O11" s="761" t="s">
        <v>556</v>
      </c>
      <c r="P11" s="762" t="s">
        <v>448</v>
      </c>
      <c r="Q11" s="761" t="s">
        <v>557</v>
      </c>
      <c r="R11" s="761" t="s">
        <v>448</v>
      </c>
      <c r="S11" s="761" t="s">
        <v>558</v>
      </c>
      <c r="T11" s="761" t="s">
        <v>448</v>
      </c>
      <c r="U11" s="761" t="s">
        <v>559</v>
      </c>
      <c r="V11" s="761" t="s">
        <v>451</v>
      </c>
      <c r="W11" s="762" t="s">
        <v>448</v>
      </c>
      <c r="X11" s="761" t="s">
        <v>452</v>
      </c>
      <c r="Y11" s="765" t="s">
        <v>453</v>
      </c>
      <c r="Z11" s="332"/>
      <c r="AA11" s="332"/>
      <c r="AB11" s="332"/>
      <c r="AC11" s="759" t="s">
        <v>31</v>
      </c>
      <c r="AD11" s="759" t="s">
        <v>560</v>
      </c>
      <c r="AE11" s="759"/>
      <c r="AF11" s="759" t="s">
        <v>33</v>
      </c>
      <c r="AG11" s="759" t="s">
        <v>454</v>
      </c>
      <c r="AH11" s="759"/>
      <c r="AI11" s="759"/>
      <c r="AJ11" s="759"/>
      <c r="AK11" s="759"/>
      <c r="AL11" s="759"/>
      <c r="AM11" s="765" t="s">
        <v>455</v>
      </c>
      <c r="AN11" s="764" t="s">
        <v>456</v>
      </c>
      <c r="AO11" s="764" t="s">
        <v>448</v>
      </c>
      <c r="AP11" s="764" t="s">
        <v>457</v>
      </c>
      <c r="AQ11" s="764" t="s">
        <v>448</v>
      </c>
      <c r="AR11" s="764" t="s">
        <v>458</v>
      </c>
      <c r="AS11" s="765" t="s">
        <v>49</v>
      </c>
      <c r="AT11" s="759" t="s">
        <v>459</v>
      </c>
      <c r="AU11" s="759" t="s">
        <v>460</v>
      </c>
      <c r="AV11" s="759" t="s">
        <v>461</v>
      </c>
      <c r="AW11" s="759" t="s">
        <v>462</v>
      </c>
      <c r="AX11" s="767" t="s">
        <v>463</v>
      </c>
      <c r="AY11" s="767" t="s">
        <v>464</v>
      </c>
      <c r="AZ11" s="767" t="s">
        <v>467</v>
      </c>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row>
    <row r="12" spans="1:280" s="335" customFormat="1" ht="99" x14ac:dyDescent="0.25">
      <c r="A12" s="758"/>
      <c r="B12" s="759"/>
      <c r="C12" s="759"/>
      <c r="D12" s="759"/>
      <c r="E12" s="759"/>
      <c r="F12" s="759"/>
      <c r="G12" s="760"/>
      <c r="H12" s="760"/>
      <c r="I12" s="760"/>
      <c r="J12" s="760"/>
      <c r="K12" s="760"/>
      <c r="L12" s="760"/>
      <c r="M12" s="760"/>
      <c r="N12" s="761"/>
      <c r="O12" s="761"/>
      <c r="P12" s="762"/>
      <c r="Q12" s="761"/>
      <c r="R12" s="761"/>
      <c r="S12" s="761"/>
      <c r="T12" s="761"/>
      <c r="U12" s="761"/>
      <c r="V12" s="761"/>
      <c r="W12" s="761"/>
      <c r="X12" s="761"/>
      <c r="Y12" s="765"/>
      <c r="Z12" s="331" t="s">
        <v>467</v>
      </c>
      <c r="AA12" s="331" t="s">
        <v>463</v>
      </c>
      <c r="AB12" s="331" t="s">
        <v>468</v>
      </c>
      <c r="AC12" s="759"/>
      <c r="AD12" s="330" t="s">
        <v>561</v>
      </c>
      <c r="AE12" s="330" t="s">
        <v>562</v>
      </c>
      <c r="AF12" s="759"/>
      <c r="AG12" s="330" t="s">
        <v>469</v>
      </c>
      <c r="AH12" s="330" t="s">
        <v>470</v>
      </c>
      <c r="AI12" s="330" t="s">
        <v>471</v>
      </c>
      <c r="AJ12" s="330" t="s">
        <v>472</v>
      </c>
      <c r="AK12" s="330" t="s">
        <v>473</v>
      </c>
      <c r="AL12" s="330" t="s">
        <v>474</v>
      </c>
      <c r="AM12" s="765"/>
      <c r="AN12" s="764"/>
      <c r="AO12" s="764"/>
      <c r="AP12" s="764"/>
      <c r="AQ12" s="764"/>
      <c r="AR12" s="764"/>
      <c r="AS12" s="765"/>
      <c r="AT12" s="759"/>
      <c r="AU12" s="759"/>
      <c r="AV12" s="759"/>
      <c r="AW12" s="759"/>
      <c r="AX12" s="767"/>
      <c r="AY12" s="767"/>
      <c r="AZ12" s="767"/>
      <c r="BA12" s="333"/>
      <c r="BB12" s="333"/>
      <c r="BC12" s="333"/>
      <c r="BD12" s="333"/>
      <c r="BE12" s="333"/>
      <c r="BF12" s="333"/>
      <c r="BG12" s="333"/>
      <c r="BH12" s="333"/>
      <c r="BI12" s="333"/>
      <c r="BJ12" s="333"/>
      <c r="BK12" s="333"/>
      <c r="BL12" s="333"/>
      <c r="BM12" s="333"/>
      <c r="BN12" s="333"/>
      <c r="BO12" s="333"/>
      <c r="BP12" s="333"/>
      <c r="BQ12" s="333"/>
      <c r="BR12" s="333"/>
      <c r="BS12" s="333"/>
      <c r="BT12" s="333"/>
      <c r="BU12" s="333"/>
      <c r="BV12" s="333"/>
      <c r="BW12" s="333"/>
      <c r="BX12" s="334"/>
      <c r="BY12" s="334"/>
      <c r="BZ12" s="334"/>
      <c r="CA12" s="334"/>
      <c r="CB12" s="334"/>
      <c r="CC12" s="334"/>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334"/>
      <c r="DI12" s="334"/>
      <c r="DJ12" s="334"/>
      <c r="DK12" s="334"/>
      <c r="DL12" s="334"/>
      <c r="DM12" s="334"/>
      <c r="DN12" s="334"/>
      <c r="DO12" s="334"/>
      <c r="DP12" s="334"/>
      <c r="DQ12" s="334"/>
      <c r="DR12" s="334"/>
      <c r="DS12" s="334"/>
      <c r="DT12" s="334"/>
      <c r="DU12" s="334"/>
      <c r="DV12" s="334"/>
      <c r="DW12" s="334"/>
      <c r="DX12" s="334"/>
      <c r="DY12" s="334"/>
      <c r="DZ12" s="334"/>
      <c r="EA12" s="334"/>
      <c r="EB12" s="334"/>
      <c r="EC12" s="334"/>
      <c r="ED12" s="334"/>
      <c r="EE12" s="334"/>
      <c r="EF12" s="334"/>
      <c r="EG12" s="334"/>
      <c r="EH12" s="334"/>
      <c r="EI12" s="334"/>
      <c r="EJ12" s="334"/>
      <c r="EK12" s="334"/>
      <c r="EL12" s="334"/>
      <c r="EM12" s="334"/>
      <c r="EN12" s="334"/>
      <c r="EO12" s="334"/>
      <c r="EP12" s="334"/>
      <c r="EQ12" s="334"/>
      <c r="ER12" s="334"/>
      <c r="ES12" s="334"/>
      <c r="ET12" s="334"/>
      <c r="EU12" s="334"/>
      <c r="EV12" s="334"/>
      <c r="EW12" s="334"/>
      <c r="EX12" s="334"/>
      <c r="EY12" s="334"/>
      <c r="EZ12" s="334"/>
      <c r="FA12" s="334"/>
      <c r="FB12" s="334"/>
      <c r="FC12" s="334"/>
      <c r="FD12" s="334"/>
      <c r="FE12" s="334"/>
      <c r="FF12" s="334"/>
      <c r="FG12" s="334"/>
      <c r="FH12" s="334"/>
      <c r="FI12" s="334"/>
      <c r="FJ12" s="334"/>
      <c r="FK12" s="334"/>
      <c r="FL12" s="334"/>
      <c r="FM12" s="334"/>
      <c r="FN12" s="334"/>
      <c r="FO12" s="334"/>
      <c r="FP12" s="334"/>
      <c r="FQ12" s="334"/>
      <c r="FR12" s="334"/>
      <c r="FS12" s="334"/>
      <c r="FT12" s="334"/>
      <c r="FU12" s="334"/>
      <c r="FV12" s="334"/>
      <c r="FW12" s="334"/>
      <c r="FX12" s="334"/>
      <c r="FY12" s="334"/>
      <c r="FZ12" s="334"/>
      <c r="GA12" s="334"/>
      <c r="GB12" s="334"/>
      <c r="GC12" s="334"/>
      <c r="GD12" s="334"/>
      <c r="GE12" s="334"/>
      <c r="GF12" s="334"/>
      <c r="GG12" s="334"/>
      <c r="GH12" s="334"/>
      <c r="GI12" s="334"/>
      <c r="GJ12" s="334"/>
      <c r="GK12" s="334"/>
      <c r="GL12" s="334"/>
      <c r="GM12" s="334"/>
      <c r="GN12" s="334"/>
      <c r="GO12" s="334"/>
      <c r="GP12" s="334"/>
      <c r="GQ12" s="334"/>
      <c r="GR12" s="334"/>
      <c r="GS12" s="334"/>
      <c r="GT12" s="334"/>
      <c r="GU12" s="334"/>
      <c r="GV12" s="334"/>
      <c r="GW12" s="334"/>
      <c r="GX12" s="334"/>
      <c r="GY12" s="334"/>
      <c r="GZ12" s="334"/>
      <c r="HA12" s="334"/>
      <c r="HB12" s="334"/>
      <c r="HC12" s="334"/>
      <c r="HD12" s="334"/>
      <c r="HE12" s="334"/>
      <c r="HF12" s="334"/>
      <c r="HG12" s="334"/>
      <c r="HH12" s="334"/>
      <c r="HI12" s="334"/>
      <c r="HJ12" s="334"/>
      <c r="HK12" s="334"/>
      <c r="HL12" s="334"/>
      <c r="HM12" s="334"/>
      <c r="HN12" s="334"/>
      <c r="HO12" s="334"/>
      <c r="HP12" s="334"/>
      <c r="HQ12" s="334"/>
      <c r="HR12" s="334"/>
      <c r="HS12" s="334"/>
      <c r="HT12" s="334"/>
      <c r="HU12" s="334"/>
      <c r="HV12" s="334"/>
      <c r="HW12" s="334"/>
      <c r="HX12" s="334"/>
      <c r="HY12" s="334"/>
      <c r="HZ12" s="334"/>
      <c r="IA12" s="334"/>
      <c r="IB12" s="334"/>
      <c r="IC12" s="334"/>
      <c r="ID12" s="334"/>
      <c r="IE12" s="334"/>
      <c r="IF12" s="334"/>
      <c r="IG12" s="334"/>
      <c r="IH12" s="334"/>
      <c r="II12" s="334"/>
      <c r="IJ12" s="334"/>
      <c r="IK12" s="334"/>
      <c r="IL12" s="334"/>
      <c r="IM12" s="334"/>
      <c r="IN12" s="334"/>
      <c r="IO12" s="334"/>
      <c r="IP12" s="334"/>
      <c r="IQ12" s="334"/>
      <c r="IR12" s="334"/>
      <c r="IS12" s="334"/>
      <c r="IT12" s="334"/>
      <c r="IU12" s="334"/>
      <c r="IV12" s="334"/>
      <c r="IW12" s="334"/>
      <c r="IX12" s="334"/>
      <c r="IY12" s="334"/>
      <c r="IZ12" s="334"/>
      <c r="JA12" s="334"/>
      <c r="JB12" s="334"/>
      <c r="JC12" s="334"/>
      <c r="JD12" s="334"/>
      <c r="JE12" s="334"/>
      <c r="JF12" s="334"/>
      <c r="JG12" s="334"/>
      <c r="JH12" s="334"/>
      <c r="JI12" s="334"/>
      <c r="JJ12" s="334"/>
      <c r="JK12" s="334"/>
      <c r="JL12" s="334"/>
      <c r="JM12" s="334"/>
      <c r="JN12" s="334"/>
      <c r="JO12" s="334"/>
      <c r="JP12" s="334"/>
      <c r="JQ12" s="334"/>
      <c r="JR12" s="334"/>
      <c r="JS12" s="334"/>
      <c r="JT12" s="334"/>
    </row>
    <row r="13" spans="1:280" s="346" customFormat="1" ht="195" x14ac:dyDescent="0.25">
      <c r="A13" s="768">
        <v>1</v>
      </c>
      <c r="B13" s="766" t="s">
        <v>123</v>
      </c>
      <c r="C13" s="766" t="s">
        <v>563</v>
      </c>
      <c r="D13" s="766" t="s">
        <v>750</v>
      </c>
      <c r="E13" s="766" t="s">
        <v>751</v>
      </c>
      <c r="F13" s="766" t="str">
        <f>+CONCATENATE("La ",LOWER(B13)," ",LOWER(C13),"en ",LOWER(K19)," debido a ",LOWER(D13))</f>
        <v>La posibilidad de afectación reputacional por pérdida de la integridad en  debido a debido a la alteración o modificación no autorizada de la informacion de la bitacora de produccion</v>
      </c>
      <c r="G13" s="766" t="s">
        <v>685</v>
      </c>
      <c r="H13" s="766" t="s">
        <v>752</v>
      </c>
      <c r="I13" s="766" t="s">
        <v>753</v>
      </c>
      <c r="J13" s="766" t="s">
        <v>754</v>
      </c>
      <c r="K13" s="766" t="s">
        <v>755</v>
      </c>
      <c r="L13" s="766" t="s">
        <v>179</v>
      </c>
      <c r="M13" s="766" t="s">
        <v>756</v>
      </c>
      <c r="N13" s="774">
        <v>52</v>
      </c>
      <c r="O13" s="771" t="str">
        <f>IF(N13&lt;=0,"",IF(N13&lt;=2,"Muy Baja",IF(N13&lt;=24,"Baja",IF(N13&lt;=500,"Media",IF(N13&lt;=5000,"Alta","Muy Alta")))))</f>
        <v>Media</v>
      </c>
      <c r="P13" s="770">
        <f>IF(O13="","",IF(O13="Muy Baja",0.2,IF(O13="Baja",0.4,IF(O13="Media",0.6,IF(O13="Alta",0.8,IF(O13="Muy Alta",1,))))))</f>
        <v>0.6</v>
      </c>
      <c r="Q13" s="773" t="s">
        <v>630</v>
      </c>
      <c r="R13" s="770">
        <f>IF(Q13="","",IF(Q13="Afectación menor a 130 SMLMV",0.2,IF(Q13="Entre 130 y 650 SMLMV",0.4,IF(Q13="Entre 650 y 1300 SMLMV",0.6,IF(Q13="Entre 1300 y 6500 SMLMV",0.8,IF(Q13="Mayor a 6500 SMLMV",1,))))))</f>
        <v>0.4</v>
      </c>
      <c r="S13" s="773" t="s">
        <v>612</v>
      </c>
      <c r="T13" s="770">
        <f>IF(S13="","",IF(S13="El riesgo afecta la imagen de alguna área de la organización",0.2,IF(S13="El riesgo afecta la imagen de la entidad internamente, de conocimiento general, nivel interno, de junta dircetiva y accionistas y/o de provedores",0.4,IF(S13="El riesgo afecta la imagen de la entidad con algunos usuarios de relevancia frente al logro de los objetivos",0.6,IF(S13="El riesgo afecta la imagen de de la entidad con efecto publicitario sostenido a nivel de sector administrativo, nivel departamental o municipal",0.8,IF(S13="El riesgo afecta la imagen de la entidad a nivel nacional, con efecto publicitarios sostenible a nivel país",1,))))))</f>
        <v>0.6</v>
      </c>
      <c r="U13" s="770">
        <f>MAX(R13,T13)</f>
        <v>0.6</v>
      </c>
      <c r="V13" s="771" t="str">
        <f>IF(U13&lt;=0,"",IF(U13=0.2,"Leve",IF(U13=0.4,"Menor",IF(U13=0.6,"Moderado",IF(U13=0.8,"Mayor",IF(U13=1,"Catastrófico"))))))</f>
        <v>Moderado</v>
      </c>
      <c r="W13" s="770">
        <f>IF(V13="","",IF(V13="Leve",0.2,IF(V13="Menor",0.4,IF(V13="Moderado",0.6,IF(V13="Mayor",0.8,IF(V13="Catastrófico",1,))))))</f>
        <v>0.6</v>
      </c>
      <c r="X13" s="772" t="str">
        <f>IF(OR(AND(O13="Muy Baja",V13="Leve"),AND(O13="Muy Baja",V13="Menor"),AND(O13="Baja",V13="Leve")),"Bajo",IF(OR(AND(O13="Muy baja",V13="Moderado"),AND(O13="Baja",V13="Menor"),AND(O13="Baja",V13="Moderado"),AND(O13="Media",V13="Leve"),AND(O13="Media",V13="Menor"),AND(O13="Media",V13="Moderado"),AND(O13="Alta",V13="Leve"),AND(O13="Alta",V13="Menor")),"Moderado",IF(OR(AND(O13="Muy Baja",V13="Mayor"),AND(O13="Baja",V13="Mayor"),AND(O13="Media",V13="Mayor"),AND(O13="Alta",V13="Moderado"),AND(O13="Alta",V13="Mayor"),AND(O13="Muy Alta",V13="Leve"),AND(O13="Muy Alta",V13="Menor"),AND(O13="Muy Alta",V13="Moderado"),AND(O13="Muy Alta",V13="Mayor")),"Alto",IF(OR(AND(O13="Muy Baja",V13="Catastrófico"),AND(O13="Baja",V13="Catastrófico"),AND(O13="Media",V13="Catastrófico"),AND(O13="Alta",V13="Catastrófico"),AND(O13="Muy Alta",V13="Catastrófico")),"Extremo",""))))</f>
        <v>Moderado</v>
      </c>
      <c r="Y13" s="338">
        <v>1</v>
      </c>
      <c r="Z13" s="346" t="s">
        <v>760</v>
      </c>
      <c r="AA13" s="339" t="s">
        <v>124</v>
      </c>
      <c r="AB13" s="412" t="s">
        <v>762</v>
      </c>
      <c r="AC13" s="340" t="str">
        <f>+CONCATENATE(Z13," ",AA13," ",AB13)</f>
        <v>El lider de produccion Valida mensualmente que los backups de la bitácora hayan sido realizados correctamente y estén completos, esta validación debe incluir la revisión de la correcta ejecución de los respaldos, asegurándose de que no haya errores ni omisiones, y garantizando que la información esté completamente respaldada</v>
      </c>
      <c r="AD13" s="341" t="s">
        <v>235</v>
      </c>
      <c r="AE13" s="363" t="str">
        <f>INDEX(Listas!B86:B180,MATCH(TEXT(AD13,"0.00"),Listas!A86:A180,0))</f>
        <v>Roles y responsabilidades en la seguridad de la información.</v>
      </c>
      <c r="AF13" s="341" t="str">
        <f t="shared" ref="AF13" si="0">IF(OR(AG13="Preventivo",AG13="Detectivo"),"Probabilidad",IF(AG13="Correctivo","Impacto",""))</f>
        <v>Probabilidad</v>
      </c>
      <c r="AG13" s="357" t="s">
        <v>482</v>
      </c>
      <c r="AH13" s="358" t="s">
        <v>478</v>
      </c>
      <c r="AI13" s="359" t="str">
        <f t="shared" ref="AI13" si="1">IF(AND(AG13="Preventivo",AH13="Automático"),"50%",IF(AND(AG13="Preventivo",AH13="Manual"),"40%",IF(AND(AG13="Detectivo",AH13="Automático"),"40%",IF(AND(AG13="Detectivo",AH13="Manual"),"30%",IF(AND(AG13="Correctivo",AH13="Automático"),"35%",IF(AND(AG13="Correctivo",AH13="Manual"),"25%",""))))))</f>
        <v>30%</v>
      </c>
      <c r="AJ13" s="358" t="s">
        <v>479</v>
      </c>
      <c r="AK13" s="358" t="s">
        <v>480</v>
      </c>
      <c r="AL13" s="358" t="s">
        <v>484</v>
      </c>
      <c r="AM13" s="360">
        <f>IFERROR(IF(AF13="Probabilidad",(P13-(+P13*AI13)),IF(AF13="Impacto",P13,"")),"")</f>
        <v>0.42</v>
      </c>
      <c r="AN13" s="361" t="str">
        <f t="shared" ref="AN13" si="2">IFERROR(IF(AM13="","",IF(AM13&lt;=0.2,"Muy Baja",IF(AM13&lt;=0.4,"Baja",IF(AM13&lt;=0.6,"Media",IF(AM13&lt;=0.8,"Alta","Muy Alta"))))),"")</f>
        <v>Media</v>
      </c>
      <c r="AO13" s="359">
        <f t="shared" ref="AO13" si="3">+AM13</f>
        <v>0.42</v>
      </c>
      <c r="AP13" s="361" t="str">
        <f t="shared" ref="AP13" si="4">IFERROR(IF(AQ13="","",IF(AQ13&lt;=0.2,"Leve",IF(AQ13&lt;=0.4,"Menor",IF(AQ13&lt;=0.6,"Moderado",IF(AQ13&lt;=0.8,"Mayor","Catastrófico"))))),"")</f>
        <v>Moderado</v>
      </c>
      <c r="AQ13" s="359">
        <f>IFERROR(IF(AF13="Impacto",(W13-(+W13*AI13)),IF(AF13="Probabilidad",W13,"")),"")</f>
        <v>0.6</v>
      </c>
      <c r="AR13" s="362" t="str">
        <f t="shared" ref="AR13" si="5">IFERROR(IF(OR(AND(AN13="Muy Baja",AP13="Leve"),AND(AN13="Muy Baja",AP13="Menor"),AND(AN13="Baja",AP13="Leve")),"Bajo",IF(OR(AND(AN13="Muy baja",AP13="Moderado"),AND(AN13="Baja",AP13="Menor"),AND(AN13="Baja",AP13="Moderado"),AND(AN13="Media",AP13="Leve"),AND(AN13="Media",AP13="Menor"),AND(AN13="Media",AP13="Moderado"),AND(AN13="Alta",AP13="Leve"),AND(AN13="Alta",AP13="Menor")),"Moderado",IF(OR(AND(AN13="Muy Baja",AP13="Mayor"),AND(AN13="Baja",AP13="Mayor"),AND(AN13="Media",AP13="Mayor"),AND(AN13="Alta",AP13="Moderado"),AND(AN13="Alta",AP13="Mayor"),AND(AN13="Muy Alta",AP13="Leve"),AND(AN13="Muy Alta",AP13="Menor"),AND(AN13="Muy Alta",AP13="Moderado"),AND(AN13="Muy Alta",AP13="Mayor")),"Alto",IF(OR(AND(AN13="Muy Baja",AP13="Catastrófico"),AND(AN13="Baja",AP13="Catastrófico"),AND(AN13="Media",AP13="Catastrófico"),AND(AN13="Alta",AP13="Catastrófico"),AND(AN13="Muy Alta",AP13="Catastrófico")),"Extremo","")))),"")</f>
        <v>Moderado</v>
      </c>
      <c r="AS13" s="357" t="s">
        <v>126</v>
      </c>
      <c r="AT13" s="336" t="s">
        <v>757</v>
      </c>
      <c r="AU13" s="337" t="s">
        <v>758</v>
      </c>
      <c r="AV13" s="175" t="s">
        <v>759</v>
      </c>
      <c r="AW13" s="345">
        <v>45657</v>
      </c>
      <c r="AX13" s="516" t="s">
        <v>730</v>
      </c>
      <c r="AY13" s="516" t="s">
        <v>731</v>
      </c>
      <c r="AZ13" s="516" t="s">
        <v>732</v>
      </c>
    </row>
    <row r="14" spans="1:280" ht="180" x14ac:dyDescent="0.25">
      <c r="A14" s="768"/>
      <c r="B14" s="766"/>
      <c r="C14" s="766"/>
      <c r="D14" s="766"/>
      <c r="E14" s="766"/>
      <c r="F14" s="766"/>
      <c r="G14" s="766"/>
      <c r="H14" s="766"/>
      <c r="I14" s="766"/>
      <c r="J14" s="766"/>
      <c r="K14" s="766"/>
      <c r="L14" s="766"/>
      <c r="M14" s="766"/>
      <c r="N14" s="774"/>
      <c r="O14" s="771"/>
      <c r="P14" s="770"/>
      <c r="Q14" s="773"/>
      <c r="R14" s="770"/>
      <c r="S14" s="773"/>
      <c r="T14" s="770"/>
      <c r="U14" s="770"/>
      <c r="V14" s="771"/>
      <c r="W14" s="770"/>
      <c r="X14" s="772"/>
      <c r="Y14" s="338">
        <v>2</v>
      </c>
      <c r="Z14" s="244" t="s">
        <v>738</v>
      </c>
      <c r="AA14" s="338" t="s">
        <v>120</v>
      </c>
      <c r="AB14" s="244" t="s">
        <v>761</v>
      </c>
      <c r="AC14" s="340" t="str">
        <f>+CONCATENATE(Z14," ",AA14," ",AB14)</f>
        <v>El gerente de produccion Verifica mesualmente la continuidad de los back ups de la bitacora con volumenes totales producidos y/ despachados con los valores totales del informe de produccion. De encontrar desviaciones por no disponibilidad del mismo solicita la generacion de back up adicional</v>
      </c>
      <c r="AD14" s="341" t="s">
        <v>235</v>
      </c>
      <c r="AE14" s="363" t="str">
        <f>INDEX(Listas!B87:B181,MATCH(TEXT(AD14,"0.00"),Listas!A87:A181,0))</f>
        <v>Roles y responsabilidades en la seguridad de la información.</v>
      </c>
      <c r="AF14" s="341" t="str">
        <f t="shared" ref="AF14" si="6">IF(OR(AG14="Preventivo",AG14="Detectivo"),"Probabilidad",IF(AG14="Correctivo","Impacto",""))</f>
        <v>Probabilidad</v>
      </c>
      <c r="AG14" s="357" t="s">
        <v>482</v>
      </c>
      <c r="AH14" s="358" t="s">
        <v>478</v>
      </c>
      <c r="AI14" s="359" t="str">
        <f t="shared" ref="AI14" si="7">IF(AND(AG14="Preventivo",AH14="Automático"),"50%",IF(AND(AG14="Preventivo",AH14="Manual"),"40%",IF(AND(AG14="Detectivo",AH14="Automático"),"40%",IF(AND(AG14="Detectivo",AH14="Manual"),"30%",IF(AND(AG14="Correctivo",AH14="Automático"),"35%",IF(AND(AG14="Correctivo",AH14="Manual"),"25%",""))))))</f>
        <v>30%</v>
      </c>
      <c r="AJ14" s="358" t="s">
        <v>479</v>
      </c>
      <c r="AK14" s="358" t="s">
        <v>480</v>
      </c>
      <c r="AL14" s="358" t="s">
        <v>484</v>
      </c>
      <c r="AM14" s="360">
        <f t="shared" ref="AM14" si="8">IFERROR(IF(AF14="Probabilidad",(P14-(+P14*AI14)),IF(AF14="Impacto",P14,"")),"")</f>
        <v>0</v>
      </c>
      <c r="AN14" s="361" t="str">
        <f t="shared" ref="AN14" si="9">IFERROR(IF(AM14="","",IF(AM14&lt;=0.2,"Muy Baja",IF(AM14&lt;=0.4,"Baja",IF(AM14&lt;=0.6,"Media",IF(AM14&lt;=0.8,"Alta","Muy Alta"))))),"")</f>
        <v>Muy Baja</v>
      </c>
      <c r="AO14" s="359">
        <f t="shared" ref="AO14" si="10">+AM14</f>
        <v>0</v>
      </c>
      <c r="AP14" s="361" t="str">
        <f t="shared" ref="AP14" si="11">IFERROR(IF(AQ14="","",IF(AQ14&lt;=0.2,"Leve",IF(AQ14&lt;=0.4,"Menor",IF(AQ14&lt;=0.6,"Moderado",IF(AQ14&lt;=0.8,"Mayor","Catastrófico"))))),"")</f>
        <v>Leve</v>
      </c>
      <c r="AQ14" s="359">
        <f t="shared" ref="AQ14" si="12">IFERROR(IF(AF14="Impacto",(W14-(+W14*AI14)),IF(AF14="Probabilidad",W14,"")),"")</f>
        <v>0</v>
      </c>
      <c r="AR14" s="362" t="str">
        <f t="shared" ref="AR14" si="13">IFERROR(IF(OR(AND(AN14="Muy Baja",AP14="Leve"),AND(AN14="Muy Baja",AP14="Menor"),AND(AN14="Baja",AP14="Leve")),"Bajo",IF(OR(AND(AN14="Muy baja",AP14="Moderado"),AND(AN14="Baja",AP14="Menor"),AND(AN14="Baja",AP14="Moderado"),AND(AN14="Media",AP14="Leve"),AND(AN14="Media",AP14="Menor"),AND(AN14="Media",AP14="Moderado"),AND(AN14="Alta",AP14="Leve"),AND(AN14="Alta",AP14="Menor")),"Moderado",IF(OR(AND(AN14="Muy Baja",AP14="Mayor"),AND(AN14="Baja",AP14="Mayor"),AND(AN14="Media",AP14="Mayor"),AND(AN14="Alta",AP14="Moderado"),AND(AN14="Alta",AP14="Mayor"),AND(AN14="Muy Alta",AP14="Leve"),AND(AN14="Muy Alta",AP14="Menor"),AND(AN14="Muy Alta",AP14="Moderado"),AND(AN14="Muy Alta",AP14="Mayor")),"Alto",IF(OR(AND(AN14="Muy Baja",AP14="Catastrófico"),AND(AN14="Baja",AP14="Catastrófico"),AND(AN14="Media",AP14="Catastrófico"),AND(AN14="Alta",AP14="Catastrófico"),AND(AN14="Muy Alta",AP14="Catastrófico")),"Extremo","")))),"")</f>
        <v>Bajo</v>
      </c>
      <c r="AS14" s="357" t="s">
        <v>126</v>
      </c>
      <c r="AT14" s="336" t="s">
        <v>757</v>
      </c>
      <c r="AU14" s="337" t="s">
        <v>763</v>
      </c>
      <c r="AV14" s="175" t="s">
        <v>759</v>
      </c>
      <c r="AW14" s="345">
        <v>45657</v>
      </c>
      <c r="AX14" s="517"/>
      <c r="AY14" s="517"/>
      <c r="AZ14" s="517"/>
    </row>
    <row r="15" spans="1:280" ht="43.5" customHeight="1" x14ac:dyDescent="0.25">
      <c r="A15" s="768"/>
      <c r="B15" s="766"/>
      <c r="C15" s="766"/>
      <c r="D15" s="766"/>
      <c r="E15" s="766"/>
      <c r="F15" s="766"/>
      <c r="G15" s="766"/>
      <c r="H15" s="766"/>
      <c r="I15" s="766"/>
      <c r="J15" s="766"/>
      <c r="K15" s="766"/>
      <c r="L15" s="766"/>
      <c r="M15" s="766"/>
      <c r="N15" s="774"/>
      <c r="O15" s="771"/>
      <c r="P15" s="770"/>
      <c r="Q15" s="773"/>
      <c r="R15" s="770"/>
      <c r="S15" s="773"/>
      <c r="T15" s="770"/>
      <c r="U15" s="770"/>
      <c r="V15" s="771"/>
      <c r="W15" s="770"/>
      <c r="X15" s="772"/>
      <c r="Y15" s="338">
        <v>3</v>
      </c>
      <c r="Z15" s="339"/>
      <c r="AA15" s="338"/>
      <c r="AB15" s="338"/>
      <c r="AC15" s="340" t="str">
        <f t="shared" ref="AC15:AC72" si="14">+CONCATENATE(Z15," ",AA15," ",AB15)</f>
        <v xml:space="preserve">  </v>
      </c>
      <c r="AD15" s="341"/>
      <c r="AE15" s="342"/>
      <c r="AF15" s="341"/>
      <c r="AG15" s="357"/>
      <c r="AH15" s="358"/>
      <c r="AI15" s="359"/>
      <c r="AJ15" s="358"/>
      <c r="AK15" s="358"/>
      <c r="AL15" s="358"/>
      <c r="AM15" s="360"/>
      <c r="AN15" s="361"/>
      <c r="AO15" s="359"/>
      <c r="AP15" s="361"/>
      <c r="AQ15" s="359"/>
      <c r="AR15" s="362"/>
      <c r="AS15" s="343"/>
      <c r="AT15" s="336"/>
      <c r="AU15" s="337"/>
      <c r="AV15" s="337"/>
      <c r="AW15" s="345"/>
      <c r="AX15" s="517"/>
      <c r="AY15" s="517"/>
      <c r="AZ15" s="517"/>
    </row>
    <row r="16" spans="1:280" ht="43.5" customHeight="1" x14ac:dyDescent="0.25">
      <c r="A16" s="768"/>
      <c r="B16" s="766"/>
      <c r="C16" s="766"/>
      <c r="D16" s="766"/>
      <c r="E16" s="766"/>
      <c r="F16" s="766"/>
      <c r="G16" s="766"/>
      <c r="H16" s="766"/>
      <c r="I16" s="766"/>
      <c r="J16" s="766"/>
      <c r="K16" s="766"/>
      <c r="L16" s="766"/>
      <c r="M16" s="766"/>
      <c r="N16" s="774"/>
      <c r="O16" s="771"/>
      <c r="P16" s="770"/>
      <c r="Q16" s="773"/>
      <c r="R16" s="770"/>
      <c r="S16" s="773"/>
      <c r="T16" s="770"/>
      <c r="U16" s="770"/>
      <c r="V16" s="771"/>
      <c r="W16" s="770"/>
      <c r="X16" s="772"/>
      <c r="Y16" s="338">
        <v>4</v>
      </c>
      <c r="Z16" s="339"/>
      <c r="AA16" s="338"/>
      <c r="AB16" s="338"/>
      <c r="AC16" s="340" t="str">
        <f t="shared" si="14"/>
        <v xml:space="preserve">  </v>
      </c>
      <c r="AD16" s="341"/>
      <c r="AE16" s="342"/>
      <c r="AF16" s="341"/>
      <c r="AG16" s="357"/>
      <c r="AH16" s="358"/>
      <c r="AI16" s="359"/>
      <c r="AJ16" s="358"/>
      <c r="AK16" s="358"/>
      <c r="AL16" s="358"/>
      <c r="AM16" s="360"/>
      <c r="AN16" s="361"/>
      <c r="AO16" s="359"/>
      <c r="AP16" s="361"/>
      <c r="AQ16" s="359"/>
      <c r="AR16" s="362"/>
      <c r="AS16" s="343"/>
      <c r="AT16" s="336"/>
      <c r="AU16" s="337"/>
      <c r="AV16" s="337"/>
      <c r="AW16" s="345"/>
      <c r="AX16" s="517"/>
      <c r="AY16" s="517"/>
      <c r="AZ16" s="517"/>
    </row>
    <row r="17" spans="1:52" ht="43.5" customHeight="1" x14ac:dyDescent="0.25">
      <c r="A17" s="768"/>
      <c r="B17" s="766"/>
      <c r="C17" s="766"/>
      <c r="D17" s="766"/>
      <c r="E17" s="766"/>
      <c r="F17" s="766"/>
      <c r="G17" s="766"/>
      <c r="H17" s="766"/>
      <c r="I17" s="766"/>
      <c r="J17" s="766"/>
      <c r="K17" s="766"/>
      <c r="L17" s="766"/>
      <c r="M17" s="766"/>
      <c r="N17" s="774"/>
      <c r="O17" s="771"/>
      <c r="P17" s="770"/>
      <c r="Q17" s="773"/>
      <c r="R17" s="770"/>
      <c r="S17" s="773"/>
      <c r="T17" s="770"/>
      <c r="U17" s="770"/>
      <c r="V17" s="771"/>
      <c r="W17" s="770"/>
      <c r="X17" s="772"/>
      <c r="Y17" s="338">
        <v>5</v>
      </c>
      <c r="Z17" s="339"/>
      <c r="AA17" s="338"/>
      <c r="AB17" s="338"/>
      <c r="AC17" s="340" t="str">
        <f t="shared" si="14"/>
        <v xml:space="preserve">  </v>
      </c>
      <c r="AD17" s="341"/>
      <c r="AE17" s="342"/>
      <c r="AF17" s="341"/>
      <c r="AG17" s="357"/>
      <c r="AH17" s="358"/>
      <c r="AI17" s="359"/>
      <c r="AJ17" s="358"/>
      <c r="AK17" s="358"/>
      <c r="AL17" s="358"/>
      <c r="AM17" s="360"/>
      <c r="AN17" s="361"/>
      <c r="AO17" s="359"/>
      <c r="AP17" s="361"/>
      <c r="AQ17" s="359"/>
      <c r="AR17" s="362"/>
      <c r="AS17" s="343"/>
      <c r="AT17" s="336"/>
      <c r="AU17" s="337"/>
      <c r="AV17" s="337"/>
      <c r="AW17" s="345"/>
      <c r="AX17" s="517"/>
      <c r="AY17" s="517"/>
      <c r="AZ17" s="517"/>
    </row>
    <row r="18" spans="1:52" ht="43.5" customHeight="1" x14ac:dyDescent="0.25">
      <c r="A18" s="768"/>
      <c r="B18" s="766"/>
      <c r="C18" s="766"/>
      <c r="D18" s="766"/>
      <c r="E18" s="766"/>
      <c r="F18" s="766"/>
      <c r="G18" s="766"/>
      <c r="H18" s="766"/>
      <c r="I18" s="766"/>
      <c r="J18" s="766"/>
      <c r="K18" s="766"/>
      <c r="L18" s="766"/>
      <c r="M18" s="766"/>
      <c r="N18" s="774"/>
      <c r="O18" s="771"/>
      <c r="P18" s="770"/>
      <c r="Q18" s="773"/>
      <c r="R18" s="770"/>
      <c r="S18" s="773"/>
      <c r="T18" s="770"/>
      <c r="U18" s="770"/>
      <c r="V18" s="771"/>
      <c r="W18" s="770"/>
      <c r="X18" s="772"/>
      <c r="Y18" s="338">
        <v>6</v>
      </c>
      <c r="Z18" s="339"/>
      <c r="AA18" s="338"/>
      <c r="AB18" s="338"/>
      <c r="AC18" s="340" t="str">
        <f t="shared" si="14"/>
        <v xml:space="preserve">  </v>
      </c>
      <c r="AD18" s="341"/>
      <c r="AE18" s="342"/>
      <c r="AF18" s="341"/>
      <c r="AG18" s="357"/>
      <c r="AH18" s="358"/>
      <c r="AI18" s="359"/>
      <c r="AJ18" s="358"/>
      <c r="AK18" s="358"/>
      <c r="AL18" s="358"/>
      <c r="AM18" s="360"/>
      <c r="AN18" s="361"/>
      <c r="AO18" s="359"/>
      <c r="AP18" s="361"/>
      <c r="AQ18" s="359"/>
      <c r="AR18" s="362"/>
      <c r="AS18" s="343"/>
      <c r="AT18" s="336"/>
      <c r="AU18" s="337"/>
      <c r="AV18" s="337"/>
      <c r="AW18" s="345"/>
      <c r="AX18" s="518"/>
      <c r="AY18" s="518"/>
      <c r="AZ18" s="518"/>
    </row>
    <row r="19" spans="1:52" x14ac:dyDescent="0.25">
      <c r="A19" s="768">
        <v>2</v>
      </c>
      <c r="B19" s="769"/>
      <c r="C19" s="769"/>
      <c r="D19" s="769"/>
      <c r="E19" s="769"/>
      <c r="F19" s="776"/>
      <c r="G19" s="769"/>
      <c r="H19" s="769"/>
      <c r="I19" s="769"/>
      <c r="J19" s="769"/>
      <c r="K19" s="769"/>
      <c r="L19" s="769"/>
      <c r="M19" s="769"/>
      <c r="N19" s="775"/>
      <c r="O19" s="771" t="str">
        <f>IF(N19&lt;=0,"",IF(N19&lt;=2,"Muy Baja",IF(N19&lt;=24,"Baja",IF(N19&lt;=500,"Media",IF(N19&lt;=5000,"Alta","Muy Alta")))))</f>
        <v/>
      </c>
      <c r="P19" s="770" t="str">
        <f>IF(O19="","",IF(O19="Muy Baja",0.2,IF(O19="Baja",0.4,IF(O19="Media",0.6,IF(O19="Alta",0.8,IF(O19="Muy Alta",1,))))))</f>
        <v/>
      </c>
      <c r="Q19" s="773"/>
      <c r="R19" s="770" t="str">
        <f>IF(Q19="","",IF(Q19="Afectación menor a 130 SMLMV",0.2,IF(Q19="Entre 130 y 650 SMLMV",0.4,IF(Q19="Entre 650 y 1300 SMLMV",0.6,IF(Q19="Entre 1300 y 6500 SMLMV",0.8,IF(Q19="Mayor a 6500 SMLMV",1,))))))</f>
        <v/>
      </c>
      <c r="S19" s="773"/>
      <c r="T19" s="770" t="str">
        <f>IF(S19="","",IF(S19="El riesgo afecta la imagen de alguna área de la organización",0.2,IF(S19="El riesgo afecta la imagen de la entidad internamente, de conocimiento general, nivel interno, de junta dircetiva y accionistas y/o de provedores",0.4,IF(S19="El riesgo afecta la imagen de la entidad con algunos usuarios de relevancia frente al logro de los objetivos",0.6,IF(S19="El riesgo afecta la imagen de de la entidad con efecto publicitario sostenido a nivel de sector administrativo, nivel departamental o municipal",0.8,IF(S19="El riesgo afecta la imagen de la entidad a nivel nacional, con efecto publicitarios sostenible a nivel país",1,))))))</f>
        <v/>
      </c>
      <c r="U19" s="770">
        <f>MAX(R19,T19)</f>
        <v>0</v>
      </c>
      <c r="V19" s="771" t="str">
        <f>IF(U19&lt;=0,"",IF(U19=0.2,"Leve",IF(U19=0.4,"Menor",IF(U19=0.6,"Moderado",IF(U19=0.8,"Mayor",IF(U19=1,"Catastrófico"))))))</f>
        <v/>
      </c>
      <c r="W19" s="770" t="str">
        <f>IF(V19="","",IF(V19="Leve",0.2,IF(V19="Menor",0.4,IF(V19="Moderado",0.6,IF(V19="Mayor",0.8,IF(V19="Catastrófico",1,))))))</f>
        <v/>
      </c>
      <c r="X19" s="772" t="str">
        <f>IF(OR(AND(O19="Muy Baja",V19="Leve"),AND(O19="Muy Baja",V19="Menor"),AND(O19="Baja",V19="Leve")),"Bajo",IF(OR(AND(O19="Muy baja",V19="Moderado"),AND(O19="Baja",V19="Menor"),AND(O19="Baja",V19="Moderado"),AND(O19="Media",V19="Leve"),AND(O19="Media",V19="Menor"),AND(O19="Media",V19="Moderado"),AND(O19="Alta",V19="Leve"),AND(O19="Alta",V19="Menor")),"Moderado",IF(OR(AND(O19="Muy Baja",V19="Mayor"),AND(O19="Baja",V19="Mayor"),AND(O19="Media",V19="Mayor"),AND(O19="Alta",V19="Moderado"),AND(O19="Alta",V19="Mayor"),AND(O19="Muy Alta",V19="Leve"),AND(O19="Muy Alta",V19="Menor"),AND(O19="Muy Alta",V19="Moderado"),AND(O19="Muy Alta",V19="Mayor")),"Alto",IF(OR(AND(O19="Muy Baja",V19="Catastrófico"),AND(O19="Baja",V19="Catastrófico"),AND(O19="Media",V19="Catastrófico"),AND(O19="Alta",V19="Catastrófico"),AND(O19="Muy Alta",V19="Catastrófico")),"Extremo",""))))</f>
        <v/>
      </c>
      <c r="Y19" s="338">
        <v>1</v>
      </c>
      <c r="Z19" s="339"/>
      <c r="AA19" s="338"/>
      <c r="AB19" s="338"/>
      <c r="AC19" s="340" t="str">
        <f t="shared" si="14"/>
        <v xml:space="preserve">  </v>
      </c>
      <c r="AD19" s="341"/>
      <c r="AE19" s="342"/>
      <c r="AF19" s="341"/>
      <c r="AG19" s="357"/>
      <c r="AH19" s="358"/>
      <c r="AI19" s="359"/>
      <c r="AJ19" s="358"/>
      <c r="AK19" s="358"/>
      <c r="AL19" s="358"/>
      <c r="AM19" s="360"/>
      <c r="AN19" s="361"/>
      <c r="AO19" s="359"/>
      <c r="AP19" s="361"/>
      <c r="AQ19" s="359"/>
      <c r="AR19" s="362"/>
      <c r="AS19" s="343"/>
      <c r="AT19" s="336"/>
      <c r="AU19" s="337"/>
      <c r="AV19" s="337"/>
      <c r="AW19" s="345"/>
      <c r="AX19" s="774"/>
      <c r="AY19" s="774"/>
      <c r="AZ19" s="774"/>
    </row>
    <row r="20" spans="1:52" x14ac:dyDescent="0.25">
      <c r="A20" s="768"/>
      <c r="B20" s="769"/>
      <c r="C20" s="769"/>
      <c r="D20" s="769"/>
      <c r="E20" s="769"/>
      <c r="F20" s="777"/>
      <c r="G20" s="769"/>
      <c r="H20" s="769"/>
      <c r="I20" s="769"/>
      <c r="J20" s="769"/>
      <c r="K20" s="769"/>
      <c r="L20" s="769"/>
      <c r="M20" s="769"/>
      <c r="N20" s="775"/>
      <c r="O20" s="771"/>
      <c r="P20" s="770"/>
      <c r="Q20" s="773"/>
      <c r="R20" s="770"/>
      <c r="S20" s="773"/>
      <c r="T20" s="770"/>
      <c r="U20" s="770"/>
      <c r="V20" s="771"/>
      <c r="W20" s="770"/>
      <c r="X20" s="772"/>
      <c r="Y20" s="338">
        <v>2</v>
      </c>
      <c r="Z20" s="339"/>
      <c r="AA20" s="338"/>
      <c r="AB20" s="338"/>
      <c r="AC20" s="340" t="str">
        <f t="shared" si="14"/>
        <v xml:space="preserve">  </v>
      </c>
      <c r="AD20" s="341"/>
      <c r="AE20" s="342"/>
      <c r="AF20" s="341"/>
      <c r="AG20" s="357"/>
      <c r="AH20" s="358"/>
      <c r="AI20" s="359"/>
      <c r="AJ20" s="358"/>
      <c r="AK20" s="358"/>
      <c r="AL20" s="358"/>
      <c r="AM20" s="360"/>
      <c r="AN20" s="361"/>
      <c r="AO20" s="359"/>
      <c r="AP20" s="361"/>
      <c r="AQ20" s="359"/>
      <c r="AR20" s="362"/>
      <c r="AS20" s="343"/>
      <c r="AT20" s="336"/>
      <c r="AU20" s="337"/>
      <c r="AV20" s="336"/>
      <c r="AW20" s="345"/>
      <c r="AX20" s="774"/>
      <c r="AY20" s="774"/>
      <c r="AZ20" s="774"/>
    </row>
    <row r="21" spans="1:52" x14ac:dyDescent="0.25">
      <c r="A21" s="768"/>
      <c r="B21" s="769"/>
      <c r="C21" s="769"/>
      <c r="D21" s="769"/>
      <c r="E21" s="769"/>
      <c r="F21" s="777"/>
      <c r="G21" s="769"/>
      <c r="H21" s="769"/>
      <c r="I21" s="769"/>
      <c r="J21" s="769"/>
      <c r="K21" s="769"/>
      <c r="L21" s="769"/>
      <c r="M21" s="769"/>
      <c r="N21" s="775"/>
      <c r="O21" s="771"/>
      <c r="P21" s="770"/>
      <c r="Q21" s="773"/>
      <c r="R21" s="770"/>
      <c r="S21" s="773"/>
      <c r="T21" s="770"/>
      <c r="U21" s="770"/>
      <c r="V21" s="771"/>
      <c r="W21" s="770"/>
      <c r="X21" s="772"/>
      <c r="Y21" s="338">
        <v>3</v>
      </c>
      <c r="Z21" s="339"/>
      <c r="AA21" s="338"/>
      <c r="AB21" s="338"/>
      <c r="AC21" s="340" t="str">
        <f t="shared" si="14"/>
        <v xml:space="preserve">  </v>
      </c>
      <c r="AD21" s="341"/>
      <c r="AE21" s="342"/>
      <c r="AF21" s="341"/>
      <c r="AG21" s="357"/>
      <c r="AH21" s="358"/>
      <c r="AI21" s="359"/>
      <c r="AJ21" s="358"/>
      <c r="AK21" s="358"/>
      <c r="AL21" s="358"/>
      <c r="AM21" s="360"/>
      <c r="AN21" s="361"/>
      <c r="AO21" s="359"/>
      <c r="AP21" s="361"/>
      <c r="AQ21" s="359"/>
      <c r="AR21" s="362"/>
      <c r="AS21" s="343"/>
      <c r="AT21" s="336"/>
      <c r="AU21" s="337"/>
      <c r="AV21" s="337"/>
      <c r="AW21" s="345"/>
      <c r="AX21" s="774"/>
      <c r="AY21" s="774"/>
      <c r="AZ21" s="774"/>
    </row>
    <row r="22" spans="1:52" x14ac:dyDescent="0.25">
      <c r="A22" s="768"/>
      <c r="B22" s="769"/>
      <c r="C22" s="769"/>
      <c r="D22" s="769"/>
      <c r="E22" s="769"/>
      <c r="F22" s="777"/>
      <c r="G22" s="769"/>
      <c r="H22" s="769"/>
      <c r="I22" s="769"/>
      <c r="J22" s="769"/>
      <c r="K22" s="769"/>
      <c r="L22" s="769"/>
      <c r="M22" s="769"/>
      <c r="N22" s="775"/>
      <c r="O22" s="771"/>
      <c r="P22" s="770"/>
      <c r="Q22" s="773"/>
      <c r="R22" s="770"/>
      <c r="S22" s="773"/>
      <c r="T22" s="770"/>
      <c r="U22" s="770"/>
      <c r="V22" s="771"/>
      <c r="W22" s="770"/>
      <c r="X22" s="772"/>
      <c r="Y22" s="338">
        <v>4</v>
      </c>
      <c r="Z22" s="339"/>
      <c r="AA22" s="338"/>
      <c r="AB22" s="338"/>
      <c r="AC22" s="340" t="str">
        <f t="shared" si="14"/>
        <v xml:space="preserve">  </v>
      </c>
      <c r="AD22" s="341"/>
      <c r="AE22" s="342"/>
      <c r="AF22" s="341"/>
      <c r="AG22" s="357"/>
      <c r="AH22" s="358"/>
      <c r="AI22" s="359"/>
      <c r="AJ22" s="358"/>
      <c r="AK22" s="358"/>
      <c r="AL22" s="358"/>
      <c r="AM22" s="360"/>
      <c r="AN22" s="361"/>
      <c r="AO22" s="359"/>
      <c r="AP22" s="361"/>
      <c r="AQ22" s="359"/>
      <c r="AR22" s="362"/>
      <c r="AS22" s="343"/>
      <c r="AT22" s="336"/>
      <c r="AU22" s="337"/>
      <c r="AV22" s="337"/>
      <c r="AW22" s="345"/>
      <c r="AX22" s="774"/>
      <c r="AY22" s="774"/>
      <c r="AZ22" s="774"/>
    </row>
    <row r="23" spans="1:52" x14ac:dyDescent="0.25">
      <c r="A23" s="768"/>
      <c r="B23" s="769"/>
      <c r="C23" s="769"/>
      <c r="D23" s="769"/>
      <c r="E23" s="769"/>
      <c r="F23" s="777"/>
      <c r="G23" s="769"/>
      <c r="H23" s="769"/>
      <c r="I23" s="769"/>
      <c r="J23" s="769"/>
      <c r="K23" s="769"/>
      <c r="L23" s="769"/>
      <c r="M23" s="769"/>
      <c r="N23" s="775"/>
      <c r="O23" s="771"/>
      <c r="P23" s="770"/>
      <c r="Q23" s="773"/>
      <c r="R23" s="770"/>
      <c r="S23" s="773"/>
      <c r="T23" s="770"/>
      <c r="U23" s="770"/>
      <c r="V23" s="771"/>
      <c r="W23" s="770"/>
      <c r="X23" s="772"/>
      <c r="Y23" s="338">
        <v>5</v>
      </c>
      <c r="Z23" s="339"/>
      <c r="AA23" s="338"/>
      <c r="AB23" s="338"/>
      <c r="AC23" s="340" t="str">
        <f t="shared" si="14"/>
        <v xml:space="preserve">  </v>
      </c>
      <c r="AD23" s="341"/>
      <c r="AE23" s="342"/>
      <c r="AF23" s="341"/>
      <c r="AG23" s="357"/>
      <c r="AH23" s="358"/>
      <c r="AI23" s="359"/>
      <c r="AJ23" s="358"/>
      <c r="AK23" s="358"/>
      <c r="AL23" s="358"/>
      <c r="AM23" s="360"/>
      <c r="AN23" s="361"/>
      <c r="AO23" s="359"/>
      <c r="AP23" s="361"/>
      <c r="AQ23" s="359"/>
      <c r="AR23" s="362"/>
      <c r="AS23" s="343"/>
      <c r="AT23" s="336"/>
      <c r="AU23" s="337"/>
      <c r="AV23" s="337"/>
      <c r="AW23" s="345"/>
      <c r="AX23" s="774"/>
      <c r="AY23" s="774"/>
      <c r="AZ23" s="774"/>
    </row>
    <row r="24" spans="1:52" x14ac:dyDescent="0.25">
      <c r="A24" s="768"/>
      <c r="B24" s="769"/>
      <c r="C24" s="769"/>
      <c r="D24" s="769"/>
      <c r="E24" s="769"/>
      <c r="F24" s="778"/>
      <c r="G24" s="769"/>
      <c r="H24" s="769"/>
      <c r="I24" s="769"/>
      <c r="J24" s="769"/>
      <c r="K24" s="769"/>
      <c r="L24" s="769"/>
      <c r="M24" s="769"/>
      <c r="N24" s="775"/>
      <c r="O24" s="771"/>
      <c r="P24" s="770"/>
      <c r="Q24" s="773"/>
      <c r="R24" s="770"/>
      <c r="S24" s="773"/>
      <c r="T24" s="770"/>
      <c r="U24" s="770"/>
      <c r="V24" s="771"/>
      <c r="W24" s="770"/>
      <c r="X24" s="772"/>
      <c r="Y24" s="338">
        <v>6</v>
      </c>
      <c r="Z24" s="338"/>
      <c r="AA24" s="338"/>
      <c r="AB24" s="338"/>
      <c r="AC24" s="340" t="str">
        <f t="shared" si="14"/>
        <v xml:space="preserve">  </v>
      </c>
      <c r="AD24" s="341"/>
      <c r="AE24" s="342"/>
      <c r="AF24" s="341"/>
      <c r="AG24" s="357"/>
      <c r="AH24" s="358"/>
      <c r="AI24" s="359"/>
      <c r="AJ24" s="358"/>
      <c r="AK24" s="358"/>
      <c r="AL24" s="358"/>
      <c r="AM24" s="360"/>
      <c r="AN24" s="361"/>
      <c r="AO24" s="359"/>
      <c r="AP24" s="361"/>
      <c r="AQ24" s="359"/>
      <c r="AR24" s="362"/>
      <c r="AS24" s="343"/>
      <c r="AT24" s="336"/>
      <c r="AU24" s="337"/>
      <c r="AV24" s="337"/>
      <c r="AW24" s="345"/>
      <c r="AX24" s="774"/>
      <c r="AY24" s="774"/>
      <c r="AZ24" s="774"/>
    </row>
    <row r="25" spans="1:52" x14ac:dyDescent="0.25">
      <c r="A25" s="768">
        <v>3</v>
      </c>
      <c r="B25" s="769"/>
      <c r="C25" s="769"/>
      <c r="D25" s="769"/>
      <c r="E25" s="769"/>
      <c r="F25" s="769"/>
      <c r="G25" s="769"/>
      <c r="H25" s="769"/>
      <c r="I25" s="769"/>
      <c r="J25" s="769"/>
      <c r="K25" s="769"/>
      <c r="L25" s="769"/>
      <c r="M25" s="769"/>
      <c r="N25" s="775"/>
      <c r="O25" s="771" t="str">
        <f>IF(N25&lt;=0,"",IF(N25&lt;=2,"Muy Baja",IF(N25&lt;=24,"Baja",IF(N25&lt;=500,"Media",IF(N25&lt;=5000,"Alta","Muy Alta")))))</f>
        <v/>
      </c>
      <c r="P25" s="770" t="str">
        <f>IF(O25="","",IF(O25="Muy Baja",0.2,IF(O25="Baja",0.4,IF(O25="Media",0.6,IF(O25="Alta",0.8,IF(O25="Muy Alta",1,))))))</f>
        <v/>
      </c>
      <c r="Q25" s="773"/>
      <c r="R25" s="770" t="str">
        <f>IF(Q25="","",IF(Q25="Afectación menor a 130 SMLMV",0.2,IF(Q25="Entre 130 y 650 SMLMV",0.4,IF(Q25="Entre 650 y 1300 SMLMV",0.6,IF(Q25="Entre 1300 y 6500 SMLMV",0.8,IF(Q25="Mayor a 6500 SMLMV",1,))))))</f>
        <v/>
      </c>
      <c r="S25" s="773"/>
      <c r="T25" s="770" t="str">
        <f>IF(S25="","",IF(S25="El riesgo afecta la imagen de alguna área de la organización",0.2,IF(S25="El riesgo afecta la imagen de la entidad internamente, de conocimiento general, nivel interno, de junta dircetiva y accionistas y/o de provedores",0.4,IF(S25="El riesgo afecta la imagen de la entidad con algunos usuarios de relevancia frente al logro de los objetivos",0.6,IF(S25="El riesgo afecta la imagen de de la entidad con efecto publicitario sostenido a nivel de sector administrativo, nivel departamental o municipal",0.8,IF(S25="El riesgo afecta la imagen de la entidad a nivel nacional, con efecto publicitarios sostenible a nivel país",1,))))))</f>
        <v/>
      </c>
      <c r="U25" s="770">
        <f>MAX(R25,T25)</f>
        <v>0</v>
      </c>
      <c r="V25" s="771" t="str">
        <f>IF(U25&lt;=0,"",IF(U25=0.2,"Leve",IF(U25=0.4,"Menor",IF(U25=0.6,"Moderado",IF(U25=0.8,"Mayor",IF(U25=1,"Catrastrófico"))))))</f>
        <v/>
      </c>
      <c r="W25" s="770"/>
      <c r="X25" s="772" t="str">
        <f>IF(OR(AND(O25="Muy Baja",V25="Leve"),AND(O25="Muy Baja",V25="Menor"),AND(O25="Baja",V25="Leve")),"Bajo",IF(OR(AND(O25="Muy baja",V25="Moderado"),AND(O25="Baja",V25="Menor"),AND(O25="Baja",V25="Moderado"),AND(O25="Media",V25="Leve"),AND(O25="Media",V25="Menor"),AND(O25="Media",V25="Moderado"),AND(O25="Alta",V25="Leve"),AND(O25="Alta",V25="Menor")),"Moderado",IF(OR(AND(O25="Muy Baja",V25="Mayor"),AND(O25="Baja",V25="Mayor"),AND(O25="Media",V25="Mayor"),AND(O25="Alta",V25="Moderado"),AND(O25="Alta",V25="Mayor"),AND(O25="Muy Alta",V25="Leve"),AND(O25="Muy Alta",V25="Menor"),AND(O25="Muy Alta",V25="Moderado"),AND(O25="Muy Alta",V25="Mayor")),"Alto",IF(OR(AND(O25="Muy Baja",V25="Catastrófico"),AND(O25="Baja",V25="Catastrófico"),AND(O25="Media",V25="Catastrófico"),AND(O25="Alta",V25="Catastrófico"),AND(O25="Muy Alta",V25="Catastrófico")),"Extremo",""))))</f>
        <v/>
      </c>
      <c r="Y25" s="338">
        <v>1</v>
      </c>
      <c r="Z25" s="338"/>
      <c r="AA25" s="338"/>
      <c r="AB25" s="338"/>
      <c r="AC25" s="340" t="str">
        <f t="shared" si="14"/>
        <v xml:space="preserve">  </v>
      </c>
      <c r="AD25" s="341"/>
      <c r="AE25" s="342"/>
      <c r="AF25" s="341"/>
      <c r="AG25" s="357"/>
      <c r="AH25" s="358"/>
      <c r="AI25" s="359"/>
      <c r="AJ25" s="358"/>
      <c r="AK25" s="358"/>
      <c r="AL25" s="358"/>
      <c r="AM25" s="360"/>
      <c r="AN25" s="361"/>
      <c r="AO25" s="359"/>
      <c r="AP25" s="361"/>
      <c r="AQ25" s="359"/>
      <c r="AR25" s="362"/>
      <c r="AS25" s="343"/>
      <c r="AT25" s="336"/>
      <c r="AU25" s="337"/>
      <c r="AV25" s="337"/>
      <c r="AW25" s="345"/>
      <c r="AX25" s="774"/>
      <c r="AY25" s="774"/>
      <c r="AZ25" s="774"/>
    </row>
    <row r="26" spans="1:52" x14ac:dyDescent="0.25">
      <c r="A26" s="768"/>
      <c r="B26" s="769"/>
      <c r="C26" s="769"/>
      <c r="D26" s="769"/>
      <c r="E26" s="769"/>
      <c r="F26" s="769"/>
      <c r="G26" s="769"/>
      <c r="H26" s="769"/>
      <c r="I26" s="769"/>
      <c r="J26" s="769"/>
      <c r="K26" s="769"/>
      <c r="L26" s="769"/>
      <c r="M26" s="769"/>
      <c r="N26" s="775"/>
      <c r="O26" s="771"/>
      <c r="P26" s="770"/>
      <c r="Q26" s="773"/>
      <c r="R26" s="770"/>
      <c r="S26" s="773"/>
      <c r="T26" s="770"/>
      <c r="U26" s="770"/>
      <c r="V26" s="771"/>
      <c r="W26" s="770"/>
      <c r="X26" s="772"/>
      <c r="Y26" s="338">
        <v>2</v>
      </c>
      <c r="Z26" s="338"/>
      <c r="AA26" s="338"/>
      <c r="AB26" s="338"/>
      <c r="AC26" s="340" t="str">
        <f t="shared" si="14"/>
        <v xml:space="preserve">  </v>
      </c>
      <c r="AD26" s="341"/>
      <c r="AE26" s="342"/>
      <c r="AF26" s="341"/>
      <c r="AG26" s="357"/>
      <c r="AH26" s="358"/>
      <c r="AI26" s="359"/>
      <c r="AJ26" s="358"/>
      <c r="AK26" s="358"/>
      <c r="AL26" s="358"/>
      <c r="AM26" s="360"/>
      <c r="AN26" s="361"/>
      <c r="AO26" s="359"/>
      <c r="AP26" s="361"/>
      <c r="AQ26" s="359"/>
      <c r="AR26" s="362"/>
      <c r="AS26" s="343"/>
      <c r="AT26" s="336"/>
      <c r="AU26" s="337"/>
      <c r="AV26" s="337"/>
      <c r="AW26" s="345"/>
      <c r="AX26" s="774"/>
      <c r="AY26" s="774"/>
      <c r="AZ26" s="774"/>
    </row>
    <row r="27" spans="1:52" x14ac:dyDescent="0.25">
      <c r="A27" s="768"/>
      <c r="B27" s="769"/>
      <c r="C27" s="769"/>
      <c r="D27" s="769"/>
      <c r="E27" s="769"/>
      <c r="F27" s="769"/>
      <c r="G27" s="769"/>
      <c r="H27" s="769"/>
      <c r="I27" s="769"/>
      <c r="J27" s="769"/>
      <c r="K27" s="769"/>
      <c r="L27" s="769"/>
      <c r="M27" s="769"/>
      <c r="N27" s="775"/>
      <c r="O27" s="771"/>
      <c r="P27" s="770"/>
      <c r="Q27" s="773"/>
      <c r="R27" s="770"/>
      <c r="S27" s="773"/>
      <c r="T27" s="770"/>
      <c r="U27" s="770"/>
      <c r="V27" s="771"/>
      <c r="W27" s="770"/>
      <c r="X27" s="772"/>
      <c r="Y27" s="338">
        <v>3</v>
      </c>
      <c r="Z27" s="338"/>
      <c r="AA27" s="338"/>
      <c r="AB27" s="338"/>
      <c r="AC27" s="340" t="str">
        <f t="shared" si="14"/>
        <v xml:space="preserve">  </v>
      </c>
      <c r="AD27" s="341"/>
      <c r="AE27" s="342"/>
      <c r="AF27" s="341"/>
      <c r="AG27" s="357"/>
      <c r="AH27" s="358"/>
      <c r="AI27" s="359"/>
      <c r="AJ27" s="358"/>
      <c r="AK27" s="358"/>
      <c r="AL27" s="358"/>
      <c r="AM27" s="360"/>
      <c r="AN27" s="361"/>
      <c r="AO27" s="359"/>
      <c r="AP27" s="361"/>
      <c r="AQ27" s="359"/>
      <c r="AR27" s="362"/>
      <c r="AS27" s="343"/>
      <c r="AT27" s="336"/>
      <c r="AU27" s="337"/>
      <c r="AV27" s="337"/>
      <c r="AW27" s="345"/>
      <c r="AX27" s="774"/>
      <c r="AY27" s="774"/>
      <c r="AZ27" s="774"/>
    </row>
    <row r="28" spans="1:52" x14ac:dyDescent="0.25">
      <c r="A28" s="768"/>
      <c r="B28" s="769"/>
      <c r="C28" s="769"/>
      <c r="D28" s="769"/>
      <c r="E28" s="769"/>
      <c r="F28" s="769"/>
      <c r="G28" s="769"/>
      <c r="H28" s="769"/>
      <c r="I28" s="769"/>
      <c r="J28" s="769"/>
      <c r="K28" s="769"/>
      <c r="L28" s="769"/>
      <c r="M28" s="769"/>
      <c r="N28" s="775"/>
      <c r="O28" s="771"/>
      <c r="P28" s="770"/>
      <c r="Q28" s="773"/>
      <c r="R28" s="770"/>
      <c r="S28" s="773"/>
      <c r="T28" s="770"/>
      <c r="U28" s="770"/>
      <c r="V28" s="771"/>
      <c r="W28" s="770"/>
      <c r="X28" s="772"/>
      <c r="Y28" s="338">
        <v>4</v>
      </c>
      <c r="Z28" s="338"/>
      <c r="AA28" s="338"/>
      <c r="AB28" s="338"/>
      <c r="AC28" s="340" t="str">
        <f t="shared" si="14"/>
        <v xml:space="preserve">  </v>
      </c>
      <c r="AD28" s="341"/>
      <c r="AE28" s="342"/>
      <c r="AF28" s="341"/>
      <c r="AG28" s="357"/>
      <c r="AH28" s="358"/>
      <c r="AI28" s="359"/>
      <c r="AJ28" s="358"/>
      <c r="AK28" s="358"/>
      <c r="AL28" s="358"/>
      <c r="AM28" s="360"/>
      <c r="AN28" s="361"/>
      <c r="AO28" s="359"/>
      <c r="AP28" s="361"/>
      <c r="AQ28" s="359"/>
      <c r="AR28" s="362"/>
      <c r="AS28" s="343"/>
      <c r="AT28" s="336"/>
      <c r="AU28" s="337"/>
      <c r="AV28" s="337"/>
      <c r="AW28" s="345"/>
      <c r="AX28" s="774"/>
      <c r="AY28" s="774"/>
      <c r="AZ28" s="774"/>
    </row>
    <row r="29" spans="1:52" x14ac:dyDescent="0.25">
      <c r="A29" s="768"/>
      <c r="B29" s="769"/>
      <c r="C29" s="769"/>
      <c r="D29" s="769"/>
      <c r="E29" s="769"/>
      <c r="F29" s="769"/>
      <c r="G29" s="769"/>
      <c r="H29" s="769"/>
      <c r="I29" s="769"/>
      <c r="J29" s="769"/>
      <c r="K29" s="769"/>
      <c r="L29" s="769"/>
      <c r="M29" s="769"/>
      <c r="N29" s="775"/>
      <c r="O29" s="771"/>
      <c r="P29" s="770"/>
      <c r="Q29" s="773"/>
      <c r="R29" s="770"/>
      <c r="S29" s="773"/>
      <c r="T29" s="770"/>
      <c r="U29" s="770"/>
      <c r="V29" s="771"/>
      <c r="W29" s="770"/>
      <c r="X29" s="772"/>
      <c r="Y29" s="338">
        <v>5</v>
      </c>
      <c r="Z29" s="338"/>
      <c r="AA29" s="338"/>
      <c r="AB29" s="338"/>
      <c r="AC29" s="340" t="str">
        <f t="shared" si="14"/>
        <v xml:space="preserve">  </v>
      </c>
      <c r="AD29" s="341"/>
      <c r="AE29" s="342"/>
      <c r="AF29" s="341"/>
      <c r="AG29" s="357"/>
      <c r="AH29" s="358"/>
      <c r="AI29" s="359"/>
      <c r="AJ29" s="358"/>
      <c r="AK29" s="358"/>
      <c r="AL29" s="358"/>
      <c r="AM29" s="360"/>
      <c r="AN29" s="361"/>
      <c r="AO29" s="359"/>
      <c r="AP29" s="361"/>
      <c r="AQ29" s="359"/>
      <c r="AR29" s="362"/>
      <c r="AS29" s="343"/>
      <c r="AT29" s="336"/>
      <c r="AU29" s="337"/>
      <c r="AV29" s="337"/>
      <c r="AW29" s="345"/>
      <c r="AX29" s="774"/>
      <c r="AY29" s="774"/>
      <c r="AZ29" s="774"/>
    </row>
    <row r="30" spans="1:52" x14ac:dyDescent="0.25">
      <c r="A30" s="768"/>
      <c r="B30" s="769"/>
      <c r="C30" s="769"/>
      <c r="D30" s="769"/>
      <c r="E30" s="769"/>
      <c r="F30" s="769"/>
      <c r="G30" s="769"/>
      <c r="H30" s="769"/>
      <c r="I30" s="769"/>
      <c r="J30" s="769"/>
      <c r="K30" s="769"/>
      <c r="L30" s="769"/>
      <c r="M30" s="769"/>
      <c r="N30" s="775"/>
      <c r="O30" s="771"/>
      <c r="P30" s="770"/>
      <c r="Q30" s="773"/>
      <c r="R30" s="770"/>
      <c r="S30" s="773"/>
      <c r="T30" s="770"/>
      <c r="U30" s="770"/>
      <c r="V30" s="771"/>
      <c r="W30" s="770"/>
      <c r="X30" s="772"/>
      <c r="Y30" s="338">
        <v>6</v>
      </c>
      <c r="Z30" s="338"/>
      <c r="AA30" s="338"/>
      <c r="AB30" s="338"/>
      <c r="AC30" s="340" t="str">
        <f t="shared" si="14"/>
        <v xml:space="preserve">  </v>
      </c>
      <c r="AD30" s="341"/>
      <c r="AE30" s="342"/>
      <c r="AF30" s="341"/>
      <c r="AG30" s="357"/>
      <c r="AH30" s="358"/>
      <c r="AI30" s="359"/>
      <c r="AJ30" s="358"/>
      <c r="AK30" s="358"/>
      <c r="AL30" s="358"/>
      <c r="AM30" s="360"/>
      <c r="AN30" s="361"/>
      <c r="AO30" s="359"/>
      <c r="AP30" s="361"/>
      <c r="AQ30" s="359"/>
      <c r="AR30" s="362"/>
      <c r="AS30" s="343"/>
      <c r="AT30" s="336"/>
      <c r="AU30" s="337"/>
      <c r="AV30" s="337"/>
      <c r="AW30" s="345"/>
      <c r="AX30" s="774"/>
      <c r="AY30" s="774"/>
      <c r="AZ30" s="774"/>
    </row>
    <row r="31" spans="1:52" x14ac:dyDescent="0.25">
      <c r="A31" s="768">
        <v>4</v>
      </c>
      <c r="B31" s="766"/>
      <c r="C31" s="766"/>
      <c r="D31" s="766"/>
      <c r="E31" s="766"/>
      <c r="F31" s="766"/>
      <c r="G31" s="766"/>
      <c r="H31" s="766"/>
      <c r="I31" s="766"/>
      <c r="J31" s="766"/>
      <c r="K31" s="766"/>
      <c r="L31" s="766"/>
      <c r="M31" s="779"/>
      <c r="N31" s="774"/>
      <c r="O31" s="771" t="str">
        <f>IF(N31&lt;=0,"",IF(N31&lt;=2,"Muy Baja",IF(N31&lt;=24,"Baja",IF(N31&lt;=500,"Media",IF(N31&lt;=5000,"Alta","Muy Alta")))))</f>
        <v/>
      </c>
      <c r="P31" s="770" t="str">
        <f>IF(O31="","",IF(O31="Muy Baja",0.2,IF(O31="Baja",0.4,IF(O31="Media",0.6,IF(O31="Alta",0.8,IF(O31="Muy Alta",1,))))))</f>
        <v/>
      </c>
      <c r="Q31" s="773"/>
      <c r="R31" s="770" t="str">
        <f>IF(Q31="","",IF(Q31="Afectación menor a 130 SMLMV",0.2,IF(Q31="Entre 130 y 650 SMLMV",0.4,IF(Q31="Entre 650 y 1300 SMLMV",0.6,IF(Q31="Entre 1300 y 6500 SMLMV",0.8,IF(Q31="Mayor a 6500 SMLMV",1,))))))</f>
        <v/>
      </c>
      <c r="S31" s="773"/>
      <c r="T31" s="770" t="str">
        <f>IF(S31="","",IF(S31="El riesgo afecta la imagen de alguna área de la organización",0.2,IF(S31="El riesgo afecta la imagen de la entidad internamente, de conocimiento general, nivel interno, de junta dircetiva y accionistas y/o de provedores",0.4,IF(S31="El riesgo afecta la imagen de la entidad con algunos usuarios de relevancia frente al logro de los objetivos",0.6,IF(S31="El riesgo afecta la imagen de de la entidad con efecto publicitario sostenido a nivel de sector administrativo, nivel departamental o municipal",0.8,IF(S31="El riesgo afecta la imagen de la entidad a nivel nacional, con efecto publicitarios sostenible a nivel país",1,))))))</f>
        <v/>
      </c>
      <c r="U31" s="770">
        <f>MAX(R31,T31)</f>
        <v>0</v>
      </c>
      <c r="V31" s="771" t="str">
        <f>IF(U31&lt;=0,"",IF(U31=0.2,"Leve",IF(U31=0.4,"Menor",IF(U31=0.6,"Moderado",IF(U31=0.8,"Mayor",IF(U31=1,"Catrastrófico"))))))</f>
        <v/>
      </c>
      <c r="W31" s="770"/>
      <c r="X31" s="772" t="str">
        <f>IF(OR(AND(O31="Muy Baja",V31="Leve"),AND(O31="Muy Baja",V31="Menor"),AND(O31="Baja",V31="Leve")),"Bajo",IF(OR(AND(O31="Muy baja",V31="Moderado"),AND(O31="Baja",V31="Menor"),AND(O31="Baja",V31="Moderado"),AND(O31="Media",V31="Leve"),AND(O31="Media",V31="Menor"),AND(O31="Media",V31="Moderado"),AND(O31="Alta",V31="Leve"),AND(O31="Alta",V31="Menor")),"Moderado",IF(OR(AND(O31="Muy Baja",V31="Mayor"),AND(O31="Baja",V31="Mayor"),AND(O31="Media",V31="Mayor"),AND(O31="Alta",V31="Moderado"),AND(O31="Alta",V31="Mayor"),AND(O31="Muy Alta",V31="Leve"),AND(O31="Muy Alta",V31="Menor"),AND(O31="Muy Alta",V31="Moderado"),AND(O31="Muy Alta",V31="Mayor")),"Alto",IF(OR(AND(O31="Muy Baja",V31="Catastrófico"),AND(O31="Baja",V31="Catastrófico"),AND(O31="Media",V31="Catastrófico"),AND(O31="Alta",V31="Catastrófico"),AND(O31="Muy Alta",V31="Catastrófico")),"Extremo",""))))</f>
        <v/>
      </c>
      <c r="Y31" s="338">
        <v>1</v>
      </c>
      <c r="Z31" s="338"/>
      <c r="AA31" s="338"/>
      <c r="AB31" s="338"/>
      <c r="AC31" s="340" t="str">
        <f t="shared" si="14"/>
        <v xml:space="preserve">  </v>
      </c>
      <c r="AD31" s="341"/>
      <c r="AE31" s="342"/>
      <c r="AF31" s="341"/>
      <c r="AG31" s="357"/>
      <c r="AH31" s="358"/>
      <c r="AI31" s="359"/>
      <c r="AJ31" s="358"/>
      <c r="AK31" s="358"/>
      <c r="AL31" s="358"/>
      <c r="AM31" s="360"/>
      <c r="AN31" s="361"/>
      <c r="AO31" s="359"/>
      <c r="AP31" s="361"/>
      <c r="AQ31" s="359"/>
      <c r="AR31" s="362"/>
      <c r="AS31" s="343"/>
      <c r="AT31" s="336"/>
      <c r="AU31" s="337"/>
      <c r="AV31" s="337"/>
      <c r="AW31" s="345"/>
      <c r="AX31" s="774"/>
      <c r="AY31" s="774"/>
      <c r="AZ31" s="774"/>
    </row>
    <row r="32" spans="1:52" x14ac:dyDescent="0.25">
      <c r="A32" s="768"/>
      <c r="B32" s="766"/>
      <c r="C32" s="766"/>
      <c r="D32" s="766"/>
      <c r="E32" s="766"/>
      <c r="F32" s="766"/>
      <c r="G32" s="766"/>
      <c r="H32" s="766"/>
      <c r="I32" s="766"/>
      <c r="J32" s="766"/>
      <c r="K32" s="766"/>
      <c r="L32" s="766"/>
      <c r="M32" s="779"/>
      <c r="N32" s="774"/>
      <c r="O32" s="771"/>
      <c r="P32" s="770"/>
      <c r="Q32" s="773"/>
      <c r="R32" s="770"/>
      <c r="S32" s="773"/>
      <c r="T32" s="770"/>
      <c r="U32" s="770"/>
      <c r="V32" s="771"/>
      <c r="W32" s="770"/>
      <c r="X32" s="772"/>
      <c r="Y32" s="338">
        <v>2</v>
      </c>
      <c r="Z32" s="338"/>
      <c r="AA32" s="338"/>
      <c r="AB32" s="338"/>
      <c r="AC32" s="340" t="str">
        <f t="shared" si="14"/>
        <v xml:space="preserve">  </v>
      </c>
      <c r="AD32" s="341"/>
      <c r="AE32" s="342"/>
      <c r="AF32" s="341"/>
      <c r="AG32" s="357"/>
      <c r="AH32" s="358"/>
      <c r="AI32" s="359"/>
      <c r="AJ32" s="358"/>
      <c r="AK32" s="358"/>
      <c r="AL32" s="358"/>
      <c r="AM32" s="360"/>
      <c r="AN32" s="361"/>
      <c r="AO32" s="359"/>
      <c r="AP32" s="361"/>
      <c r="AQ32" s="359"/>
      <c r="AR32" s="362"/>
      <c r="AS32" s="343"/>
      <c r="AT32" s="336"/>
      <c r="AU32" s="337"/>
      <c r="AV32" s="337"/>
      <c r="AW32" s="345"/>
      <c r="AX32" s="774"/>
      <c r="AY32" s="774"/>
      <c r="AZ32" s="774"/>
    </row>
    <row r="33" spans="1:52" x14ac:dyDescent="0.25">
      <c r="A33" s="768"/>
      <c r="B33" s="766"/>
      <c r="C33" s="766"/>
      <c r="D33" s="766"/>
      <c r="E33" s="766"/>
      <c r="F33" s="766"/>
      <c r="G33" s="766"/>
      <c r="H33" s="766"/>
      <c r="I33" s="766"/>
      <c r="J33" s="766"/>
      <c r="K33" s="766"/>
      <c r="L33" s="766"/>
      <c r="M33" s="779"/>
      <c r="N33" s="774"/>
      <c r="O33" s="771"/>
      <c r="P33" s="770"/>
      <c r="Q33" s="773"/>
      <c r="R33" s="770"/>
      <c r="S33" s="773"/>
      <c r="T33" s="770"/>
      <c r="U33" s="770"/>
      <c r="V33" s="771"/>
      <c r="W33" s="770"/>
      <c r="X33" s="772"/>
      <c r="Y33" s="338">
        <v>3</v>
      </c>
      <c r="Z33" s="338"/>
      <c r="AA33" s="338"/>
      <c r="AB33" s="338"/>
      <c r="AC33" s="340" t="str">
        <f t="shared" si="14"/>
        <v xml:space="preserve">  </v>
      </c>
      <c r="AD33" s="341"/>
      <c r="AE33" s="342"/>
      <c r="AF33" s="341"/>
      <c r="AG33" s="357"/>
      <c r="AH33" s="358"/>
      <c r="AI33" s="359"/>
      <c r="AJ33" s="358"/>
      <c r="AK33" s="358"/>
      <c r="AL33" s="358"/>
      <c r="AM33" s="360"/>
      <c r="AN33" s="361"/>
      <c r="AO33" s="359"/>
      <c r="AP33" s="361"/>
      <c r="AQ33" s="359"/>
      <c r="AR33" s="362"/>
      <c r="AS33" s="343"/>
      <c r="AT33" s="336"/>
      <c r="AU33" s="337"/>
      <c r="AV33" s="337"/>
      <c r="AW33" s="345"/>
      <c r="AX33" s="774"/>
      <c r="AY33" s="774"/>
      <c r="AZ33" s="774"/>
    </row>
    <row r="34" spans="1:52" x14ac:dyDescent="0.25">
      <c r="A34" s="768"/>
      <c r="B34" s="766"/>
      <c r="C34" s="766"/>
      <c r="D34" s="766"/>
      <c r="E34" s="766"/>
      <c r="F34" s="766"/>
      <c r="G34" s="766"/>
      <c r="H34" s="766"/>
      <c r="I34" s="766"/>
      <c r="J34" s="766"/>
      <c r="K34" s="766"/>
      <c r="L34" s="766"/>
      <c r="M34" s="779"/>
      <c r="N34" s="774"/>
      <c r="O34" s="771"/>
      <c r="P34" s="770"/>
      <c r="Q34" s="773"/>
      <c r="R34" s="770"/>
      <c r="S34" s="773"/>
      <c r="T34" s="770"/>
      <c r="U34" s="770"/>
      <c r="V34" s="771"/>
      <c r="W34" s="770"/>
      <c r="X34" s="772"/>
      <c r="Y34" s="338">
        <v>4</v>
      </c>
      <c r="Z34" s="338"/>
      <c r="AA34" s="338"/>
      <c r="AB34" s="338"/>
      <c r="AC34" s="340" t="str">
        <f t="shared" si="14"/>
        <v xml:space="preserve">  </v>
      </c>
      <c r="AD34" s="341"/>
      <c r="AE34" s="342"/>
      <c r="AF34" s="341"/>
      <c r="AG34" s="357"/>
      <c r="AH34" s="358"/>
      <c r="AI34" s="359"/>
      <c r="AJ34" s="358"/>
      <c r="AK34" s="358"/>
      <c r="AL34" s="358"/>
      <c r="AM34" s="360"/>
      <c r="AN34" s="361"/>
      <c r="AO34" s="359"/>
      <c r="AP34" s="361"/>
      <c r="AQ34" s="359"/>
      <c r="AR34" s="362"/>
      <c r="AS34" s="343"/>
      <c r="AT34" s="336"/>
      <c r="AU34" s="337"/>
      <c r="AV34" s="337"/>
      <c r="AW34" s="345"/>
      <c r="AX34" s="774"/>
      <c r="AY34" s="774"/>
      <c r="AZ34" s="774"/>
    </row>
    <row r="35" spans="1:52" x14ac:dyDescent="0.25">
      <c r="A35" s="768"/>
      <c r="B35" s="766"/>
      <c r="C35" s="766"/>
      <c r="D35" s="766"/>
      <c r="E35" s="766"/>
      <c r="F35" s="766"/>
      <c r="G35" s="766"/>
      <c r="H35" s="766"/>
      <c r="I35" s="766"/>
      <c r="J35" s="766"/>
      <c r="K35" s="766"/>
      <c r="L35" s="766"/>
      <c r="M35" s="779"/>
      <c r="N35" s="774"/>
      <c r="O35" s="771"/>
      <c r="P35" s="770"/>
      <c r="Q35" s="773"/>
      <c r="R35" s="770"/>
      <c r="S35" s="773"/>
      <c r="T35" s="770"/>
      <c r="U35" s="770"/>
      <c r="V35" s="771"/>
      <c r="W35" s="770"/>
      <c r="X35" s="772"/>
      <c r="Y35" s="338">
        <v>5</v>
      </c>
      <c r="Z35" s="338"/>
      <c r="AA35" s="338"/>
      <c r="AB35" s="338"/>
      <c r="AC35" s="340" t="str">
        <f t="shared" si="14"/>
        <v xml:space="preserve">  </v>
      </c>
      <c r="AD35" s="341"/>
      <c r="AE35" s="342"/>
      <c r="AF35" s="341"/>
      <c r="AG35" s="357"/>
      <c r="AH35" s="358"/>
      <c r="AI35" s="359"/>
      <c r="AJ35" s="358"/>
      <c r="AK35" s="358"/>
      <c r="AL35" s="358"/>
      <c r="AM35" s="360"/>
      <c r="AN35" s="361"/>
      <c r="AO35" s="359"/>
      <c r="AP35" s="361"/>
      <c r="AQ35" s="359"/>
      <c r="AR35" s="362"/>
      <c r="AS35" s="343"/>
      <c r="AT35" s="336"/>
      <c r="AU35" s="337"/>
      <c r="AV35" s="337"/>
      <c r="AW35" s="345"/>
      <c r="AX35" s="774"/>
      <c r="AY35" s="774"/>
      <c r="AZ35" s="774"/>
    </row>
    <row r="36" spans="1:52" x14ac:dyDescent="0.25">
      <c r="A36" s="768"/>
      <c r="B36" s="766"/>
      <c r="C36" s="766"/>
      <c r="D36" s="766"/>
      <c r="E36" s="766"/>
      <c r="F36" s="766"/>
      <c r="G36" s="766"/>
      <c r="H36" s="766"/>
      <c r="I36" s="766"/>
      <c r="J36" s="766"/>
      <c r="K36" s="766"/>
      <c r="L36" s="766"/>
      <c r="M36" s="779"/>
      <c r="N36" s="774"/>
      <c r="O36" s="771"/>
      <c r="P36" s="770"/>
      <c r="Q36" s="773"/>
      <c r="R36" s="770"/>
      <c r="S36" s="773"/>
      <c r="T36" s="770"/>
      <c r="U36" s="770"/>
      <c r="V36" s="771"/>
      <c r="W36" s="770"/>
      <c r="X36" s="772"/>
      <c r="Y36" s="338">
        <v>6</v>
      </c>
      <c r="Z36" s="338"/>
      <c r="AA36" s="338"/>
      <c r="AB36" s="338"/>
      <c r="AC36" s="340" t="str">
        <f t="shared" si="14"/>
        <v xml:space="preserve">  </v>
      </c>
      <c r="AD36" s="341"/>
      <c r="AE36" s="342"/>
      <c r="AF36" s="341"/>
      <c r="AG36" s="357"/>
      <c r="AH36" s="358"/>
      <c r="AI36" s="359"/>
      <c r="AJ36" s="358"/>
      <c r="AK36" s="358"/>
      <c r="AL36" s="358"/>
      <c r="AM36" s="360"/>
      <c r="AN36" s="361"/>
      <c r="AO36" s="359"/>
      <c r="AP36" s="361"/>
      <c r="AQ36" s="359"/>
      <c r="AR36" s="362"/>
      <c r="AS36" s="343"/>
      <c r="AT36" s="336"/>
      <c r="AU36" s="337"/>
      <c r="AV36" s="337"/>
      <c r="AW36" s="345"/>
      <c r="AX36" s="774"/>
      <c r="AY36" s="774"/>
      <c r="AZ36" s="774"/>
    </row>
    <row r="37" spans="1:52" x14ac:dyDescent="0.25">
      <c r="A37" s="768">
        <v>5</v>
      </c>
      <c r="B37" s="766"/>
      <c r="C37" s="766"/>
      <c r="D37" s="766"/>
      <c r="E37" s="766"/>
      <c r="F37" s="766"/>
      <c r="G37" s="766"/>
      <c r="H37" s="766"/>
      <c r="I37" s="766"/>
      <c r="J37" s="766"/>
      <c r="K37" s="766"/>
      <c r="L37" s="766"/>
      <c r="M37" s="779"/>
      <c r="N37" s="774"/>
      <c r="O37" s="771" t="str">
        <f>IF(N37&lt;=0,"",IF(N37&lt;=2,"Muy Baja",IF(N37&lt;=24,"Baja",IF(N37&lt;=500,"Media",IF(N37&lt;=5000,"Alta","Muy Alta")))))</f>
        <v/>
      </c>
      <c r="P37" s="770" t="str">
        <f>IF(O37="","",IF(O37="Muy Baja",0.2,IF(O37="Baja",0.4,IF(O37="Media",0.6,IF(O37="Alta",0.8,IF(O37="Muy Alta",1,))))))</f>
        <v/>
      </c>
      <c r="Q37" s="773"/>
      <c r="R37" s="770" t="str">
        <f>IF(Q37="","",IF(Q37="Afectación menor a 130 SMLMV",0.2,IF(Q37="Entre 130 y 650 SMLMV",0.4,IF(Q37="Entre 650 y 1300 SMLMV",0.6,IF(Q37="Entre 1300 y 6500 SMLMV",0.8,IF(Q37="Mayor a 6500 SMLMV",1,))))))</f>
        <v/>
      </c>
      <c r="S37" s="773"/>
      <c r="T37" s="770" t="str">
        <f>IF(S37="","",IF(S37="El riesgo afecta la imagen de alguna área de la organización",0.2,IF(S37="El riesgo afecta la imagen de la entidad internamente, de conocimiento general, nivel interno, de junta dircetiva y accionistas y/o de provedores",0.4,IF(S37="El riesgo afecta la imagen de la entidad con algunos usuarios de relevancia frente al logro de los objetivos",0.6,IF(S37="El riesgo afecta la imagen de de la entidad con efecto publicitario sostenido a nivel de sector administrativo, nivel departamental o municipal",0.8,IF(S37="El riesgo afecta la imagen de la entidad a nivel nacional, con efecto publicitarios sostenible a nivel país",1,))))))</f>
        <v/>
      </c>
      <c r="U37" s="770">
        <f>MAX(R37,T37)</f>
        <v>0</v>
      </c>
      <c r="V37" s="771" t="str">
        <f>IF(U37&lt;=0,"",IF(U37=0.2,"Leve",IF(U37=0.4,"Menor",IF(U37=0.6,"Moderado",IF(U37=0.8,"Mayor",IF(U37=1,"Catrastrófico"))))))</f>
        <v/>
      </c>
      <c r="W37" s="770"/>
      <c r="X37" s="772" t="str">
        <f>IF(OR(AND(O37="Muy Baja",V37="Leve"),AND(O37="Muy Baja",V37="Menor"),AND(O37="Baja",V37="Leve")),"Bajo",IF(OR(AND(O37="Muy baja",V37="Moderado"),AND(O37="Baja",V37="Menor"),AND(O37="Baja",V37="Moderado"),AND(O37="Media",V37="Leve"),AND(O37="Media",V37="Menor"),AND(O37="Media",V37="Moderado"),AND(O37="Alta",V37="Leve"),AND(O37="Alta",V37="Menor")),"Moderado",IF(OR(AND(O37="Muy Baja",V37="Mayor"),AND(O37="Baja",V37="Mayor"),AND(O37="Media",V37="Mayor"),AND(O37="Alta",V37="Moderado"),AND(O37="Alta",V37="Mayor"),AND(O37="Muy Alta",V37="Leve"),AND(O37="Muy Alta",V37="Menor"),AND(O37="Muy Alta",V37="Moderado"),AND(O37="Muy Alta",V37="Mayor")),"Alto",IF(OR(AND(O37="Muy Baja",V37="Catastrófico"),AND(O37="Baja",V37="Catastrófico"),AND(O37="Media",V37="Catastrófico"),AND(O37="Alta",V37="Catastrófico"),AND(O37="Muy Alta",V37="Catastrófico")),"Extremo",""))))</f>
        <v/>
      </c>
      <c r="Y37" s="338">
        <v>1</v>
      </c>
      <c r="Z37" s="338"/>
      <c r="AA37" s="338"/>
      <c r="AB37" s="338"/>
      <c r="AC37" s="340" t="str">
        <f t="shared" si="14"/>
        <v xml:space="preserve">  </v>
      </c>
      <c r="AD37" s="341"/>
      <c r="AE37" s="342"/>
      <c r="AF37" s="341"/>
      <c r="AG37" s="357"/>
      <c r="AH37" s="358"/>
      <c r="AI37" s="359"/>
      <c r="AJ37" s="358"/>
      <c r="AK37" s="358"/>
      <c r="AL37" s="358"/>
      <c r="AM37" s="360"/>
      <c r="AN37" s="361"/>
      <c r="AO37" s="359"/>
      <c r="AP37" s="361"/>
      <c r="AQ37" s="359"/>
      <c r="AR37" s="362"/>
      <c r="AS37" s="343"/>
      <c r="AT37" s="336"/>
      <c r="AU37" s="337"/>
      <c r="AV37" s="337"/>
      <c r="AW37" s="345"/>
      <c r="AX37" s="774"/>
      <c r="AY37" s="774"/>
      <c r="AZ37" s="774"/>
    </row>
    <row r="38" spans="1:52" x14ac:dyDescent="0.25">
      <c r="A38" s="768"/>
      <c r="B38" s="766"/>
      <c r="C38" s="766"/>
      <c r="D38" s="766"/>
      <c r="E38" s="766"/>
      <c r="F38" s="766"/>
      <c r="G38" s="766"/>
      <c r="H38" s="766"/>
      <c r="I38" s="766"/>
      <c r="J38" s="766"/>
      <c r="K38" s="766"/>
      <c r="L38" s="766"/>
      <c r="M38" s="779"/>
      <c r="N38" s="774"/>
      <c r="O38" s="771"/>
      <c r="P38" s="770"/>
      <c r="Q38" s="773"/>
      <c r="R38" s="770"/>
      <c r="S38" s="773"/>
      <c r="T38" s="770"/>
      <c r="U38" s="770"/>
      <c r="V38" s="771"/>
      <c r="W38" s="770"/>
      <c r="X38" s="772"/>
      <c r="Y38" s="338">
        <v>2</v>
      </c>
      <c r="Z38" s="338"/>
      <c r="AA38" s="338"/>
      <c r="AB38" s="338"/>
      <c r="AC38" s="340" t="str">
        <f t="shared" si="14"/>
        <v xml:space="preserve">  </v>
      </c>
      <c r="AD38" s="341"/>
      <c r="AE38" s="342"/>
      <c r="AF38" s="341"/>
      <c r="AG38" s="357"/>
      <c r="AH38" s="358"/>
      <c r="AI38" s="359"/>
      <c r="AJ38" s="358"/>
      <c r="AK38" s="358"/>
      <c r="AL38" s="358"/>
      <c r="AM38" s="360"/>
      <c r="AN38" s="361"/>
      <c r="AO38" s="359"/>
      <c r="AP38" s="361"/>
      <c r="AQ38" s="359"/>
      <c r="AR38" s="362"/>
      <c r="AS38" s="343"/>
      <c r="AT38" s="336"/>
      <c r="AU38" s="337"/>
      <c r="AV38" s="337"/>
      <c r="AW38" s="345"/>
      <c r="AX38" s="774"/>
      <c r="AY38" s="774"/>
      <c r="AZ38" s="774"/>
    </row>
    <row r="39" spans="1:52" x14ac:dyDescent="0.25">
      <c r="A39" s="768"/>
      <c r="B39" s="766"/>
      <c r="C39" s="766"/>
      <c r="D39" s="766"/>
      <c r="E39" s="766"/>
      <c r="F39" s="766"/>
      <c r="G39" s="766"/>
      <c r="H39" s="766"/>
      <c r="I39" s="766"/>
      <c r="J39" s="766"/>
      <c r="K39" s="766"/>
      <c r="L39" s="766"/>
      <c r="M39" s="779"/>
      <c r="N39" s="774"/>
      <c r="O39" s="771"/>
      <c r="P39" s="770"/>
      <c r="Q39" s="773"/>
      <c r="R39" s="770"/>
      <c r="S39" s="773"/>
      <c r="T39" s="770"/>
      <c r="U39" s="770"/>
      <c r="V39" s="771"/>
      <c r="W39" s="770"/>
      <c r="X39" s="772"/>
      <c r="Y39" s="338">
        <v>3</v>
      </c>
      <c r="Z39" s="338"/>
      <c r="AA39" s="338"/>
      <c r="AB39" s="338"/>
      <c r="AC39" s="340" t="str">
        <f t="shared" si="14"/>
        <v xml:space="preserve">  </v>
      </c>
      <c r="AD39" s="341"/>
      <c r="AE39" s="342"/>
      <c r="AF39" s="341"/>
      <c r="AG39" s="357"/>
      <c r="AH39" s="358"/>
      <c r="AI39" s="359"/>
      <c r="AJ39" s="358"/>
      <c r="AK39" s="358"/>
      <c r="AL39" s="358"/>
      <c r="AM39" s="360"/>
      <c r="AN39" s="361"/>
      <c r="AO39" s="359"/>
      <c r="AP39" s="361"/>
      <c r="AQ39" s="359"/>
      <c r="AR39" s="362"/>
      <c r="AS39" s="343"/>
      <c r="AT39" s="336"/>
      <c r="AU39" s="337"/>
      <c r="AV39" s="337"/>
      <c r="AW39" s="345"/>
      <c r="AX39" s="774"/>
      <c r="AY39" s="774"/>
      <c r="AZ39" s="774"/>
    </row>
    <row r="40" spans="1:52" x14ac:dyDescent="0.25">
      <c r="A40" s="768"/>
      <c r="B40" s="766"/>
      <c r="C40" s="766"/>
      <c r="D40" s="766"/>
      <c r="E40" s="766"/>
      <c r="F40" s="766"/>
      <c r="G40" s="766"/>
      <c r="H40" s="766"/>
      <c r="I40" s="766"/>
      <c r="J40" s="766"/>
      <c r="K40" s="766"/>
      <c r="L40" s="766"/>
      <c r="M40" s="779"/>
      <c r="N40" s="774"/>
      <c r="O40" s="771"/>
      <c r="P40" s="770"/>
      <c r="Q40" s="773"/>
      <c r="R40" s="770"/>
      <c r="S40" s="773"/>
      <c r="T40" s="770"/>
      <c r="U40" s="770"/>
      <c r="V40" s="771"/>
      <c r="W40" s="770"/>
      <c r="X40" s="772"/>
      <c r="Y40" s="338">
        <v>4</v>
      </c>
      <c r="Z40" s="338"/>
      <c r="AA40" s="338"/>
      <c r="AB40" s="338"/>
      <c r="AC40" s="340" t="str">
        <f t="shared" si="14"/>
        <v xml:space="preserve">  </v>
      </c>
      <c r="AD40" s="341"/>
      <c r="AE40" s="342"/>
      <c r="AF40" s="341"/>
      <c r="AG40" s="357"/>
      <c r="AH40" s="358"/>
      <c r="AI40" s="359"/>
      <c r="AJ40" s="358"/>
      <c r="AK40" s="358"/>
      <c r="AL40" s="358"/>
      <c r="AM40" s="360"/>
      <c r="AN40" s="361"/>
      <c r="AO40" s="359"/>
      <c r="AP40" s="361"/>
      <c r="AQ40" s="359"/>
      <c r="AR40" s="362"/>
      <c r="AS40" s="343"/>
      <c r="AT40" s="336"/>
      <c r="AU40" s="337"/>
      <c r="AV40" s="337"/>
      <c r="AW40" s="345"/>
      <c r="AX40" s="774"/>
      <c r="AY40" s="774"/>
      <c r="AZ40" s="774"/>
    </row>
    <row r="41" spans="1:52" x14ac:dyDescent="0.25">
      <c r="A41" s="768"/>
      <c r="B41" s="766"/>
      <c r="C41" s="766"/>
      <c r="D41" s="766"/>
      <c r="E41" s="766"/>
      <c r="F41" s="766"/>
      <c r="G41" s="766"/>
      <c r="H41" s="766"/>
      <c r="I41" s="766"/>
      <c r="J41" s="766"/>
      <c r="K41" s="766"/>
      <c r="L41" s="766"/>
      <c r="M41" s="779"/>
      <c r="N41" s="774"/>
      <c r="O41" s="771"/>
      <c r="P41" s="770"/>
      <c r="Q41" s="773"/>
      <c r="R41" s="770"/>
      <c r="S41" s="773"/>
      <c r="T41" s="770"/>
      <c r="U41" s="770"/>
      <c r="V41" s="771"/>
      <c r="W41" s="770"/>
      <c r="X41" s="772"/>
      <c r="Y41" s="338">
        <v>5</v>
      </c>
      <c r="Z41" s="338"/>
      <c r="AA41" s="338"/>
      <c r="AB41" s="338"/>
      <c r="AC41" s="340" t="str">
        <f t="shared" si="14"/>
        <v xml:space="preserve">  </v>
      </c>
      <c r="AD41" s="341"/>
      <c r="AE41" s="342"/>
      <c r="AF41" s="341"/>
      <c r="AG41" s="357"/>
      <c r="AH41" s="358"/>
      <c r="AI41" s="359"/>
      <c r="AJ41" s="358"/>
      <c r="AK41" s="358"/>
      <c r="AL41" s="358"/>
      <c r="AM41" s="360"/>
      <c r="AN41" s="361"/>
      <c r="AO41" s="359"/>
      <c r="AP41" s="361"/>
      <c r="AQ41" s="359"/>
      <c r="AR41" s="362"/>
      <c r="AS41" s="343"/>
      <c r="AT41" s="336"/>
      <c r="AU41" s="337"/>
      <c r="AV41" s="337"/>
      <c r="AW41" s="345"/>
      <c r="AX41" s="774"/>
      <c r="AY41" s="774"/>
      <c r="AZ41" s="774"/>
    </row>
    <row r="42" spans="1:52" x14ac:dyDescent="0.25">
      <c r="A42" s="768"/>
      <c r="B42" s="766"/>
      <c r="C42" s="766"/>
      <c r="D42" s="766"/>
      <c r="E42" s="766"/>
      <c r="F42" s="766"/>
      <c r="G42" s="766"/>
      <c r="H42" s="766"/>
      <c r="I42" s="766"/>
      <c r="J42" s="766"/>
      <c r="K42" s="766"/>
      <c r="L42" s="766"/>
      <c r="M42" s="779"/>
      <c r="N42" s="774"/>
      <c r="O42" s="771"/>
      <c r="P42" s="770"/>
      <c r="Q42" s="773"/>
      <c r="R42" s="770"/>
      <c r="S42" s="773"/>
      <c r="T42" s="770"/>
      <c r="U42" s="770"/>
      <c r="V42" s="771"/>
      <c r="W42" s="770"/>
      <c r="X42" s="772"/>
      <c r="Y42" s="338">
        <v>6</v>
      </c>
      <c r="Z42" s="338"/>
      <c r="AA42" s="338"/>
      <c r="AB42" s="338"/>
      <c r="AC42" s="340" t="str">
        <f t="shared" si="14"/>
        <v xml:space="preserve">  </v>
      </c>
      <c r="AD42" s="341"/>
      <c r="AE42" s="342"/>
      <c r="AF42" s="341"/>
      <c r="AG42" s="357"/>
      <c r="AH42" s="358"/>
      <c r="AI42" s="359"/>
      <c r="AJ42" s="358"/>
      <c r="AK42" s="358"/>
      <c r="AL42" s="358"/>
      <c r="AM42" s="360"/>
      <c r="AN42" s="361"/>
      <c r="AO42" s="359"/>
      <c r="AP42" s="361"/>
      <c r="AQ42" s="359"/>
      <c r="AR42" s="362"/>
      <c r="AS42" s="343"/>
      <c r="AT42" s="336"/>
      <c r="AU42" s="337"/>
      <c r="AV42" s="337"/>
      <c r="AW42" s="345"/>
      <c r="AX42" s="774"/>
      <c r="AY42" s="774"/>
      <c r="AZ42" s="774"/>
    </row>
    <row r="43" spans="1:52" x14ac:dyDescent="0.25">
      <c r="A43" s="768">
        <v>6</v>
      </c>
      <c r="B43" s="766"/>
      <c r="C43" s="766"/>
      <c r="D43" s="766"/>
      <c r="E43" s="766"/>
      <c r="F43" s="766"/>
      <c r="G43" s="766"/>
      <c r="H43" s="766"/>
      <c r="I43" s="766"/>
      <c r="J43" s="766"/>
      <c r="K43" s="766"/>
      <c r="L43" s="766"/>
      <c r="M43" s="779"/>
      <c r="N43" s="774"/>
      <c r="O43" s="771" t="str">
        <f>IF(N43&lt;=0,"",IF(N43&lt;=2,"Muy Baja",IF(N43&lt;=24,"Baja",IF(N43&lt;=500,"Media",IF(N43&lt;=5000,"Alta","Muy Alta")))))</f>
        <v/>
      </c>
      <c r="P43" s="770" t="str">
        <f>IF(O43="","",IF(O43="Muy Baja",0.2,IF(O43="Baja",0.4,IF(O43="Media",0.6,IF(O43="Alta",0.8,IF(O43="Muy Alta",1,))))))</f>
        <v/>
      </c>
      <c r="Q43" s="773"/>
      <c r="R43" s="770" t="str">
        <f>IF(Q43="","",IF(Q43="Afectación menor a 130 SMLMV",0.2,IF(Q43="Entre 130 y 650 SMLMV",0.4,IF(Q43="Entre 650 y 1300 SMLMV",0.6,IF(Q43="Entre 1300 y 6500 SMLMV",0.8,IF(Q43="Mayor a 6500 SMLMV",1,))))))</f>
        <v/>
      </c>
      <c r="S43" s="773"/>
      <c r="T43" s="770" t="str">
        <f>IF(S43="","",IF(S43="El riesgo afecta la imagen de alguna área de la organización",0.2,IF(S43="El riesgo afecta la imagen de la entidad internamente, de conocimiento general, nivel interno, de junta dircetiva y accionistas y/o de provedores",0.4,IF(S43="El riesgo afecta la imagen de la entidad con algunos usuarios de relevancia frente al logro de los objetivos",0.6,IF(S43="El riesgo afecta la imagen de de la entidad con efecto publicitario sostenido a nivel de sector administrativo, nivel departamental o municipal",0.8,IF(S43="El riesgo afecta la imagen de la entidad a nivel nacional, con efecto publicitarios sostenible a nivel país",1,))))))</f>
        <v/>
      </c>
      <c r="U43" s="770">
        <f>MAX(R43,T43)</f>
        <v>0</v>
      </c>
      <c r="V43" s="771" t="str">
        <f>IF(U43&lt;=0,"",IF(U43=0.2,"Leve",IF(U43=0.4,"Menor",IF(U43=0.6,"Moderado",IF(U43=0.8,"Mayor",IF(U43=1,"Catrastrófico"))))))</f>
        <v/>
      </c>
      <c r="W43" s="770"/>
      <c r="X43" s="772" t="str">
        <f>IF(OR(AND(O43="Muy Baja",V43="Leve"),AND(O43="Muy Baja",V43="Menor"),AND(O43="Baja",V43="Leve")),"Bajo",IF(OR(AND(O43="Muy baja",V43="Moderado"),AND(O43="Baja",V43="Menor"),AND(O43="Baja",V43="Moderado"),AND(O43="Media",V43="Leve"),AND(O43="Media",V43="Menor"),AND(O43="Media",V43="Moderado"),AND(O43="Alta",V43="Leve"),AND(O43="Alta",V43="Menor")),"Moderado",IF(OR(AND(O43="Muy Baja",V43="Mayor"),AND(O43="Baja",V43="Mayor"),AND(O43="Media",V43="Mayor"),AND(O43="Alta",V43="Moderado"),AND(O43="Alta",V43="Mayor"),AND(O43="Muy Alta",V43="Leve"),AND(O43="Muy Alta",V43="Menor"),AND(O43="Muy Alta",V43="Moderado"),AND(O43="Muy Alta",V43="Mayor")),"Alto",IF(OR(AND(O43="Muy Baja",V43="Catastrófico"),AND(O43="Baja",V43="Catastrófico"),AND(O43="Media",V43="Catastrófico"),AND(O43="Alta",V43="Catastrófico"),AND(O43="Muy Alta",V43="Catastrófico")),"Extremo",""))))</f>
        <v/>
      </c>
      <c r="Y43" s="338">
        <v>1</v>
      </c>
      <c r="Z43" s="338"/>
      <c r="AA43" s="338"/>
      <c r="AB43" s="338"/>
      <c r="AC43" s="340" t="str">
        <f t="shared" si="14"/>
        <v xml:space="preserve">  </v>
      </c>
      <c r="AD43" s="341"/>
      <c r="AE43" s="342"/>
      <c r="AF43" s="341"/>
      <c r="AG43" s="357"/>
      <c r="AH43" s="358"/>
      <c r="AI43" s="359"/>
      <c r="AJ43" s="358"/>
      <c r="AK43" s="358"/>
      <c r="AL43" s="358"/>
      <c r="AM43" s="360"/>
      <c r="AN43" s="361"/>
      <c r="AO43" s="359"/>
      <c r="AP43" s="361"/>
      <c r="AQ43" s="359"/>
      <c r="AR43" s="362"/>
      <c r="AS43" s="344"/>
      <c r="AT43" s="336"/>
      <c r="AU43" s="337"/>
      <c r="AV43" s="337"/>
      <c r="AW43" s="345"/>
      <c r="AX43" s="774"/>
      <c r="AY43" s="774"/>
      <c r="AZ43" s="774"/>
    </row>
    <row r="44" spans="1:52" x14ac:dyDescent="0.25">
      <c r="A44" s="768"/>
      <c r="B44" s="766"/>
      <c r="C44" s="766"/>
      <c r="D44" s="766"/>
      <c r="E44" s="766"/>
      <c r="F44" s="766"/>
      <c r="G44" s="766"/>
      <c r="H44" s="766"/>
      <c r="I44" s="766"/>
      <c r="J44" s="766"/>
      <c r="K44" s="766"/>
      <c r="L44" s="766"/>
      <c r="M44" s="779"/>
      <c r="N44" s="774"/>
      <c r="O44" s="771"/>
      <c r="P44" s="770"/>
      <c r="Q44" s="773"/>
      <c r="R44" s="770"/>
      <c r="S44" s="773"/>
      <c r="T44" s="770"/>
      <c r="U44" s="770"/>
      <c r="V44" s="771"/>
      <c r="W44" s="770"/>
      <c r="X44" s="772"/>
      <c r="Y44" s="338">
        <v>2</v>
      </c>
      <c r="Z44" s="338"/>
      <c r="AA44" s="338"/>
      <c r="AB44" s="338"/>
      <c r="AC44" s="340" t="str">
        <f t="shared" si="14"/>
        <v xml:space="preserve">  </v>
      </c>
      <c r="AD44" s="341"/>
      <c r="AE44" s="342"/>
      <c r="AF44" s="341"/>
      <c r="AG44" s="357"/>
      <c r="AH44" s="358"/>
      <c r="AI44" s="359"/>
      <c r="AJ44" s="358"/>
      <c r="AK44" s="358"/>
      <c r="AL44" s="358"/>
      <c r="AM44" s="360"/>
      <c r="AN44" s="361"/>
      <c r="AO44" s="359"/>
      <c r="AP44" s="361"/>
      <c r="AQ44" s="359"/>
      <c r="AR44" s="362"/>
      <c r="AS44" s="343"/>
      <c r="AT44" s="336"/>
      <c r="AU44" s="337"/>
      <c r="AV44" s="337"/>
      <c r="AW44" s="345"/>
      <c r="AX44" s="774"/>
      <c r="AY44" s="774"/>
      <c r="AZ44" s="774"/>
    </row>
    <row r="45" spans="1:52" x14ac:dyDescent="0.25">
      <c r="A45" s="768"/>
      <c r="B45" s="766"/>
      <c r="C45" s="766"/>
      <c r="D45" s="766"/>
      <c r="E45" s="766"/>
      <c r="F45" s="766"/>
      <c r="G45" s="766"/>
      <c r="H45" s="766"/>
      <c r="I45" s="766"/>
      <c r="J45" s="766"/>
      <c r="K45" s="766"/>
      <c r="L45" s="766"/>
      <c r="M45" s="779"/>
      <c r="N45" s="774"/>
      <c r="O45" s="771"/>
      <c r="P45" s="770"/>
      <c r="Q45" s="773"/>
      <c r="R45" s="770"/>
      <c r="S45" s="773"/>
      <c r="T45" s="770"/>
      <c r="U45" s="770"/>
      <c r="V45" s="771"/>
      <c r="W45" s="770"/>
      <c r="X45" s="772"/>
      <c r="Y45" s="338">
        <v>3</v>
      </c>
      <c r="Z45" s="338"/>
      <c r="AA45" s="338"/>
      <c r="AB45" s="338"/>
      <c r="AC45" s="340" t="str">
        <f t="shared" si="14"/>
        <v xml:space="preserve">  </v>
      </c>
      <c r="AD45" s="341"/>
      <c r="AE45" s="342"/>
      <c r="AF45" s="341"/>
      <c r="AG45" s="357"/>
      <c r="AH45" s="358"/>
      <c r="AI45" s="359"/>
      <c r="AJ45" s="358"/>
      <c r="AK45" s="358"/>
      <c r="AL45" s="358"/>
      <c r="AM45" s="360"/>
      <c r="AN45" s="361"/>
      <c r="AO45" s="359"/>
      <c r="AP45" s="361"/>
      <c r="AQ45" s="359"/>
      <c r="AR45" s="362"/>
      <c r="AS45" s="343"/>
      <c r="AT45" s="336"/>
      <c r="AU45" s="337"/>
      <c r="AV45" s="337"/>
      <c r="AW45" s="345"/>
      <c r="AX45" s="774"/>
      <c r="AY45" s="774"/>
      <c r="AZ45" s="774"/>
    </row>
    <row r="46" spans="1:52" x14ac:dyDescent="0.25">
      <c r="A46" s="768"/>
      <c r="B46" s="766"/>
      <c r="C46" s="766"/>
      <c r="D46" s="766"/>
      <c r="E46" s="766"/>
      <c r="F46" s="766"/>
      <c r="G46" s="766"/>
      <c r="H46" s="766"/>
      <c r="I46" s="766"/>
      <c r="J46" s="766"/>
      <c r="K46" s="766"/>
      <c r="L46" s="766"/>
      <c r="M46" s="779"/>
      <c r="N46" s="774"/>
      <c r="O46" s="771"/>
      <c r="P46" s="770"/>
      <c r="Q46" s="773"/>
      <c r="R46" s="770"/>
      <c r="S46" s="773"/>
      <c r="T46" s="770"/>
      <c r="U46" s="770"/>
      <c r="V46" s="771"/>
      <c r="W46" s="770"/>
      <c r="X46" s="772"/>
      <c r="Y46" s="338">
        <v>4</v>
      </c>
      <c r="Z46" s="338"/>
      <c r="AA46" s="338"/>
      <c r="AB46" s="338"/>
      <c r="AC46" s="340" t="str">
        <f t="shared" si="14"/>
        <v xml:space="preserve">  </v>
      </c>
      <c r="AD46" s="341"/>
      <c r="AE46" s="342"/>
      <c r="AF46" s="341"/>
      <c r="AG46" s="357"/>
      <c r="AH46" s="358"/>
      <c r="AI46" s="359"/>
      <c r="AJ46" s="358"/>
      <c r="AK46" s="358"/>
      <c r="AL46" s="358"/>
      <c r="AM46" s="360"/>
      <c r="AN46" s="361"/>
      <c r="AO46" s="359"/>
      <c r="AP46" s="361"/>
      <c r="AQ46" s="359"/>
      <c r="AR46" s="362"/>
      <c r="AS46" s="343"/>
      <c r="AT46" s="336"/>
      <c r="AU46" s="337"/>
      <c r="AV46" s="337"/>
      <c r="AW46" s="345"/>
      <c r="AX46" s="774"/>
      <c r="AY46" s="774"/>
      <c r="AZ46" s="774"/>
    </row>
    <row r="47" spans="1:52" x14ac:dyDescent="0.25">
      <c r="A47" s="768"/>
      <c r="B47" s="766"/>
      <c r="C47" s="766"/>
      <c r="D47" s="766"/>
      <c r="E47" s="766"/>
      <c r="F47" s="766"/>
      <c r="G47" s="766"/>
      <c r="H47" s="766"/>
      <c r="I47" s="766"/>
      <c r="J47" s="766"/>
      <c r="K47" s="766"/>
      <c r="L47" s="766"/>
      <c r="M47" s="779"/>
      <c r="N47" s="774"/>
      <c r="O47" s="771"/>
      <c r="P47" s="770"/>
      <c r="Q47" s="773"/>
      <c r="R47" s="770"/>
      <c r="S47" s="773"/>
      <c r="T47" s="770"/>
      <c r="U47" s="770"/>
      <c r="V47" s="771"/>
      <c r="W47" s="770"/>
      <c r="X47" s="772"/>
      <c r="Y47" s="338">
        <v>5</v>
      </c>
      <c r="Z47" s="338"/>
      <c r="AA47" s="338"/>
      <c r="AB47" s="338"/>
      <c r="AC47" s="340" t="str">
        <f t="shared" si="14"/>
        <v xml:space="preserve">  </v>
      </c>
      <c r="AD47" s="341"/>
      <c r="AE47" s="342"/>
      <c r="AF47" s="341"/>
      <c r="AG47" s="357"/>
      <c r="AH47" s="358"/>
      <c r="AI47" s="359"/>
      <c r="AJ47" s="358"/>
      <c r="AK47" s="358"/>
      <c r="AL47" s="358"/>
      <c r="AM47" s="360"/>
      <c r="AN47" s="361"/>
      <c r="AO47" s="359"/>
      <c r="AP47" s="361"/>
      <c r="AQ47" s="359"/>
      <c r="AR47" s="362"/>
      <c r="AS47" s="343"/>
      <c r="AT47" s="336"/>
      <c r="AU47" s="337"/>
      <c r="AV47" s="337"/>
      <c r="AW47" s="345"/>
      <c r="AX47" s="774"/>
      <c r="AY47" s="774"/>
      <c r="AZ47" s="774"/>
    </row>
    <row r="48" spans="1:52" x14ac:dyDescent="0.25">
      <c r="A48" s="768"/>
      <c r="B48" s="766"/>
      <c r="C48" s="766"/>
      <c r="D48" s="766"/>
      <c r="E48" s="766"/>
      <c r="F48" s="766"/>
      <c r="G48" s="766"/>
      <c r="H48" s="766"/>
      <c r="I48" s="766"/>
      <c r="J48" s="766"/>
      <c r="K48" s="766"/>
      <c r="L48" s="766"/>
      <c r="M48" s="779"/>
      <c r="N48" s="774"/>
      <c r="O48" s="771"/>
      <c r="P48" s="770"/>
      <c r="Q48" s="773"/>
      <c r="R48" s="770"/>
      <c r="S48" s="773"/>
      <c r="T48" s="770"/>
      <c r="U48" s="770"/>
      <c r="V48" s="771"/>
      <c r="W48" s="770"/>
      <c r="X48" s="772"/>
      <c r="Y48" s="338">
        <v>6</v>
      </c>
      <c r="Z48" s="338"/>
      <c r="AA48" s="338"/>
      <c r="AB48" s="338"/>
      <c r="AC48" s="340" t="str">
        <f t="shared" si="14"/>
        <v xml:space="preserve">  </v>
      </c>
      <c r="AD48" s="341"/>
      <c r="AE48" s="342"/>
      <c r="AF48" s="341"/>
      <c r="AG48" s="357"/>
      <c r="AH48" s="358"/>
      <c r="AI48" s="359"/>
      <c r="AJ48" s="358"/>
      <c r="AK48" s="358"/>
      <c r="AL48" s="358"/>
      <c r="AM48" s="360"/>
      <c r="AN48" s="361"/>
      <c r="AO48" s="359"/>
      <c r="AP48" s="361"/>
      <c r="AQ48" s="359"/>
      <c r="AR48" s="362"/>
      <c r="AS48" s="343"/>
      <c r="AT48" s="336"/>
      <c r="AU48" s="337"/>
      <c r="AV48" s="337"/>
      <c r="AW48" s="345"/>
      <c r="AX48" s="774"/>
      <c r="AY48" s="774"/>
      <c r="AZ48" s="774"/>
    </row>
    <row r="49" spans="1:52" x14ac:dyDescent="0.25">
      <c r="A49" s="768">
        <v>7</v>
      </c>
      <c r="B49" s="766"/>
      <c r="C49" s="766"/>
      <c r="D49" s="766"/>
      <c r="E49" s="766"/>
      <c r="F49" s="766"/>
      <c r="G49" s="766"/>
      <c r="H49" s="766"/>
      <c r="I49" s="766"/>
      <c r="J49" s="766"/>
      <c r="K49" s="766"/>
      <c r="L49" s="766"/>
      <c r="M49" s="779"/>
      <c r="N49" s="774"/>
      <c r="O49" s="771" t="str">
        <f>IF(N49&lt;=0,"",IF(N49&lt;=2,"Muy Baja",IF(N49&lt;=24,"Baja",IF(N49&lt;=500,"Media",IF(N49&lt;=5000,"Alta","Muy Alta")))))</f>
        <v/>
      </c>
      <c r="P49" s="770" t="str">
        <f>IF(O49="","",IF(O49="Muy Baja",0.2,IF(O49="Baja",0.4,IF(O49="Media",0.6,IF(O49="Alta",0.8,IF(O49="Muy Alta",1,))))))</f>
        <v/>
      </c>
      <c r="Q49" s="773"/>
      <c r="R49" s="770" t="str">
        <f>IF(Q49="","",IF(Q49="Afectación menor a 130 SMLMV",0.2,IF(Q49="Entre 130 y 650 SMLMV",0.4,IF(Q49="Entre 650 y 1300 SMLMV",0.6,IF(Q49="Entre 1300 y 6500 SMLMV",0.8,IF(Q49="Mayor a 6500 SMLMV",1,))))))</f>
        <v/>
      </c>
      <c r="S49" s="773"/>
      <c r="T49" s="770" t="str">
        <f>IF(S49="","",IF(S49="El riesgo afecta la imagen de alguna área de la organización",0.2,IF(S49="El riesgo afecta la imagen de la entidad internamente, de conocimiento general, nivel interno, de junta dircetiva y accionistas y/o de provedores",0.4,IF(S49="El riesgo afecta la imagen de la entidad con algunos usuarios de relevancia frente al logro de los objetivos",0.6,IF(S49="El riesgo afecta la imagen de de la entidad con efecto publicitario sostenido a nivel de sector administrativo, nivel departamental o municipal",0.8,IF(S49="El riesgo afecta la imagen de la entidad a nivel nacional, con efecto publicitarios sostenible a nivel país",1,))))))</f>
        <v/>
      </c>
      <c r="U49" s="770">
        <f>MAX(R49,T49)</f>
        <v>0</v>
      </c>
      <c r="V49" s="771" t="str">
        <f>IF(U49&lt;=0,"",IF(U49=0.2,"Leve",IF(U49=0.4,"Menor",IF(U49=0.6,"Moderado",IF(U49=0.8,"Mayor",IF(U49=1,"Catrastrófico"))))))</f>
        <v/>
      </c>
      <c r="W49" s="770"/>
      <c r="X49" s="772" t="str">
        <f>IF(OR(AND(O49="Muy Baja",V49="Leve"),AND(O49="Muy Baja",V49="Menor"),AND(O49="Baja",V49="Leve")),"Bajo",IF(OR(AND(O49="Muy baja",V49="Moderado"),AND(O49="Baja",V49="Menor"),AND(O49="Baja",V49="Moderado"),AND(O49="Media",V49="Leve"),AND(O49="Media",V49="Menor"),AND(O49="Media",V49="Moderado"),AND(O49="Alta",V49="Leve"),AND(O49="Alta",V49="Menor")),"Moderado",IF(OR(AND(O49="Muy Baja",V49="Mayor"),AND(O49="Baja",V49="Mayor"),AND(O49="Media",V49="Mayor"),AND(O49="Alta",V49="Moderado"),AND(O49="Alta",V49="Mayor"),AND(O49="Muy Alta",V49="Leve"),AND(O49="Muy Alta",V49="Menor"),AND(O49="Muy Alta",V49="Moderado"),AND(O49="Muy Alta",V49="Mayor")),"Alto",IF(OR(AND(O49="Muy Baja",V49="Catastrófico"),AND(O49="Baja",V49="Catastrófico"),AND(O49="Media",V49="Catastrófico"),AND(O49="Alta",V49="Catastrófico"),AND(O49="Muy Alta",V49="Catastrófico")),"Extremo",""))))</f>
        <v/>
      </c>
      <c r="Y49" s="338">
        <v>1</v>
      </c>
      <c r="Z49" s="338"/>
      <c r="AA49" s="338"/>
      <c r="AB49" s="338"/>
      <c r="AC49" s="340" t="str">
        <f t="shared" si="14"/>
        <v xml:space="preserve">  </v>
      </c>
      <c r="AD49" s="341"/>
      <c r="AE49" s="342"/>
      <c r="AF49" s="341"/>
      <c r="AG49" s="357"/>
      <c r="AH49" s="358"/>
      <c r="AI49" s="359"/>
      <c r="AJ49" s="358"/>
      <c r="AK49" s="358"/>
      <c r="AL49" s="358"/>
      <c r="AM49" s="360"/>
      <c r="AN49" s="361"/>
      <c r="AO49" s="359"/>
      <c r="AP49" s="361"/>
      <c r="AQ49" s="359"/>
      <c r="AR49" s="362"/>
      <c r="AS49" s="343"/>
      <c r="AT49" s="336"/>
      <c r="AU49" s="337"/>
      <c r="AV49" s="337"/>
      <c r="AW49" s="345"/>
      <c r="AX49" s="774"/>
      <c r="AY49" s="774"/>
      <c r="AZ49" s="774"/>
    </row>
    <row r="50" spans="1:52" x14ac:dyDescent="0.25">
      <c r="A50" s="768"/>
      <c r="B50" s="766"/>
      <c r="C50" s="766"/>
      <c r="D50" s="766"/>
      <c r="E50" s="766"/>
      <c r="F50" s="766"/>
      <c r="G50" s="766"/>
      <c r="H50" s="766"/>
      <c r="I50" s="766"/>
      <c r="J50" s="766"/>
      <c r="K50" s="766"/>
      <c r="L50" s="766"/>
      <c r="M50" s="779"/>
      <c r="N50" s="774"/>
      <c r="O50" s="771"/>
      <c r="P50" s="770"/>
      <c r="Q50" s="773"/>
      <c r="R50" s="770"/>
      <c r="S50" s="773"/>
      <c r="T50" s="770"/>
      <c r="U50" s="770"/>
      <c r="V50" s="771"/>
      <c r="W50" s="770"/>
      <c r="X50" s="772"/>
      <c r="Y50" s="338">
        <v>2</v>
      </c>
      <c r="Z50" s="338"/>
      <c r="AA50" s="338"/>
      <c r="AB50" s="338"/>
      <c r="AC50" s="340" t="str">
        <f t="shared" si="14"/>
        <v xml:space="preserve">  </v>
      </c>
      <c r="AD50" s="341"/>
      <c r="AE50" s="342"/>
      <c r="AF50" s="341"/>
      <c r="AG50" s="357"/>
      <c r="AH50" s="358"/>
      <c r="AI50" s="359"/>
      <c r="AJ50" s="358"/>
      <c r="AK50" s="358"/>
      <c r="AL50" s="358"/>
      <c r="AM50" s="360"/>
      <c r="AN50" s="361"/>
      <c r="AO50" s="359"/>
      <c r="AP50" s="361"/>
      <c r="AQ50" s="359"/>
      <c r="AR50" s="362"/>
      <c r="AS50" s="343"/>
      <c r="AT50" s="336"/>
      <c r="AU50" s="337"/>
      <c r="AV50" s="337"/>
      <c r="AW50" s="345"/>
      <c r="AX50" s="774"/>
      <c r="AY50" s="774"/>
      <c r="AZ50" s="774"/>
    </row>
    <row r="51" spans="1:52" x14ac:dyDescent="0.25">
      <c r="A51" s="768"/>
      <c r="B51" s="766"/>
      <c r="C51" s="766"/>
      <c r="D51" s="766"/>
      <c r="E51" s="766"/>
      <c r="F51" s="766"/>
      <c r="G51" s="766"/>
      <c r="H51" s="766"/>
      <c r="I51" s="766"/>
      <c r="J51" s="766"/>
      <c r="K51" s="766"/>
      <c r="L51" s="766"/>
      <c r="M51" s="779"/>
      <c r="N51" s="774"/>
      <c r="O51" s="771"/>
      <c r="P51" s="770"/>
      <c r="Q51" s="773"/>
      <c r="R51" s="770"/>
      <c r="S51" s="773"/>
      <c r="T51" s="770"/>
      <c r="U51" s="770"/>
      <c r="V51" s="771"/>
      <c r="W51" s="770"/>
      <c r="X51" s="772"/>
      <c r="Y51" s="338">
        <v>3</v>
      </c>
      <c r="Z51" s="338"/>
      <c r="AA51" s="338"/>
      <c r="AB51" s="338"/>
      <c r="AC51" s="340" t="str">
        <f t="shared" si="14"/>
        <v xml:space="preserve">  </v>
      </c>
      <c r="AD51" s="341"/>
      <c r="AE51" s="342"/>
      <c r="AF51" s="341"/>
      <c r="AG51" s="357"/>
      <c r="AH51" s="358"/>
      <c r="AI51" s="359"/>
      <c r="AJ51" s="358"/>
      <c r="AK51" s="358"/>
      <c r="AL51" s="358"/>
      <c r="AM51" s="360"/>
      <c r="AN51" s="361"/>
      <c r="AO51" s="359"/>
      <c r="AP51" s="361"/>
      <c r="AQ51" s="359"/>
      <c r="AR51" s="362"/>
      <c r="AS51" s="343"/>
      <c r="AT51" s="336"/>
      <c r="AU51" s="337"/>
      <c r="AV51" s="337"/>
      <c r="AW51" s="345"/>
      <c r="AX51" s="774"/>
      <c r="AY51" s="774"/>
      <c r="AZ51" s="774"/>
    </row>
    <row r="52" spans="1:52" x14ac:dyDescent="0.25">
      <c r="A52" s="768"/>
      <c r="B52" s="766"/>
      <c r="C52" s="766"/>
      <c r="D52" s="766"/>
      <c r="E52" s="766"/>
      <c r="F52" s="766"/>
      <c r="G52" s="766"/>
      <c r="H52" s="766"/>
      <c r="I52" s="766"/>
      <c r="J52" s="766"/>
      <c r="K52" s="766"/>
      <c r="L52" s="766"/>
      <c r="M52" s="779"/>
      <c r="N52" s="774"/>
      <c r="O52" s="771"/>
      <c r="P52" s="770"/>
      <c r="Q52" s="773"/>
      <c r="R52" s="770"/>
      <c r="S52" s="773"/>
      <c r="T52" s="770"/>
      <c r="U52" s="770"/>
      <c r="V52" s="771"/>
      <c r="W52" s="770"/>
      <c r="X52" s="772"/>
      <c r="Y52" s="338">
        <v>4</v>
      </c>
      <c r="Z52" s="338"/>
      <c r="AA52" s="338"/>
      <c r="AB52" s="338"/>
      <c r="AC52" s="340" t="str">
        <f t="shared" si="14"/>
        <v xml:space="preserve">  </v>
      </c>
      <c r="AD52" s="341"/>
      <c r="AE52" s="342"/>
      <c r="AF52" s="341"/>
      <c r="AG52" s="357"/>
      <c r="AH52" s="358"/>
      <c r="AI52" s="359"/>
      <c r="AJ52" s="358"/>
      <c r="AK52" s="358"/>
      <c r="AL52" s="358"/>
      <c r="AM52" s="360"/>
      <c r="AN52" s="361"/>
      <c r="AO52" s="359"/>
      <c r="AP52" s="361"/>
      <c r="AQ52" s="359"/>
      <c r="AR52" s="362"/>
      <c r="AS52" s="343"/>
      <c r="AT52" s="336"/>
      <c r="AU52" s="337"/>
      <c r="AV52" s="337"/>
      <c r="AW52" s="345"/>
      <c r="AX52" s="774"/>
      <c r="AY52" s="774"/>
      <c r="AZ52" s="774"/>
    </row>
    <row r="53" spans="1:52" x14ac:dyDescent="0.25">
      <c r="A53" s="768"/>
      <c r="B53" s="766"/>
      <c r="C53" s="766"/>
      <c r="D53" s="766"/>
      <c r="E53" s="766"/>
      <c r="F53" s="766"/>
      <c r="G53" s="766"/>
      <c r="H53" s="766"/>
      <c r="I53" s="766"/>
      <c r="J53" s="766"/>
      <c r="K53" s="766"/>
      <c r="L53" s="766"/>
      <c r="M53" s="779"/>
      <c r="N53" s="774"/>
      <c r="O53" s="771"/>
      <c r="P53" s="770"/>
      <c r="Q53" s="773"/>
      <c r="R53" s="770"/>
      <c r="S53" s="773"/>
      <c r="T53" s="770"/>
      <c r="U53" s="770"/>
      <c r="V53" s="771"/>
      <c r="W53" s="770"/>
      <c r="X53" s="772"/>
      <c r="Y53" s="338">
        <v>5</v>
      </c>
      <c r="Z53" s="338"/>
      <c r="AA53" s="338"/>
      <c r="AB53" s="338"/>
      <c r="AC53" s="340" t="str">
        <f t="shared" si="14"/>
        <v xml:space="preserve">  </v>
      </c>
      <c r="AD53" s="341"/>
      <c r="AE53" s="342"/>
      <c r="AF53" s="341"/>
      <c r="AG53" s="357"/>
      <c r="AH53" s="358"/>
      <c r="AI53" s="359"/>
      <c r="AJ53" s="358"/>
      <c r="AK53" s="358"/>
      <c r="AL53" s="358"/>
      <c r="AM53" s="360"/>
      <c r="AN53" s="361"/>
      <c r="AO53" s="359"/>
      <c r="AP53" s="361"/>
      <c r="AQ53" s="359"/>
      <c r="AR53" s="362"/>
      <c r="AS53" s="343"/>
      <c r="AT53" s="336"/>
      <c r="AU53" s="337"/>
      <c r="AV53" s="337"/>
      <c r="AW53" s="345"/>
      <c r="AX53" s="774"/>
      <c r="AY53" s="774"/>
      <c r="AZ53" s="774"/>
    </row>
    <row r="54" spans="1:52" x14ac:dyDescent="0.25">
      <c r="A54" s="768"/>
      <c r="B54" s="766"/>
      <c r="C54" s="766"/>
      <c r="D54" s="766"/>
      <c r="E54" s="766"/>
      <c r="F54" s="766"/>
      <c r="G54" s="766"/>
      <c r="H54" s="766"/>
      <c r="I54" s="766"/>
      <c r="J54" s="766"/>
      <c r="K54" s="766"/>
      <c r="L54" s="766"/>
      <c r="M54" s="779"/>
      <c r="N54" s="774"/>
      <c r="O54" s="771"/>
      <c r="P54" s="770"/>
      <c r="Q54" s="773"/>
      <c r="R54" s="770"/>
      <c r="S54" s="773"/>
      <c r="T54" s="770"/>
      <c r="U54" s="770"/>
      <c r="V54" s="771"/>
      <c r="W54" s="770"/>
      <c r="X54" s="772"/>
      <c r="Y54" s="338">
        <v>6</v>
      </c>
      <c r="Z54" s="338"/>
      <c r="AA54" s="338"/>
      <c r="AB54" s="338"/>
      <c r="AC54" s="340" t="str">
        <f t="shared" si="14"/>
        <v xml:space="preserve">  </v>
      </c>
      <c r="AD54" s="341"/>
      <c r="AE54" s="342"/>
      <c r="AF54" s="341"/>
      <c r="AG54" s="357"/>
      <c r="AH54" s="358"/>
      <c r="AI54" s="359"/>
      <c r="AJ54" s="358"/>
      <c r="AK54" s="358"/>
      <c r="AL54" s="358"/>
      <c r="AM54" s="360"/>
      <c r="AN54" s="361"/>
      <c r="AO54" s="359"/>
      <c r="AP54" s="361"/>
      <c r="AQ54" s="359"/>
      <c r="AR54" s="362"/>
      <c r="AS54" s="343"/>
      <c r="AT54" s="336"/>
      <c r="AU54" s="337"/>
      <c r="AV54" s="337"/>
      <c r="AW54" s="345"/>
      <c r="AX54" s="774"/>
      <c r="AY54" s="774"/>
      <c r="AZ54" s="774"/>
    </row>
    <row r="55" spans="1:52" x14ac:dyDescent="0.25">
      <c r="A55" s="768">
        <v>8</v>
      </c>
      <c r="B55" s="766"/>
      <c r="C55" s="766"/>
      <c r="D55" s="766"/>
      <c r="E55" s="766"/>
      <c r="F55" s="766"/>
      <c r="G55" s="766"/>
      <c r="H55" s="766"/>
      <c r="I55" s="766"/>
      <c r="J55" s="766"/>
      <c r="K55" s="766"/>
      <c r="L55" s="766"/>
      <c r="M55" s="779"/>
      <c r="N55" s="774"/>
      <c r="O55" s="771" t="str">
        <f>IF(N55&lt;=0,"",IF(N55&lt;=2,"Muy Baja",IF(N55&lt;=24,"Baja",IF(N55&lt;=500,"Media",IF(N55&lt;=5000,"Alta","Muy Alta")))))</f>
        <v/>
      </c>
      <c r="P55" s="770" t="str">
        <f>IF(O55="","",IF(O55="Muy Baja",0.2,IF(O55="Baja",0.4,IF(O55="Media",0.6,IF(O55="Alta",0.8,IF(O55="Muy Alta",1,))))))</f>
        <v/>
      </c>
      <c r="Q55" s="773"/>
      <c r="R55" s="770" t="str">
        <f>IF(Q55="","",IF(Q55="Afectación menor a 130 SMLMV",0.2,IF(Q55="Entre 130 y 650 SMLMV",0.4,IF(Q55="Entre 650 y 1300 SMLMV",0.6,IF(Q55="Entre 1300 y 6500 SMLMV",0.8,IF(Q55="Mayor a 6500 SMLMV",1,))))))</f>
        <v/>
      </c>
      <c r="S55" s="773"/>
      <c r="T55" s="770" t="str">
        <f>IF(S55="","",IF(S55="El riesgo afecta la imagen de alguna área de la organización",0.2,IF(S55="El riesgo afecta la imagen de la entidad internamente, de conocimiento general, nivel interno, de junta dircetiva y accionistas y/o de provedores",0.4,IF(S55="El riesgo afecta la imagen de la entidad con algunos usuarios de relevancia frente al logro de los objetivos",0.6,IF(S55="El riesgo afecta la imagen de de la entidad con efecto publicitario sostenido a nivel de sector administrativo, nivel departamental o municipal",0.8,IF(S55="El riesgo afecta la imagen de la entidad a nivel nacional, con efecto publicitarios sostenible a nivel país",1,))))))</f>
        <v/>
      </c>
      <c r="U55" s="770">
        <f>MAX(R55,T55)</f>
        <v>0</v>
      </c>
      <c r="V55" s="771" t="str">
        <f>IF(U55&lt;=0,"",IF(U55=0.2,"Leve",IF(U55=0.4,"Menor",IF(U55=0.6,"Moderado",IF(U55=0.8,"Mayor",IF(U55=1,"Catrastrófico"))))))</f>
        <v/>
      </c>
      <c r="W55" s="770"/>
      <c r="X55" s="772" t="str">
        <f>IF(OR(AND(O55="Muy Baja",V55="Leve"),AND(O55="Muy Baja",V55="Menor"),AND(O55="Baja",V55="Leve")),"Bajo",IF(OR(AND(O55="Muy baja",V55="Moderado"),AND(O55="Baja",V55="Menor"),AND(O55="Baja",V55="Moderado"),AND(O55="Media",V55="Leve"),AND(O55="Media",V55="Menor"),AND(O55="Media",V55="Moderado"),AND(O55="Alta",V55="Leve"),AND(O55="Alta",V55="Menor")),"Moderado",IF(OR(AND(O55="Muy Baja",V55="Mayor"),AND(O55="Baja",V55="Mayor"),AND(O55="Media",V55="Mayor"),AND(O55="Alta",V55="Moderado"),AND(O55="Alta",V55="Mayor"),AND(O55="Muy Alta",V55="Leve"),AND(O55="Muy Alta",V55="Menor"),AND(O55="Muy Alta",V55="Moderado"),AND(O55="Muy Alta",V55="Mayor")),"Alto",IF(OR(AND(O55="Muy Baja",V55="Catastrófico"),AND(O55="Baja",V55="Catastrófico"),AND(O55="Media",V55="Catastrófico"),AND(O55="Alta",V55="Catastrófico"),AND(O55="Muy Alta",V55="Catastrófico")),"Extremo",""))))</f>
        <v/>
      </c>
      <c r="Y55" s="338">
        <v>1</v>
      </c>
      <c r="Z55" s="338"/>
      <c r="AA55" s="338"/>
      <c r="AB55" s="338"/>
      <c r="AC55" s="340" t="str">
        <f t="shared" si="14"/>
        <v xml:space="preserve">  </v>
      </c>
      <c r="AD55" s="341"/>
      <c r="AE55" s="342"/>
      <c r="AF55" s="341"/>
      <c r="AG55" s="357"/>
      <c r="AH55" s="358"/>
      <c r="AI55" s="359"/>
      <c r="AJ55" s="358"/>
      <c r="AK55" s="358"/>
      <c r="AL55" s="358"/>
      <c r="AM55" s="360"/>
      <c r="AN55" s="361"/>
      <c r="AO55" s="359"/>
      <c r="AP55" s="361"/>
      <c r="AQ55" s="359"/>
      <c r="AR55" s="362"/>
      <c r="AS55" s="343"/>
      <c r="AT55" s="336"/>
      <c r="AU55" s="337"/>
      <c r="AV55" s="337"/>
      <c r="AW55" s="345"/>
      <c r="AX55" s="774"/>
      <c r="AY55" s="774"/>
      <c r="AZ55" s="774"/>
    </row>
    <row r="56" spans="1:52" x14ac:dyDescent="0.25">
      <c r="A56" s="768"/>
      <c r="B56" s="766"/>
      <c r="C56" s="766"/>
      <c r="D56" s="766"/>
      <c r="E56" s="766"/>
      <c r="F56" s="766"/>
      <c r="G56" s="766"/>
      <c r="H56" s="766"/>
      <c r="I56" s="766"/>
      <c r="J56" s="766"/>
      <c r="K56" s="766"/>
      <c r="L56" s="766"/>
      <c r="M56" s="779"/>
      <c r="N56" s="774"/>
      <c r="O56" s="771"/>
      <c r="P56" s="770"/>
      <c r="Q56" s="773"/>
      <c r="R56" s="770"/>
      <c r="S56" s="773"/>
      <c r="T56" s="770"/>
      <c r="U56" s="770"/>
      <c r="V56" s="771"/>
      <c r="W56" s="770"/>
      <c r="X56" s="772"/>
      <c r="Y56" s="338">
        <v>2</v>
      </c>
      <c r="Z56" s="338"/>
      <c r="AA56" s="338"/>
      <c r="AB56" s="338"/>
      <c r="AC56" s="340" t="str">
        <f t="shared" si="14"/>
        <v xml:space="preserve">  </v>
      </c>
      <c r="AD56" s="341"/>
      <c r="AE56" s="342"/>
      <c r="AF56" s="341"/>
      <c r="AG56" s="357"/>
      <c r="AH56" s="358"/>
      <c r="AI56" s="359"/>
      <c r="AJ56" s="358"/>
      <c r="AK56" s="358"/>
      <c r="AL56" s="358"/>
      <c r="AM56" s="360"/>
      <c r="AN56" s="361"/>
      <c r="AO56" s="359"/>
      <c r="AP56" s="361"/>
      <c r="AQ56" s="359"/>
      <c r="AR56" s="362"/>
      <c r="AS56" s="343"/>
      <c r="AT56" s="336"/>
      <c r="AU56" s="337"/>
      <c r="AV56" s="337"/>
      <c r="AW56" s="345"/>
      <c r="AX56" s="774"/>
      <c r="AY56" s="774"/>
      <c r="AZ56" s="774"/>
    </row>
    <row r="57" spans="1:52" x14ac:dyDescent="0.25">
      <c r="A57" s="768"/>
      <c r="B57" s="766"/>
      <c r="C57" s="766"/>
      <c r="D57" s="766"/>
      <c r="E57" s="766"/>
      <c r="F57" s="766"/>
      <c r="G57" s="766"/>
      <c r="H57" s="766"/>
      <c r="I57" s="766"/>
      <c r="J57" s="766"/>
      <c r="K57" s="766"/>
      <c r="L57" s="766"/>
      <c r="M57" s="779"/>
      <c r="N57" s="774"/>
      <c r="O57" s="771"/>
      <c r="P57" s="770"/>
      <c r="Q57" s="773"/>
      <c r="R57" s="770"/>
      <c r="S57" s="773"/>
      <c r="T57" s="770"/>
      <c r="U57" s="770"/>
      <c r="V57" s="771"/>
      <c r="W57" s="770"/>
      <c r="X57" s="772"/>
      <c r="Y57" s="338">
        <v>3</v>
      </c>
      <c r="Z57" s="338"/>
      <c r="AA57" s="338"/>
      <c r="AB57" s="338"/>
      <c r="AC57" s="340" t="str">
        <f t="shared" si="14"/>
        <v xml:space="preserve">  </v>
      </c>
      <c r="AD57" s="341"/>
      <c r="AE57" s="342"/>
      <c r="AF57" s="341"/>
      <c r="AG57" s="357"/>
      <c r="AH57" s="358"/>
      <c r="AI57" s="359"/>
      <c r="AJ57" s="358"/>
      <c r="AK57" s="358"/>
      <c r="AL57" s="358"/>
      <c r="AM57" s="360"/>
      <c r="AN57" s="361"/>
      <c r="AO57" s="359"/>
      <c r="AP57" s="361"/>
      <c r="AQ57" s="359"/>
      <c r="AR57" s="362"/>
      <c r="AS57" s="343"/>
      <c r="AT57" s="336"/>
      <c r="AU57" s="337"/>
      <c r="AV57" s="337"/>
      <c r="AW57" s="345"/>
      <c r="AX57" s="774"/>
      <c r="AY57" s="774"/>
      <c r="AZ57" s="774"/>
    </row>
    <row r="58" spans="1:52" x14ac:dyDescent="0.25">
      <c r="A58" s="768"/>
      <c r="B58" s="766"/>
      <c r="C58" s="766"/>
      <c r="D58" s="766"/>
      <c r="E58" s="766"/>
      <c r="F58" s="766"/>
      <c r="G58" s="766"/>
      <c r="H58" s="766"/>
      <c r="I58" s="766"/>
      <c r="J58" s="766"/>
      <c r="K58" s="766"/>
      <c r="L58" s="766"/>
      <c r="M58" s="779"/>
      <c r="N58" s="774"/>
      <c r="O58" s="771"/>
      <c r="P58" s="770"/>
      <c r="Q58" s="773"/>
      <c r="R58" s="770"/>
      <c r="S58" s="773"/>
      <c r="T58" s="770"/>
      <c r="U58" s="770"/>
      <c r="V58" s="771"/>
      <c r="W58" s="770"/>
      <c r="X58" s="772"/>
      <c r="Y58" s="338">
        <v>4</v>
      </c>
      <c r="Z58" s="338"/>
      <c r="AA58" s="338"/>
      <c r="AB58" s="338"/>
      <c r="AC58" s="340" t="str">
        <f t="shared" si="14"/>
        <v xml:space="preserve">  </v>
      </c>
      <c r="AD58" s="341"/>
      <c r="AE58" s="342"/>
      <c r="AF58" s="341"/>
      <c r="AG58" s="357"/>
      <c r="AH58" s="358"/>
      <c r="AI58" s="359"/>
      <c r="AJ58" s="358"/>
      <c r="AK58" s="358"/>
      <c r="AL58" s="358"/>
      <c r="AM58" s="360"/>
      <c r="AN58" s="361"/>
      <c r="AO58" s="359"/>
      <c r="AP58" s="361"/>
      <c r="AQ58" s="359"/>
      <c r="AR58" s="362"/>
      <c r="AS58" s="343"/>
      <c r="AT58" s="336"/>
      <c r="AU58" s="337"/>
      <c r="AV58" s="337"/>
      <c r="AW58" s="345"/>
      <c r="AX58" s="774"/>
      <c r="AY58" s="774"/>
      <c r="AZ58" s="774"/>
    </row>
    <row r="59" spans="1:52" x14ac:dyDescent="0.25">
      <c r="A59" s="768"/>
      <c r="B59" s="766"/>
      <c r="C59" s="766"/>
      <c r="D59" s="766"/>
      <c r="E59" s="766"/>
      <c r="F59" s="766"/>
      <c r="G59" s="766"/>
      <c r="H59" s="766"/>
      <c r="I59" s="766"/>
      <c r="J59" s="766"/>
      <c r="K59" s="766"/>
      <c r="L59" s="766"/>
      <c r="M59" s="779"/>
      <c r="N59" s="774"/>
      <c r="O59" s="771"/>
      <c r="P59" s="770"/>
      <c r="Q59" s="773"/>
      <c r="R59" s="770"/>
      <c r="S59" s="773"/>
      <c r="T59" s="770"/>
      <c r="U59" s="770"/>
      <c r="V59" s="771"/>
      <c r="W59" s="770"/>
      <c r="X59" s="772"/>
      <c r="Y59" s="338">
        <v>5</v>
      </c>
      <c r="Z59" s="338"/>
      <c r="AA59" s="338"/>
      <c r="AB59" s="338"/>
      <c r="AC59" s="340" t="str">
        <f t="shared" si="14"/>
        <v xml:space="preserve">  </v>
      </c>
      <c r="AD59" s="341"/>
      <c r="AE59" s="342"/>
      <c r="AF59" s="341"/>
      <c r="AG59" s="357"/>
      <c r="AH59" s="358"/>
      <c r="AI59" s="359"/>
      <c r="AJ59" s="358"/>
      <c r="AK59" s="358"/>
      <c r="AL59" s="358"/>
      <c r="AM59" s="360"/>
      <c r="AN59" s="361"/>
      <c r="AO59" s="359"/>
      <c r="AP59" s="361"/>
      <c r="AQ59" s="359"/>
      <c r="AR59" s="362"/>
      <c r="AS59" s="343"/>
      <c r="AT59" s="336"/>
      <c r="AU59" s="337"/>
      <c r="AV59" s="337"/>
      <c r="AW59" s="345"/>
      <c r="AX59" s="774"/>
      <c r="AY59" s="774"/>
      <c r="AZ59" s="774"/>
    </row>
    <row r="60" spans="1:52" x14ac:dyDescent="0.25">
      <c r="A60" s="768"/>
      <c r="B60" s="766"/>
      <c r="C60" s="766"/>
      <c r="D60" s="766"/>
      <c r="E60" s="766"/>
      <c r="F60" s="766"/>
      <c r="G60" s="766"/>
      <c r="H60" s="766"/>
      <c r="I60" s="766"/>
      <c r="J60" s="766"/>
      <c r="K60" s="766"/>
      <c r="L60" s="766"/>
      <c r="M60" s="779"/>
      <c r="N60" s="774"/>
      <c r="O60" s="771"/>
      <c r="P60" s="770"/>
      <c r="Q60" s="773"/>
      <c r="R60" s="770"/>
      <c r="S60" s="773"/>
      <c r="T60" s="770"/>
      <c r="U60" s="770"/>
      <c r="V60" s="771"/>
      <c r="W60" s="770"/>
      <c r="X60" s="772"/>
      <c r="Y60" s="338">
        <v>6</v>
      </c>
      <c r="Z60" s="338"/>
      <c r="AA60" s="338"/>
      <c r="AB60" s="338"/>
      <c r="AC60" s="340" t="str">
        <f t="shared" si="14"/>
        <v xml:space="preserve">  </v>
      </c>
      <c r="AD60" s="341"/>
      <c r="AE60" s="342"/>
      <c r="AF60" s="341"/>
      <c r="AG60" s="357"/>
      <c r="AH60" s="358"/>
      <c r="AI60" s="359"/>
      <c r="AJ60" s="358"/>
      <c r="AK60" s="358"/>
      <c r="AL60" s="358"/>
      <c r="AM60" s="360"/>
      <c r="AN60" s="361"/>
      <c r="AO60" s="359"/>
      <c r="AP60" s="361"/>
      <c r="AQ60" s="359"/>
      <c r="AR60" s="362"/>
      <c r="AS60" s="343"/>
      <c r="AT60" s="336"/>
      <c r="AU60" s="337"/>
      <c r="AV60" s="337"/>
      <c r="AW60" s="345"/>
      <c r="AX60" s="774"/>
      <c r="AY60" s="774"/>
      <c r="AZ60" s="774"/>
    </row>
    <row r="61" spans="1:52" x14ac:dyDescent="0.25">
      <c r="A61" s="768">
        <v>9</v>
      </c>
      <c r="B61" s="766"/>
      <c r="C61" s="766"/>
      <c r="D61" s="766"/>
      <c r="E61" s="766"/>
      <c r="F61" s="766"/>
      <c r="G61" s="766"/>
      <c r="H61" s="766"/>
      <c r="I61" s="766"/>
      <c r="J61" s="766"/>
      <c r="K61" s="766"/>
      <c r="L61" s="766"/>
      <c r="M61" s="779"/>
      <c r="N61" s="774"/>
      <c r="O61" s="771" t="str">
        <f>IF(N61&lt;=0,"",IF(N61&lt;=2,"Muy Baja",IF(N61&lt;=24,"Baja",IF(N61&lt;=500,"Media",IF(N61&lt;=5000,"Alta","Muy Alta")))))</f>
        <v/>
      </c>
      <c r="P61" s="770" t="str">
        <f>IF(O61="","",IF(O61="Muy Baja",0.2,IF(O61="Baja",0.4,IF(O61="Media",0.6,IF(O61="Alta",0.8,IF(O61="Muy Alta",1,))))))</f>
        <v/>
      </c>
      <c r="Q61" s="773"/>
      <c r="R61" s="770" t="str">
        <f>IF(Q61="","",IF(Q61="Afectación menor a 130 SMLMV",0.2,IF(Q61="Entre 130 y 650 SMLMV",0.4,IF(Q61="Entre 650 y 1300 SMLMV",0.6,IF(Q61="Entre 1300 y 6500 SMLMV",0.8,IF(Q61="Mayor a 6500 SMLMV",1,))))))</f>
        <v/>
      </c>
      <c r="S61" s="773"/>
      <c r="T61" s="770" t="str">
        <f>IF(S61="","",IF(S61="El riesgo afecta la imagen de alguna área de la organización",0.2,IF(S61="El riesgo afecta la imagen de la entidad internamente, de conocimiento general, nivel interno, de junta dircetiva y accionistas y/o de provedores",0.4,IF(S61="El riesgo afecta la imagen de la entidad con algunos usuarios de relevancia frente al logro de los objetivos",0.6,IF(S61="El riesgo afecta la imagen de de la entidad con efecto publicitario sostenido a nivel de sector administrativo, nivel departamental o municipal",0.8,IF(S61="El riesgo afecta la imagen de la entidad a nivel nacional, con efecto publicitarios sostenible a nivel país",1,))))))</f>
        <v/>
      </c>
      <c r="U61" s="770">
        <f>MAX(R61,T61)</f>
        <v>0</v>
      </c>
      <c r="V61" s="771" t="str">
        <f>IF(U61&lt;=0,"",IF(U61=0.2,"Leve",IF(U61=0.4,"Menor",IF(U61=0.6,"Moderado",IF(U61=0.8,"Mayor",IF(U61=1,"Catrastrófico"))))))</f>
        <v/>
      </c>
      <c r="W61" s="770"/>
      <c r="X61" s="772" t="str">
        <f>IF(OR(AND(O61="Muy Baja",V61="Leve"),AND(O61="Muy Baja",V61="Menor"),AND(O61="Baja",V61="Leve")),"Bajo",IF(OR(AND(O61="Muy baja",V61="Moderado"),AND(O61="Baja",V61="Menor"),AND(O61="Baja",V61="Moderado"),AND(O61="Media",V61="Leve"),AND(O61="Media",V61="Menor"),AND(O61="Media",V61="Moderado"),AND(O61="Alta",V61="Leve"),AND(O61="Alta",V61="Menor")),"Moderado",IF(OR(AND(O61="Muy Baja",V61="Mayor"),AND(O61="Baja",V61="Mayor"),AND(O61="Media",V61="Mayor"),AND(O61="Alta",V61="Moderado"),AND(O61="Alta",V61="Mayor"),AND(O61="Muy Alta",V61="Leve"),AND(O61="Muy Alta",V61="Menor"),AND(O61="Muy Alta",V61="Moderado"),AND(O61="Muy Alta",V61="Mayor")),"Alto",IF(OR(AND(O61="Muy Baja",V61="Catastrófico"),AND(O61="Baja",V61="Catastrófico"),AND(O61="Media",V61="Catastrófico"),AND(O61="Alta",V61="Catastrófico"),AND(O61="Muy Alta",V61="Catastrófico")),"Extremo",""))))</f>
        <v/>
      </c>
      <c r="Y61" s="338">
        <v>1</v>
      </c>
      <c r="Z61" s="338"/>
      <c r="AA61" s="338"/>
      <c r="AB61" s="338"/>
      <c r="AC61" s="340" t="str">
        <f t="shared" si="14"/>
        <v xml:space="preserve">  </v>
      </c>
      <c r="AD61" s="341"/>
      <c r="AE61" s="342"/>
      <c r="AF61" s="341"/>
      <c r="AG61" s="357"/>
      <c r="AH61" s="358"/>
      <c r="AI61" s="359"/>
      <c r="AJ61" s="358"/>
      <c r="AK61" s="358"/>
      <c r="AL61" s="358"/>
      <c r="AM61" s="360"/>
      <c r="AN61" s="361"/>
      <c r="AO61" s="359"/>
      <c r="AP61" s="361"/>
      <c r="AQ61" s="359"/>
      <c r="AR61" s="362"/>
      <c r="AS61" s="343"/>
      <c r="AT61" s="336"/>
      <c r="AU61" s="337"/>
      <c r="AV61" s="337"/>
      <c r="AW61" s="345"/>
      <c r="AX61" s="774"/>
      <c r="AY61" s="774"/>
      <c r="AZ61" s="774"/>
    </row>
    <row r="62" spans="1:52" x14ac:dyDescent="0.25">
      <c r="A62" s="768"/>
      <c r="B62" s="766"/>
      <c r="C62" s="766"/>
      <c r="D62" s="766"/>
      <c r="E62" s="766"/>
      <c r="F62" s="766"/>
      <c r="G62" s="766"/>
      <c r="H62" s="766"/>
      <c r="I62" s="766"/>
      <c r="J62" s="766"/>
      <c r="K62" s="766"/>
      <c r="L62" s="766"/>
      <c r="M62" s="779"/>
      <c r="N62" s="774"/>
      <c r="O62" s="771"/>
      <c r="P62" s="770"/>
      <c r="Q62" s="773"/>
      <c r="R62" s="770"/>
      <c r="S62" s="773"/>
      <c r="T62" s="770"/>
      <c r="U62" s="770"/>
      <c r="V62" s="771"/>
      <c r="W62" s="770"/>
      <c r="X62" s="772"/>
      <c r="Y62" s="338">
        <v>2</v>
      </c>
      <c r="Z62" s="338"/>
      <c r="AA62" s="338"/>
      <c r="AB62" s="338"/>
      <c r="AC62" s="340" t="str">
        <f t="shared" si="14"/>
        <v xml:space="preserve">  </v>
      </c>
      <c r="AD62" s="341"/>
      <c r="AE62" s="342"/>
      <c r="AF62" s="341"/>
      <c r="AG62" s="357"/>
      <c r="AH62" s="358"/>
      <c r="AI62" s="359"/>
      <c r="AJ62" s="358"/>
      <c r="AK62" s="358"/>
      <c r="AL62" s="358"/>
      <c r="AM62" s="360"/>
      <c r="AN62" s="361"/>
      <c r="AO62" s="359"/>
      <c r="AP62" s="361"/>
      <c r="AQ62" s="359"/>
      <c r="AR62" s="362"/>
      <c r="AS62" s="343"/>
      <c r="AT62" s="336"/>
      <c r="AU62" s="337"/>
      <c r="AV62" s="337"/>
      <c r="AW62" s="345"/>
      <c r="AX62" s="774"/>
      <c r="AY62" s="774"/>
      <c r="AZ62" s="774"/>
    </row>
    <row r="63" spans="1:52" x14ac:dyDescent="0.25">
      <c r="A63" s="768"/>
      <c r="B63" s="766"/>
      <c r="C63" s="766"/>
      <c r="D63" s="766"/>
      <c r="E63" s="766"/>
      <c r="F63" s="766"/>
      <c r="G63" s="766"/>
      <c r="H63" s="766"/>
      <c r="I63" s="766"/>
      <c r="J63" s="766"/>
      <c r="K63" s="766"/>
      <c r="L63" s="766"/>
      <c r="M63" s="779"/>
      <c r="N63" s="774"/>
      <c r="O63" s="771"/>
      <c r="P63" s="770"/>
      <c r="Q63" s="773"/>
      <c r="R63" s="770"/>
      <c r="S63" s="773"/>
      <c r="T63" s="770"/>
      <c r="U63" s="770"/>
      <c r="V63" s="771"/>
      <c r="W63" s="770"/>
      <c r="X63" s="772"/>
      <c r="Y63" s="338">
        <v>3</v>
      </c>
      <c r="Z63" s="338"/>
      <c r="AA63" s="338"/>
      <c r="AB63" s="338"/>
      <c r="AC63" s="340" t="str">
        <f t="shared" si="14"/>
        <v xml:space="preserve">  </v>
      </c>
      <c r="AD63" s="341"/>
      <c r="AE63" s="342"/>
      <c r="AF63" s="341"/>
      <c r="AG63" s="357"/>
      <c r="AH63" s="358"/>
      <c r="AI63" s="359"/>
      <c r="AJ63" s="358"/>
      <c r="AK63" s="358"/>
      <c r="AL63" s="358"/>
      <c r="AM63" s="360"/>
      <c r="AN63" s="361"/>
      <c r="AO63" s="359"/>
      <c r="AP63" s="361"/>
      <c r="AQ63" s="359"/>
      <c r="AR63" s="362"/>
      <c r="AS63" s="343"/>
      <c r="AT63" s="336"/>
      <c r="AU63" s="337"/>
      <c r="AV63" s="337"/>
      <c r="AW63" s="345"/>
      <c r="AX63" s="774"/>
      <c r="AY63" s="774"/>
      <c r="AZ63" s="774"/>
    </row>
    <row r="64" spans="1:52" x14ac:dyDescent="0.25">
      <c r="A64" s="768"/>
      <c r="B64" s="766"/>
      <c r="C64" s="766"/>
      <c r="D64" s="766"/>
      <c r="E64" s="766"/>
      <c r="F64" s="766"/>
      <c r="G64" s="766"/>
      <c r="H64" s="766"/>
      <c r="I64" s="766"/>
      <c r="J64" s="766"/>
      <c r="K64" s="766"/>
      <c r="L64" s="766"/>
      <c r="M64" s="779"/>
      <c r="N64" s="774"/>
      <c r="O64" s="771"/>
      <c r="P64" s="770"/>
      <c r="Q64" s="773"/>
      <c r="R64" s="770"/>
      <c r="S64" s="773"/>
      <c r="T64" s="770"/>
      <c r="U64" s="770"/>
      <c r="V64" s="771"/>
      <c r="W64" s="770"/>
      <c r="X64" s="772"/>
      <c r="Y64" s="338">
        <v>4</v>
      </c>
      <c r="Z64" s="338"/>
      <c r="AA64" s="338"/>
      <c r="AB64" s="338"/>
      <c r="AC64" s="340" t="str">
        <f t="shared" si="14"/>
        <v xml:space="preserve">  </v>
      </c>
      <c r="AD64" s="341"/>
      <c r="AE64" s="342"/>
      <c r="AF64" s="341"/>
      <c r="AG64" s="357"/>
      <c r="AH64" s="358"/>
      <c r="AI64" s="359"/>
      <c r="AJ64" s="358"/>
      <c r="AK64" s="358"/>
      <c r="AL64" s="358"/>
      <c r="AM64" s="360"/>
      <c r="AN64" s="361"/>
      <c r="AO64" s="359"/>
      <c r="AP64" s="361"/>
      <c r="AQ64" s="359"/>
      <c r="AR64" s="362"/>
      <c r="AS64" s="343"/>
      <c r="AT64" s="336"/>
      <c r="AU64" s="337"/>
      <c r="AV64" s="337"/>
      <c r="AW64" s="345"/>
      <c r="AX64" s="774"/>
      <c r="AY64" s="774"/>
      <c r="AZ64" s="774"/>
    </row>
    <row r="65" spans="1:52" x14ac:dyDescent="0.25">
      <c r="A65" s="768"/>
      <c r="B65" s="766"/>
      <c r="C65" s="766"/>
      <c r="D65" s="766"/>
      <c r="E65" s="766"/>
      <c r="F65" s="766"/>
      <c r="G65" s="766"/>
      <c r="H65" s="766"/>
      <c r="I65" s="766"/>
      <c r="J65" s="766"/>
      <c r="K65" s="766"/>
      <c r="L65" s="766"/>
      <c r="M65" s="779"/>
      <c r="N65" s="774"/>
      <c r="O65" s="771"/>
      <c r="P65" s="770"/>
      <c r="Q65" s="773"/>
      <c r="R65" s="770"/>
      <c r="S65" s="773"/>
      <c r="T65" s="770"/>
      <c r="U65" s="770"/>
      <c r="V65" s="771"/>
      <c r="W65" s="770"/>
      <c r="X65" s="772"/>
      <c r="Y65" s="338">
        <v>5</v>
      </c>
      <c r="Z65" s="338"/>
      <c r="AA65" s="338"/>
      <c r="AB65" s="338"/>
      <c r="AC65" s="340" t="str">
        <f t="shared" si="14"/>
        <v xml:space="preserve">  </v>
      </c>
      <c r="AD65" s="341"/>
      <c r="AE65" s="342"/>
      <c r="AF65" s="341"/>
      <c r="AG65" s="357"/>
      <c r="AH65" s="358"/>
      <c r="AI65" s="359"/>
      <c r="AJ65" s="358"/>
      <c r="AK65" s="358"/>
      <c r="AL65" s="358"/>
      <c r="AM65" s="360"/>
      <c r="AN65" s="361"/>
      <c r="AO65" s="359"/>
      <c r="AP65" s="361"/>
      <c r="AQ65" s="359"/>
      <c r="AR65" s="362"/>
      <c r="AS65" s="343"/>
      <c r="AT65" s="336"/>
      <c r="AU65" s="337"/>
      <c r="AV65" s="337"/>
      <c r="AW65" s="345"/>
      <c r="AX65" s="774"/>
      <c r="AY65" s="774"/>
      <c r="AZ65" s="774"/>
    </row>
    <row r="66" spans="1:52" x14ac:dyDescent="0.25">
      <c r="A66" s="768"/>
      <c r="B66" s="766"/>
      <c r="C66" s="766"/>
      <c r="D66" s="766"/>
      <c r="E66" s="766"/>
      <c r="F66" s="766"/>
      <c r="G66" s="766"/>
      <c r="H66" s="766"/>
      <c r="I66" s="766"/>
      <c r="J66" s="766"/>
      <c r="K66" s="766"/>
      <c r="L66" s="766"/>
      <c r="M66" s="779"/>
      <c r="N66" s="774"/>
      <c r="O66" s="771"/>
      <c r="P66" s="770"/>
      <c r="Q66" s="773"/>
      <c r="R66" s="770"/>
      <c r="S66" s="773"/>
      <c r="T66" s="770"/>
      <c r="U66" s="770"/>
      <c r="V66" s="771"/>
      <c r="W66" s="770"/>
      <c r="X66" s="772"/>
      <c r="Y66" s="338">
        <v>6</v>
      </c>
      <c r="Z66" s="338"/>
      <c r="AA66" s="338"/>
      <c r="AB66" s="338"/>
      <c r="AC66" s="340" t="str">
        <f t="shared" si="14"/>
        <v xml:space="preserve">  </v>
      </c>
      <c r="AD66" s="341"/>
      <c r="AE66" s="342"/>
      <c r="AF66" s="341"/>
      <c r="AG66" s="357"/>
      <c r="AH66" s="358"/>
      <c r="AI66" s="359"/>
      <c r="AJ66" s="358"/>
      <c r="AK66" s="358"/>
      <c r="AL66" s="358"/>
      <c r="AM66" s="360"/>
      <c r="AN66" s="361"/>
      <c r="AO66" s="359"/>
      <c r="AP66" s="361"/>
      <c r="AQ66" s="359"/>
      <c r="AR66" s="362"/>
      <c r="AS66" s="343"/>
      <c r="AT66" s="336"/>
      <c r="AU66" s="337"/>
      <c r="AV66" s="337"/>
      <c r="AW66" s="345"/>
      <c r="AX66" s="774"/>
      <c r="AY66" s="774"/>
      <c r="AZ66" s="774"/>
    </row>
    <row r="67" spans="1:52" x14ac:dyDescent="0.25">
      <c r="A67" s="768">
        <v>10</v>
      </c>
      <c r="B67" s="766"/>
      <c r="C67" s="766"/>
      <c r="D67" s="766"/>
      <c r="E67" s="766"/>
      <c r="F67" s="766"/>
      <c r="G67" s="766"/>
      <c r="H67" s="766"/>
      <c r="I67" s="766"/>
      <c r="J67" s="766"/>
      <c r="K67" s="766"/>
      <c r="L67" s="766"/>
      <c r="M67" s="779"/>
      <c r="N67" s="774"/>
      <c r="O67" s="771" t="str">
        <f>IF(N67&lt;=0,"",IF(N67&lt;=2,"Muy Baja",IF(N67&lt;=24,"Baja",IF(N67&lt;=500,"Media",IF(N67&lt;=5000,"Alta","Muy Alta")))))</f>
        <v/>
      </c>
      <c r="P67" s="770" t="str">
        <f>IF(O67="","",IF(O67="Muy Baja",0.2,IF(O67="Baja",0.4,IF(O67="Media",0.6,IF(O67="Alta",0.8,IF(O67="Muy Alta",1,))))))</f>
        <v/>
      </c>
      <c r="Q67" s="773"/>
      <c r="R67" s="770" t="str">
        <f>IF(Q67="","",IF(Q67="Afectación menor a 130 SMLMV",0.2,IF(Q67="Entre 130 y 650 SMLMV",0.4,IF(Q67="Entre 650 y 1300 SMLMV",0.6,IF(Q67="Entre 1300 y 6500 SMLMV",0.8,IF(Q67="Mayor a 6500 SMLMV",1,))))))</f>
        <v/>
      </c>
      <c r="S67" s="773"/>
      <c r="T67" s="770" t="str">
        <f>IF(S67="","",IF(S67="El riesgo afecta la imagen de alguna área de la organización",0.2,IF(S67="El riesgo afecta la imagen de la entidad internamente, de conocimiento general, nivel interno, de junta dircetiva y accionistas y/o de provedores",0.4,IF(S67="El riesgo afecta la imagen de la entidad con algunos usuarios de relevancia frente al logro de los objetivos",0.6,IF(S67="El riesgo afecta la imagen de de la entidad con efecto publicitario sostenido a nivel de sector administrativo, nivel departamental o municipal",0.8,IF(S67="El riesgo afecta la imagen de la entidad a nivel nacional, con efecto publicitarios sostenible a nivel país",1,))))))</f>
        <v/>
      </c>
      <c r="U67" s="770">
        <f>MAX(R67,T67)</f>
        <v>0</v>
      </c>
      <c r="V67" s="771" t="str">
        <f>IF(U67&lt;=0,"",IF(U67=0.2,"Leve",IF(U67=0.4,"Menor",IF(U67=0.6,"Moderado",IF(U67=0.8,"Mayor",IF(U67=1,"Catrastrófico"))))))</f>
        <v/>
      </c>
      <c r="W67" s="770"/>
      <c r="X67" s="772" t="str">
        <f>IF(OR(AND(O67="Muy Baja",V67="Leve"),AND(O67="Muy Baja",V67="Menor"),AND(O67="Baja",V67="Leve")),"Bajo",IF(OR(AND(O67="Muy baja",V67="Moderado"),AND(O67="Baja",V67="Menor"),AND(O67="Baja",V67="Moderado"),AND(O67="Media",V67="Leve"),AND(O67="Media",V67="Menor"),AND(O67="Media",V67="Moderado"),AND(O67="Alta",V67="Leve"),AND(O67="Alta",V67="Menor")),"Moderado",IF(OR(AND(O67="Muy Baja",V67="Mayor"),AND(O67="Baja",V67="Mayor"),AND(O67="Media",V67="Mayor"),AND(O67="Alta",V67="Moderado"),AND(O67="Alta",V67="Mayor"),AND(O67="Muy Alta",V67="Leve"),AND(O67="Muy Alta",V67="Menor"),AND(O67="Muy Alta",V67="Moderado"),AND(O67="Muy Alta",V67="Mayor")),"Alto",IF(OR(AND(O67="Muy Baja",V67="Catastrófico"),AND(O67="Baja",V67="Catastrófico"),AND(O67="Media",V67="Catastrófico"),AND(O67="Alta",V67="Catastrófico"),AND(O67="Muy Alta",V67="Catastrófico")),"Extremo",""))))</f>
        <v/>
      </c>
      <c r="Y67" s="338">
        <v>1</v>
      </c>
      <c r="Z67" s="338"/>
      <c r="AA67" s="338"/>
      <c r="AB67" s="338"/>
      <c r="AC67" s="340" t="str">
        <f t="shared" si="14"/>
        <v xml:space="preserve">  </v>
      </c>
      <c r="AD67" s="341"/>
      <c r="AE67" s="342"/>
      <c r="AF67" s="341"/>
      <c r="AG67" s="357"/>
      <c r="AH67" s="358"/>
      <c r="AI67" s="359"/>
      <c r="AJ67" s="358"/>
      <c r="AK67" s="358"/>
      <c r="AL67" s="358"/>
      <c r="AM67" s="360"/>
      <c r="AN67" s="361"/>
      <c r="AO67" s="359"/>
      <c r="AP67" s="361"/>
      <c r="AQ67" s="359"/>
      <c r="AR67" s="362"/>
      <c r="AS67" s="343"/>
      <c r="AT67" s="336"/>
      <c r="AU67" s="337"/>
      <c r="AV67" s="337"/>
      <c r="AW67" s="345"/>
      <c r="AX67" s="774"/>
      <c r="AY67" s="774"/>
      <c r="AZ67" s="774"/>
    </row>
    <row r="68" spans="1:52" x14ac:dyDescent="0.25">
      <c r="A68" s="768"/>
      <c r="B68" s="766"/>
      <c r="C68" s="766"/>
      <c r="D68" s="766"/>
      <c r="E68" s="766"/>
      <c r="F68" s="766"/>
      <c r="G68" s="766"/>
      <c r="H68" s="766"/>
      <c r="I68" s="766"/>
      <c r="J68" s="766"/>
      <c r="K68" s="766"/>
      <c r="L68" s="766"/>
      <c r="M68" s="779"/>
      <c r="N68" s="774"/>
      <c r="O68" s="771"/>
      <c r="P68" s="770"/>
      <c r="Q68" s="773"/>
      <c r="R68" s="770"/>
      <c r="S68" s="773"/>
      <c r="T68" s="770"/>
      <c r="U68" s="770"/>
      <c r="V68" s="771"/>
      <c r="W68" s="770"/>
      <c r="X68" s="772"/>
      <c r="Y68" s="338">
        <v>2</v>
      </c>
      <c r="Z68" s="338"/>
      <c r="AA68" s="338"/>
      <c r="AB68" s="338"/>
      <c r="AC68" s="340" t="str">
        <f t="shared" si="14"/>
        <v xml:space="preserve">  </v>
      </c>
      <c r="AD68" s="341"/>
      <c r="AE68" s="342"/>
      <c r="AF68" s="341"/>
      <c r="AG68" s="357"/>
      <c r="AH68" s="358"/>
      <c r="AI68" s="359"/>
      <c r="AJ68" s="358"/>
      <c r="AK68" s="358"/>
      <c r="AL68" s="358"/>
      <c r="AM68" s="360"/>
      <c r="AN68" s="361"/>
      <c r="AO68" s="359"/>
      <c r="AP68" s="361"/>
      <c r="AQ68" s="359"/>
      <c r="AR68" s="362"/>
      <c r="AS68" s="343"/>
      <c r="AT68" s="336"/>
      <c r="AU68" s="337"/>
      <c r="AV68" s="337"/>
      <c r="AW68" s="345"/>
      <c r="AX68" s="774"/>
      <c r="AY68" s="774"/>
      <c r="AZ68" s="774"/>
    </row>
    <row r="69" spans="1:52" x14ac:dyDescent="0.25">
      <c r="A69" s="768"/>
      <c r="B69" s="766"/>
      <c r="C69" s="766"/>
      <c r="D69" s="766"/>
      <c r="E69" s="766"/>
      <c r="F69" s="766"/>
      <c r="G69" s="766"/>
      <c r="H69" s="766"/>
      <c r="I69" s="766"/>
      <c r="J69" s="766"/>
      <c r="K69" s="766"/>
      <c r="L69" s="766"/>
      <c r="M69" s="779"/>
      <c r="N69" s="774"/>
      <c r="O69" s="771"/>
      <c r="P69" s="770"/>
      <c r="Q69" s="773"/>
      <c r="R69" s="770"/>
      <c r="S69" s="773"/>
      <c r="T69" s="770"/>
      <c r="U69" s="770"/>
      <c r="V69" s="771"/>
      <c r="W69" s="770"/>
      <c r="X69" s="772"/>
      <c r="Y69" s="338">
        <v>3</v>
      </c>
      <c r="Z69" s="338"/>
      <c r="AA69" s="338"/>
      <c r="AB69" s="338"/>
      <c r="AC69" s="340" t="str">
        <f t="shared" si="14"/>
        <v xml:space="preserve">  </v>
      </c>
      <c r="AD69" s="341"/>
      <c r="AE69" s="342"/>
      <c r="AF69" s="341"/>
      <c r="AG69" s="357"/>
      <c r="AH69" s="358"/>
      <c r="AI69" s="359"/>
      <c r="AJ69" s="358"/>
      <c r="AK69" s="358"/>
      <c r="AL69" s="358"/>
      <c r="AM69" s="360"/>
      <c r="AN69" s="361"/>
      <c r="AO69" s="359"/>
      <c r="AP69" s="361"/>
      <c r="AQ69" s="359"/>
      <c r="AR69" s="362"/>
      <c r="AS69" s="343"/>
      <c r="AT69" s="336"/>
      <c r="AU69" s="337"/>
      <c r="AV69" s="337"/>
      <c r="AW69" s="345"/>
      <c r="AX69" s="774"/>
      <c r="AY69" s="774"/>
      <c r="AZ69" s="774"/>
    </row>
    <row r="70" spans="1:52" x14ac:dyDescent="0.25">
      <c r="A70" s="768"/>
      <c r="B70" s="766"/>
      <c r="C70" s="766"/>
      <c r="D70" s="766"/>
      <c r="E70" s="766"/>
      <c r="F70" s="766"/>
      <c r="G70" s="766"/>
      <c r="H70" s="766"/>
      <c r="I70" s="766"/>
      <c r="J70" s="766"/>
      <c r="K70" s="766"/>
      <c r="L70" s="766"/>
      <c r="M70" s="779"/>
      <c r="N70" s="774"/>
      <c r="O70" s="771"/>
      <c r="P70" s="770"/>
      <c r="Q70" s="773"/>
      <c r="R70" s="770"/>
      <c r="S70" s="773"/>
      <c r="T70" s="770"/>
      <c r="U70" s="770"/>
      <c r="V70" s="771"/>
      <c r="W70" s="770"/>
      <c r="X70" s="772"/>
      <c r="Y70" s="338">
        <v>4</v>
      </c>
      <c r="Z70" s="338"/>
      <c r="AA70" s="338"/>
      <c r="AB70" s="338"/>
      <c r="AC70" s="340" t="str">
        <f t="shared" si="14"/>
        <v xml:space="preserve">  </v>
      </c>
      <c r="AD70" s="341"/>
      <c r="AE70" s="342"/>
      <c r="AF70" s="341"/>
      <c r="AG70" s="357"/>
      <c r="AH70" s="358"/>
      <c r="AI70" s="359"/>
      <c r="AJ70" s="358"/>
      <c r="AK70" s="358"/>
      <c r="AL70" s="358"/>
      <c r="AM70" s="360"/>
      <c r="AN70" s="361"/>
      <c r="AO70" s="359"/>
      <c r="AP70" s="361"/>
      <c r="AQ70" s="359"/>
      <c r="AR70" s="362"/>
      <c r="AS70" s="343"/>
      <c r="AT70" s="336"/>
      <c r="AU70" s="337"/>
      <c r="AV70" s="337"/>
      <c r="AW70" s="345"/>
      <c r="AX70" s="774"/>
      <c r="AY70" s="774"/>
      <c r="AZ70" s="774"/>
    </row>
    <row r="71" spans="1:52" x14ac:dyDescent="0.25">
      <c r="A71" s="768"/>
      <c r="B71" s="766"/>
      <c r="C71" s="766"/>
      <c r="D71" s="766"/>
      <c r="E71" s="766"/>
      <c r="F71" s="766"/>
      <c r="G71" s="766"/>
      <c r="H71" s="766"/>
      <c r="I71" s="766"/>
      <c r="J71" s="766"/>
      <c r="K71" s="766"/>
      <c r="L71" s="766"/>
      <c r="M71" s="779"/>
      <c r="N71" s="774"/>
      <c r="O71" s="771"/>
      <c r="P71" s="770"/>
      <c r="Q71" s="773"/>
      <c r="R71" s="770"/>
      <c r="S71" s="773"/>
      <c r="T71" s="770"/>
      <c r="U71" s="770"/>
      <c r="V71" s="771"/>
      <c r="W71" s="770"/>
      <c r="X71" s="772"/>
      <c r="Y71" s="338">
        <v>5</v>
      </c>
      <c r="Z71" s="338"/>
      <c r="AA71" s="338"/>
      <c r="AB71" s="338"/>
      <c r="AC71" s="340" t="str">
        <f t="shared" si="14"/>
        <v xml:space="preserve">  </v>
      </c>
      <c r="AD71" s="341"/>
      <c r="AE71" s="342"/>
      <c r="AF71" s="341"/>
      <c r="AG71" s="357"/>
      <c r="AH71" s="358"/>
      <c r="AI71" s="359"/>
      <c r="AJ71" s="358"/>
      <c r="AK71" s="358"/>
      <c r="AL71" s="358"/>
      <c r="AM71" s="360"/>
      <c r="AN71" s="361"/>
      <c r="AO71" s="359"/>
      <c r="AP71" s="361"/>
      <c r="AQ71" s="359"/>
      <c r="AR71" s="362"/>
      <c r="AS71" s="343"/>
      <c r="AT71" s="336"/>
      <c r="AU71" s="337"/>
      <c r="AV71" s="337"/>
      <c r="AW71" s="345"/>
      <c r="AX71" s="774"/>
      <c r="AY71" s="774"/>
      <c r="AZ71" s="774"/>
    </row>
    <row r="72" spans="1:52" x14ac:dyDescent="0.25">
      <c r="A72" s="768"/>
      <c r="B72" s="766"/>
      <c r="C72" s="766"/>
      <c r="D72" s="766"/>
      <c r="E72" s="766"/>
      <c r="F72" s="766"/>
      <c r="G72" s="766"/>
      <c r="H72" s="766"/>
      <c r="I72" s="766"/>
      <c r="J72" s="766"/>
      <c r="K72" s="766"/>
      <c r="L72" s="766"/>
      <c r="M72" s="779"/>
      <c r="N72" s="774"/>
      <c r="O72" s="771"/>
      <c r="P72" s="770"/>
      <c r="Q72" s="773"/>
      <c r="R72" s="770"/>
      <c r="S72" s="773"/>
      <c r="T72" s="770"/>
      <c r="U72" s="770"/>
      <c r="V72" s="771"/>
      <c r="W72" s="770"/>
      <c r="X72" s="772"/>
      <c r="Y72" s="338">
        <v>6</v>
      </c>
      <c r="Z72" s="338"/>
      <c r="AA72" s="338"/>
      <c r="AB72" s="338"/>
      <c r="AC72" s="340" t="str">
        <f t="shared" si="14"/>
        <v xml:space="preserve">  </v>
      </c>
      <c r="AD72" s="341"/>
      <c r="AE72" s="342"/>
      <c r="AF72" s="341"/>
      <c r="AG72" s="357"/>
      <c r="AH72" s="358"/>
      <c r="AI72" s="359"/>
      <c r="AJ72" s="358"/>
      <c r="AK72" s="358"/>
      <c r="AL72" s="358"/>
      <c r="AM72" s="360"/>
      <c r="AN72" s="361"/>
      <c r="AO72" s="359"/>
      <c r="AP72" s="361"/>
      <c r="AQ72" s="359"/>
      <c r="AR72" s="362"/>
      <c r="AS72" s="343"/>
      <c r="AT72" s="336"/>
      <c r="AU72" s="337"/>
      <c r="AV72" s="337"/>
      <c r="AW72" s="345"/>
      <c r="AX72" s="774"/>
      <c r="AY72" s="774"/>
      <c r="AZ72" s="774"/>
    </row>
    <row r="73" spans="1:52" x14ac:dyDescent="0.25">
      <c r="A73" s="347"/>
      <c r="B73" s="780"/>
      <c r="C73" s="780"/>
      <c r="D73" s="780"/>
      <c r="E73" s="780"/>
      <c r="F73" s="780"/>
      <c r="G73" s="780"/>
      <c r="H73" s="780"/>
      <c r="I73" s="780"/>
      <c r="J73" s="780"/>
      <c r="K73" s="780"/>
      <c r="L73" s="780"/>
      <c r="M73" s="780"/>
      <c r="N73" s="780"/>
      <c r="O73" s="780"/>
      <c r="P73" s="780"/>
      <c r="Q73" s="780"/>
      <c r="R73" s="780"/>
      <c r="S73" s="780"/>
      <c r="T73" s="780"/>
      <c r="U73" s="780"/>
      <c r="V73" s="780"/>
      <c r="W73" s="780"/>
      <c r="X73" s="780"/>
      <c r="Y73" s="780"/>
      <c r="Z73" s="780"/>
      <c r="AA73" s="780"/>
      <c r="AB73" s="780"/>
      <c r="AC73" s="780"/>
      <c r="AD73" s="780"/>
      <c r="AE73" s="780"/>
      <c r="AF73" s="780"/>
      <c r="AG73" s="780"/>
      <c r="AH73" s="780"/>
      <c r="AI73" s="780"/>
      <c r="AJ73" s="780"/>
      <c r="AK73" s="780"/>
      <c r="AL73" s="780"/>
      <c r="AM73" s="780"/>
      <c r="AN73" s="780"/>
      <c r="AO73" s="780"/>
      <c r="AP73" s="780"/>
      <c r="AQ73" s="780"/>
      <c r="AR73" s="780"/>
      <c r="AS73" s="780"/>
      <c r="AT73" s="780"/>
      <c r="AU73" s="780"/>
      <c r="AV73" s="780"/>
      <c r="AW73" s="780"/>
      <c r="AX73" s="780"/>
    </row>
    <row r="75" spans="1:52" s="320" customFormat="1" x14ac:dyDescent="0.2">
      <c r="B75" s="324"/>
      <c r="AT75" s="348"/>
    </row>
    <row r="76" spans="1:52" s="350" customFormat="1" ht="15" x14ac:dyDescent="0.2">
      <c r="A76" s="349"/>
      <c r="B76" s="349"/>
      <c r="C76" s="349"/>
      <c r="D76" s="349"/>
      <c r="E76" s="349"/>
      <c r="F76" s="349"/>
      <c r="G76" s="349"/>
      <c r="H76" s="349"/>
      <c r="I76" s="349"/>
      <c r="J76" s="349"/>
      <c r="K76" s="349"/>
      <c r="L76" s="349"/>
      <c r="M76" s="349"/>
      <c r="N76" s="351"/>
      <c r="AT76" s="352"/>
    </row>
  </sheetData>
  <mergeCells count="339">
    <mergeCell ref="B73:AX73"/>
    <mergeCell ref="V67:V72"/>
    <mergeCell ref="W67:W72"/>
    <mergeCell ref="X67:X72"/>
    <mergeCell ref="AX67:AX72"/>
    <mergeCell ref="AY67:AY72"/>
    <mergeCell ref="AZ67:AZ72"/>
    <mergeCell ref="P67:P72"/>
    <mergeCell ref="Q67:Q72"/>
    <mergeCell ref="R67:R72"/>
    <mergeCell ref="S67:S72"/>
    <mergeCell ref="T67:T72"/>
    <mergeCell ref="U67:U72"/>
    <mergeCell ref="N67:N72"/>
    <mergeCell ref="O67:O72"/>
    <mergeCell ref="J67:J72"/>
    <mergeCell ref="K67:K72"/>
    <mergeCell ref="L67:L72"/>
    <mergeCell ref="M67:M72"/>
    <mergeCell ref="AZ61:AZ66"/>
    <mergeCell ref="A67:A72"/>
    <mergeCell ref="B67:B72"/>
    <mergeCell ref="C67:C72"/>
    <mergeCell ref="D67:D72"/>
    <mergeCell ref="E67:E72"/>
    <mergeCell ref="F67:F72"/>
    <mergeCell ref="G67:G72"/>
    <mergeCell ref="H67:H72"/>
    <mergeCell ref="I67:I72"/>
    <mergeCell ref="U61:U66"/>
    <mergeCell ref="V61:V66"/>
    <mergeCell ref="W61:W66"/>
    <mergeCell ref="X61:X66"/>
    <mergeCell ref="AX61:AX66"/>
    <mergeCell ref="AY61:AY66"/>
    <mergeCell ref="O61:O66"/>
    <mergeCell ref="P61:P66"/>
    <mergeCell ref="Q61:Q66"/>
    <mergeCell ref="R61:R66"/>
    <mergeCell ref="S61:S66"/>
    <mergeCell ref="T61:T66"/>
    <mergeCell ref="N61:N66"/>
    <mergeCell ref="I61:I66"/>
    <mergeCell ref="J61:J66"/>
    <mergeCell ref="K61:K66"/>
    <mergeCell ref="L61:L66"/>
    <mergeCell ref="M61:M66"/>
    <mergeCell ref="AY55:AY60"/>
    <mergeCell ref="AZ55:AZ60"/>
    <mergeCell ref="A61:A66"/>
    <mergeCell ref="B61:B66"/>
    <mergeCell ref="C61:C66"/>
    <mergeCell ref="D61:D66"/>
    <mergeCell ref="E61:E66"/>
    <mergeCell ref="F61:F66"/>
    <mergeCell ref="G61:G66"/>
    <mergeCell ref="H61:H66"/>
    <mergeCell ref="T55:T60"/>
    <mergeCell ref="U55:U60"/>
    <mergeCell ref="V55:V60"/>
    <mergeCell ref="W55:W60"/>
    <mergeCell ref="X55:X60"/>
    <mergeCell ref="AX55:AX60"/>
    <mergeCell ref="N55:N60"/>
    <mergeCell ref="O55:O60"/>
    <mergeCell ref="P55:P60"/>
    <mergeCell ref="Q55:Q60"/>
    <mergeCell ref="R55:R60"/>
    <mergeCell ref="S55:S60"/>
    <mergeCell ref="H55:H60"/>
    <mergeCell ref="I55:I60"/>
    <mergeCell ref="J55:J60"/>
    <mergeCell ref="K55:K60"/>
    <mergeCell ref="L55:L60"/>
    <mergeCell ref="M55:M60"/>
    <mergeCell ref="AX49:AX54"/>
    <mergeCell ref="J49:J54"/>
    <mergeCell ref="K49:K54"/>
    <mergeCell ref="L49:L54"/>
    <mergeCell ref="AY49:AY54"/>
    <mergeCell ref="AZ49:AZ54"/>
    <mergeCell ref="A55:A60"/>
    <mergeCell ref="B55:B60"/>
    <mergeCell ref="C55:C60"/>
    <mergeCell ref="D55:D60"/>
    <mergeCell ref="E55:E60"/>
    <mergeCell ref="F55:F60"/>
    <mergeCell ref="G55:G60"/>
    <mergeCell ref="S49:S54"/>
    <mergeCell ref="T49:T54"/>
    <mergeCell ref="U49:U54"/>
    <mergeCell ref="V49:V54"/>
    <mergeCell ref="W49:W54"/>
    <mergeCell ref="X49:X54"/>
    <mergeCell ref="N49:N54"/>
    <mergeCell ref="O49:O54"/>
    <mergeCell ref="P49:P54"/>
    <mergeCell ref="Q49:Q54"/>
    <mergeCell ref="R49:R54"/>
    <mergeCell ref="M49:M54"/>
    <mergeCell ref="G49:G54"/>
    <mergeCell ref="H49:H54"/>
    <mergeCell ref="I49:I54"/>
    <mergeCell ref="A49:A54"/>
    <mergeCell ref="B49:B54"/>
    <mergeCell ref="C49:C54"/>
    <mergeCell ref="D49:D54"/>
    <mergeCell ref="E49:E54"/>
    <mergeCell ref="F49:F54"/>
    <mergeCell ref="V43:V48"/>
    <mergeCell ref="W43:W48"/>
    <mergeCell ref="X43:X48"/>
    <mergeCell ref="N43:N48"/>
    <mergeCell ref="O43:O48"/>
    <mergeCell ref="J43:J48"/>
    <mergeCell ref="K43:K48"/>
    <mergeCell ref="L43:L48"/>
    <mergeCell ref="M43:M48"/>
    <mergeCell ref="AX43:AX48"/>
    <mergeCell ref="AY43:AY48"/>
    <mergeCell ref="AZ43:AZ48"/>
    <mergeCell ref="P43:P48"/>
    <mergeCell ref="Q43:Q48"/>
    <mergeCell ref="R43:R48"/>
    <mergeCell ref="S43:S48"/>
    <mergeCell ref="T43:T48"/>
    <mergeCell ref="U43:U48"/>
    <mergeCell ref="AZ37:AZ42"/>
    <mergeCell ref="A43:A48"/>
    <mergeCell ref="B43:B48"/>
    <mergeCell ref="C43:C48"/>
    <mergeCell ref="D43:D48"/>
    <mergeCell ref="E43:E48"/>
    <mergeCell ref="F43:F48"/>
    <mergeCell ref="G43:G48"/>
    <mergeCell ref="H43:H48"/>
    <mergeCell ref="I43:I48"/>
    <mergeCell ref="U37:U42"/>
    <mergeCell ref="V37:V42"/>
    <mergeCell ref="W37:W42"/>
    <mergeCell ref="X37:X42"/>
    <mergeCell ref="AX37:AX42"/>
    <mergeCell ref="AY37:AY42"/>
    <mergeCell ref="O37:O42"/>
    <mergeCell ref="P37:P42"/>
    <mergeCell ref="Q37:Q42"/>
    <mergeCell ref="R37:R42"/>
    <mergeCell ref="S37:S42"/>
    <mergeCell ref="T37:T42"/>
    <mergeCell ref="N37:N42"/>
    <mergeCell ref="I37:I42"/>
    <mergeCell ref="J37:J42"/>
    <mergeCell ref="K37:K42"/>
    <mergeCell ref="L37:L42"/>
    <mergeCell ref="M37:M42"/>
    <mergeCell ref="AY31:AY36"/>
    <mergeCell ref="AZ31:AZ36"/>
    <mergeCell ref="A37:A42"/>
    <mergeCell ref="B37:B42"/>
    <mergeCell ref="C37:C42"/>
    <mergeCell ref="D37:D42"/>
    <mergeCell ref="E37:E42"/>
    <mergeCell ref="F37:F42"/>
    <mergeCell ref="G37:G42"/>
    <mergeCell ref="H37:H42"/>
    <mergeCell ref="T31:T36"/>
    <mergeCell ref="U31:U36"/>
    <mergeCell ref="V31:V36"/>
    <mergeCell ref="W31:W36"/>
    <mergeCell ref="X31:X36"/>
    <mergeCell ref="AX31:AX36"/>
    <mergeCell ref="N31:N36"/>
    <mergeCell ref="O31:O36"/>
    <mergeCell ref="P31:P36"/>
    <mergeCell ref="Q31:Q36"/>
    <mergeCell ref="R31:R36"/>
    <mergeCell ref="S31:S36"/>
    <mergeCell ref="H31:H36"/>
    <mergeCell ref="I31:I36"/>
    <mergeCell ref="J31:J36"/>
    <mergeCell ref="K31:K36"/>
    <mergeCell ref="L31:L36"/>
    <mergeCell ref="M31:M36"/>
    <mergeCell ref="AX25:AX30"/>
    <mergeCell ref="J25:J30"/>
    <mergeCell ref="K25:K30"/>
    <mergeCell ref="L25:L30"/>
    <mergeCell ref="AY25:AY30"/>
    <mergeCell ref="AZ25:AZ30"/>
    <mergeCell ref="A31:A36"/>
    <mergeCell ref="B31:B36"/>
    <mergeCell ref="C31:C36"/>
    <mergeCell ref="D31:D36"/>
    <mergeCell ref="E31:E36"/>
    <mergeCell ref="F31:F36"/>
    <mergeCell ref="G31:G36"/>
    <mergeCell ref="S25:S30"/>
    <mergeCell ref="T25:T30"/>
    <mergeCell ref="U25:U30"/>
    <mergeCell ref="V25:V30"/>
    <mergeCell ref="W25:W30"/>
    <mergeCell ref="X25:X30"/>
    <mergeCell ref="N25:N30"/>
    <mergeCell ref="O25:O30"/>
    <mergeCell ref="P25:P30"/>
    <mergeCell ref="Q25:Q30"/>
    <mergeCell ref="R25:R30"/>
    <mergeCell ref="M25:M30"/>
    <mergeCell ref="G25:G30"/>
    <mergeCell ref="H25:H30"/>
    <mergeCell ref="I25:I30"/>
    <mergeCell ref="A25:A30"/>
    <mergeCell ref="B25:B30"/>
    <mergeCell ref="C25:C30"/>
    <mergeCell ref="D25:D30"/>
    <mergeCell ref="E25:E30"/>
    <mergeCell ref="F25:F30"/>
    <mergeCell ref="V19:V24"/>
    <mergeCell ref="W19:W24"/>
    <mergeCell ref="X19:X24"/>
    <mergeCell ref="N19:N24"/>
    <mergeCell ref="O19:O24"/>
    <mergeCell ref="J19:J24"/>
    <mergeCell ref="K19:K24"/>
    <mergeCell ref="L19:L24"/>
    <mergeCell ref="M19:M24"/>
    <mergeCell ref="F19:F24"/>
    <mergeCell ref="AX19:AX24"/>
    <mergeCell ref="AY19:AY24"/>
    <mergeCell ref="AZ19:AZ24"/>
    <mergeCell ref="P19:P24"/>
    <mergeCell ref="Q19:Q24"/>
    <mergeCell ref="R19:R24"/>
    <mergeCell ref="S19:S24"/>
    <mergeCell ref="T19:T24"/>
    <mergeCell ref="U19:U24"/>
    <mergeCell ref="AZ13:AZ18"/>
    <mergeCell ref="A19:A24"/>
    <mergeCell ref="B19:B24"/>
    <mergeCell ref="C19:C24"/>
    <mergeCell ref="D19:D24"/>
    <mergeCell ref="E19:E24"/>
    <mergeCell ref="F13:F18"/>
    <mergeCell ref="G19:G24"/>
    <mergeCell ref="H19:H24"/>
    <mergeCell ref="I19:I24"/>
    <mergeCell ref="U13:U18"/>
    <mergeCell ref="V13:V18"/>
    <mergeCell ref="W13:W18"/>
    <mergeCell ref="X13:X18"/>
    <mergeCell ref="AX13:AX18"/>
    <mergeCell ref="AY13:AY18"/>
    <mergeCell ref="O13:O18"/>
    <mergeCell ref="P13:P18"/>
    <mergeCell ref="Q13:Q18"/>
    <mergeCell ref="R13:R18"/>
    <mergeCell ref="S13:S18"/>
    <mergeCell ref="T13:T18"/>
    <mergeCell ref="N13:N18"/>
    <mergeCell ref="I13:I18"/>
    <mergeCell ref="J13:J18"/>
    <mergeCell ref="K13:K18"/>
    <mergeCell ref="L13:L18"/>
    <mergeCell ref="M13:M18"/>
    <mergeCell ref="AY11:AY12"/>
    <mergeCell ref="AZ11:AZ12"/>
    <mergeCell ref="A13:A18"/>
    <mergeCell ref="B13:B18"/>
    <mergeCell ref="C13:C18"/>
    <mergeCell ref="D13:D18"/>
    <mergeCell ref="E13:E18"/>
    <mergeCell ref="G13:G18"/>
    <mergeCell ref="H13:H18"/>
    <mergeCell ref="AS11:AS12"/>
    <mergeCell ref="AT11:AT12"/>
    <mergeCell ref="AU11:AU12"/>
    <mergeCell ref="AV11:AV12"/>
    <mergeCell ref="AW11:AW12"/>
    <mergeCell ref="AX11:AX12"/>
    <mergeCell ref="AM11:AM12"/>
    <mergeCell ref="AN11:AN12"/>
    <mergeCell ref="AO11:AO12"/>
    <mergeCell ref="AP11:AP12"/>
    <mergeCell ref="N11:N12"/>
    <mergeCell ref="O11:O12"/>
    <mergeCell ref="P11:P12"/>
    <mergeCell ref="Q11:Q12"/>
    <mergeCell ref="J11:J12"/>
    <mergeCell ref="K11:K12"/>
    <mergeCell ref="L11:L12"/>
    <mergeCell ref="M11:M12"/>
    <mergeCell ref="AX10:AZ10"/>
    <mergeCell ref="AQ11:AQ12"/>
    <mergeCell ref="AR11:AR12"/>
    <mergeCell ref="X11:X12"/>
    <mergeCell ref="Y11:Y12"/>
    <mergeCell ref="AC11:AC12"/>
    <mergeCell ref="AD11:AE11"/>
    <mergeCell ref="AF11:AF12"/>
    <mergeCell ref="AG11:AL11"/>
    <mergeCell ref="R11:R12"/>
    <mergeCell ref="S11:S12"/>
    <mergeCell ref="T11:T12"/>
    <mergeCell ref="U11:U12"/>
    <mergeCell ref="V11:V12"/>
    <mergeCell ref="W11:W12"/>
    <mergeCell ref="A11:A12"/>
    <mergeCell ref="B11:B12"/>
    <mergeCell ref="C11:C12"/>
    <mergeCell ref="D11:D12"/>
    <mergeCell ref="E11:E12"/>
    <mergeCell ref="F11:F12"/>
    <mergeCell ref="G11:G12"/>
    <mergeCell ref="H11:H12"/>
    <mergeCell ref="I11:I12"/>
    <mergeCell ref="A8:B8"/>
    <mergeCell ref="C8:W8"/>
    <mergeCell ref="AH8:AZ8"/>
    <mergeCell ref="A10:F10"/>
    <mergeCell ref="N10:X10"/>
    <mergeCell ref="Y10:AM10"/>
    <mergeCell ref="AN10:AR10"/>
    <mergeCell ref="AS10:AW10"/>
    <mergeCell ref="A6:B6"/>
    <mergeCell ref="C6:W6"/>
    <mergeCell ref="AC6:AG6"/>
    <mergeCell ref="AH6:AZ6"/>
    <mergeCell ref="A7:B7"/>
    <mergeCell ref="C7:W7"/>
    <mergeCell ref="AH7:AZ7"/>
    <mergeCell ref="A1:C4"/>
    <mergeCell ref="D1:W2"/>
    <mergeCell ref="AF1:AZ2"/>
    <mergeCell ref="D3:M3"/>
    <mergeCell ref="N3:W3"/>
    <mergeCell ref="AF3:AT3"/>
    <mergeCell ref="AU3:AZ3"/>
    <mergeCell ref="D4:W4"/>
    <mergeCell ref="AF4:AZ4"/>
  </mergeCells>
  <conditionalFormatting sqref="O13 O19 O25 O31 O37 O43 O49 O55 O61 O67">
    <cfRule type="cellIs" dxfId="134" priority="1" operator="equal">
      <formula>"Muy Alta"</formula>
    </cfRule>
    <cfRule type="cellIs" dxfId="133" priority="2" operator="equal">
      <formula>"Alta"</formula>
    </cfRule>
    <cfRule type="cellIs" dxfId="132" priority="3" operator="equal">
      <formula>"Media"</formula>
    </cfRule>
    <cfRule type="cellIs" dxfId="131" priority="4" operator="equal">
      <formula>"Baja"</formula>
    </cfRule>
    <cfRule type="cellIs" dxfId="130" priority="5" operator="equal">
      <formula>"Muy Baja"</formula>
    </cfRule>
  </conditionalFormatting>
  <conditionalFormatting sqref="S14:S18 S20:S24 S26:S30 S32:S36 S38:S42 S44:S48 S50:S54 S56:S60 S62:S66 S68:S72">
    <cfRule type="containsText" dxfId="129" priority="6" operator="containsText" text="❌">
      <formula>NOT(ISERROR(SEARCH("❌",S14)))</formula>
    </cfRule>
  </conditionalFormatting>
  <conditionalFormatting sqref="V13 V19 V25 V31 V37 V43 V49 V55 V61 V67">
    <cfRule type="cellIs" dxfId="128" priority="7" operator="equal">
      <formula>"Catastrófico"</formula>
    </cfRule>
    <cfRule type="cellIs" dxfId="127" priority="8" operator="equal">
      <formula>"Mayor"</formula>
    </cfRule>
    <cfRule type="cellIs" dxfId="126" priority="9" operator="equal">
      <formula>"Moderado"</formula>
    </cfRule>
    <cfRule type="cellIs" dxfId="125" priority="10" operator="equal">
      <formula>"Menor"</formula>
    </cfRule>
    <cfRule type="cellIs" dxfId="124" priority="11" operator="equal">
      <formula>"Leve"</formula>
    </cfRule>
    <cfRule type="cellIs" dxfId="123" priority="30" operator="equal">
      <formula>0</formula>
    </cfRule>
  </conditionalFormatting>
  <conditionalFormatting sqref="X13 X19 X25 X31 X37 X43 X49 X55 X61 X67">
    <cfRule type="cellIs" dxfId="122" priority="12" operator="equal">
      <formula>"Extremo"</formula>
    </cfRule>
    <cfRule type="cellIs" dxfId="121" priority="13" operator="equal">
      <formula>"Alto"</formula>
    </cfRule>
    <cfRule type="cellIs" dxfId="120" priority="14" operator="equal">
      <formula>"Moderado"</formula>
    </cfRule>
    <cfRule type="cellIs" dxfId="119" priority="15" operator="equal">
      <formula>"Bajo"</formula>
    </cfRule>
  </conditionalFormatting>
  <conditionalFormatting sqref="AN13:AN72">
    <cfRule type="cellIs" dxfId="118" priority="16" operator="equal">
      <formula>"Muy Alta"</formula>
    </cfRule>
    <cfRule type="cellIs" dxfId="117" priority="17" operator="equal">
      <formula>"Alta"</formula>
    </cfRule>
    <cfRule type="cellIs" dxfId="116" priority="18" operator="equal">
      <formula>"Media"</formula>
    </cfRule>
    <cfRule type="cellIs" dxfId="115" priority="19" operator="equal">
      <formula>"Baja"</formula>
    </cfRule>
    <cfRule type="cellIs" dxfId="114" priority="20" operator="equal">
      <formula>"Muy Baja"</formula>
    </cfRule>
  </conditionalFormatting>
  <conditionalFormatting sqref="AP13:AP72">
    <cfRule type="cellIs" dxfId="113" priority="21" operator="equal">
      <formula>"Catastrófico"</formula>
    </cfRule>
    <cfRule type="cellIs" dxfId="112" priority="22" operator="equal">
      <formula>"Mayor"</formula>
    </cfRule>
    <cfRule type="cellIs" dxfId="111" priority="23" operator="equal">
      <formula>"Moderado"</formula>
    </cfRule>
    <cfRule type="cellIs" dxfId="110" priority="24" operator="equal">
      <formula>"Menor"</formula>
    </cfRule>
    <cfRule type="cellIs" dxfId="109" priority="25" operator="equal">
      <formula>"Leve"</formula>
    </cfRule>
  </conditionalFormatting>
  <conditionalFormatting sqref="AR13:AR72">
    <cfRule type="cellIs" dxfId="108" priority="26" operator="equal">
      <formula>"Extremo"</formula>
    </cfRule>
    <cfRule type="cellIs" dxfId="107" priority="27" operator="equal">
      <formula>"Alto"</formula>
    </cfRule>
    <cfRule type="cellIs" dxfId="106" priority="28" operator="equal">
      <formula>"Moderado"</formula>
    </cfRule>
    <cfRule type="cellIs" dxfId="105" priority="29" operator="equal">
      <formula>"Bajo"</formula>
    </cfRule>
  </conditionalFormatting>
  <pageMargins left="0.70833333333333304" right="0.70833333333333304" top="0.74791666666666701" bottom="0.74861111111111101" header="0.511811023622047" footer="0.31527777777777799"/>
  <pageSetup scale="31" orientation="landscape" horizontalDpi="300" verticalDpi="300"/>
  <headerFooter>
    <oddFooter>&amp;LCalle 26 No. 69-76,Edificio Elemento ,   Torre Aire , Piso 3, CP-111071
PBX:(+57) 601-3779555 - Información: Línea 195
Sede Operativa: Calle 22D No. 120-40 
www.umv.gov.co&amp;CDES-FM-018
Página &amp;P de &amp;N</oddFooter>
  </headerFooter>
  <colBreaks count="1" manualBreakCount="1">
    <brk id="23" max="1048575" man="1"/>
  </colBreaks>
  <drawing r:id="rId1"/>
  <legacy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2F94C882-4C9D-455B-B06C-7C4AB01F3D22}">
          <x14:formula1>
            <xm:f>Listas!$E$4:$E$6</xm:f>
          </x14:formula1>
          <xm:sqref>B13:B72</xm:sqref>
        </x14:dataValidation>
        <x14:dataValidation type="list" allowBlank="1" showInputMessage="1" showErrorMessage="1" xr:uid="{10362F48-56C2-4E05-ACC4-629F73E36FF3}">
          <x14:formula1>
            <xm:f>Listas!$B$25:$B$27</xm:f>
          </x14:formula1>
          <xm:sqref>C13:C72</xm:sqref>
        </x14:dataValidation>
        <x14:dataValidation type="list" allowBlank="1" showInputMessage="1" showErrorMessage="1" xr:uid="{57597426-86EA-41CD-9A44-144C01CF7FCB}">
          <x14:formula1>
            <xm:f>Amenazas!$C$2:$C$11</xm:f>
          </x14:formula1>
          <xm:sqref>G13:G72</xm:sqref>
        </x14:dataValidation>
        <x14:dataValidation type="list" allowBlank="1" showInputMessage="1" showErrorMessage="1" xr:uid="{6291C15A-04B8-40FF-AF07-2F91F4B519BB}">
          <x14:formula1>
            <xm:f>Listas!$B$38:$B$45</xm:f>
          </x14:formula1>
          <xm:sqref>L13:L72</xm:sqref>
        </x14:dataValidation>
        <x14:dataValidation type="list" allowBlank="1" showInputMessage="1" showErrorMessage="1" xr:uid="{F83BFF32-87C0-4050-B0E3-A51DDFE9EDAF}">
          <x14:formula1>
            <xm:f>'Tabla Impacto'!$F$212:$F$216</xm:f>
          </x14:formula1>
          <xm:sqref>Q25:Q72</xm:sqref>
        </x14:dataValidation>
        <x14:dataValidation type="list" allowBlank="1" showInputMessage="1" showErrorMessage="1" xr:uid="{EC5FCE41-94E1-4DF1-9F06-CE8F1F71939C}">
          <x14:formula1>
            <xm:f>'Tabla Impacto'!$F$218:$F$222</xm:f>
          </x14:formula1>
          <xm:sqref>S25:S72</xm:sqref>
        </x14:dataValidation>
        <x14:dataValidation type="list" allowBlank="1" showInputMessage="1" showErrorMessage="1" xr:uid="{C6D29BB8-14D6-4816-BE41-8C4C89EC62C5}">
          <x14:formula1>
            <xm:f>Listas!$H$4:$H$8</xm:f>
          </x14:formula1>
          <xm:sqref>AA13:AA72</xm:sqref>
        </x14:dataValidation>
        <x14:dataValidation type="list" allowBlank="1" showInputMessage="1" showErrorMessage="1" xr:uid="{545F8715-8D92-46C1-984F-3EEC4D462044}">
          <x14:formula1>
            <xm:f>Listas!$A$87:$A$180</xm:f>
          </x14:formula1>
          <xm:sqref>AD13:AD72</xm:sqref>
        </x14:dataValidation>
        <x14:dataValidation type="list" allowBlank="1" showInputMessage="1" showErrorMessage="1" xr:uid="{4AF01F86-BF4D-4085-8845-894B113D49D4}">
          <x14:formula1>
            <xm:f>'Tabla Valoración controles'!$D$4:$D$6</xm:f>
          </x14:formula1>
          <xm:sqref>AG13:AG72</xm:sqref>
        </x14:dataValidation>
        <x14:dataValidation type="list" allowBlank="1" showInputMessage="1" showErrorMessage="1" xr:uid="{AF142A43-B75D-4837-B994-72217593F11D}">
          <x14:formula1>
            <xm:f>'Tabla Valoración controles'!$D$7:$D$8</xm:f>
          </x14:formula1>
          <xm:sqref>AH13:AH72</xm:sqref>
        </x14:dataValidation>
        <x14:dataValidation type="list" allowBlank="1" showInputMessage="1" showErrorMessage="1" xr:uid="{479E5B56-4A12-43EB-A6BA-9F002AAE0EC2}">
          <x14:formula1>
            <xm:f>'Tabla Valoración controles'!$D$9:$D$10</xm:f>
          </x14:formula1>
          <xm:sqref>AJ13:AJ72</xm:sqref>
        </x14:dataValidation>
        <x14:dataValidation type="list" allowBlank="1" showInputMessage="1" showErrorMessage="1" xr:uid="{C44B408B-7D52-42DA-810F-3BB93FFF5B6D}">
          <x14:formula1>
            <xm:f>'Tabla Valoración controles'!$D$11:$D$12</xm:f>
          </x14:formula1>
          <xm:sqref>AK13:AK72</xm:sqref>
        </x14:dataValidation>
        <x14:dataValidation type="list" allowBlank="1" showInputMessage="1" showErrorMessage="1" xr:uid="{557F9FCB-64BB-4545-92A6-53102FCA18F0}">
          <x14:formula1>
            <xm:f>'Tabla Valoración controles'!$D$13:$D$14</xm:f>
          </x14:formula1>
          <xm:sqref>AL13:AL72</xm:sqref>
        </x14:dataValidation>
        <x14:dataValidation type="list" allowBlank="1" showInputMessage="1" showErrorMessage="1" xr:uid="{1BB97592-EC39-4E3D-9A6E-907EEF5EEB44}">
          <x14:formula1>
            <xm:f>Listas!$B$4:$B$7</xm:f>
          </x14:formula1>
          <xm:sqref>AS13:AS72</xm:sqref>
        </x14:dataValidation>
        <x14:dataValidation type="list" allowBlank="1" showInputMessage="1" showErrorMessage="1" xr:uid="{2CE55BE6-2A22-4FF5-BC34-38DB3C9FA591}">
          <x14:formula1>
            <xm:f>'Intructivo control cambio'!$C$294:$C$318</xm:f>
          </x14:formula1>
          <xm:sqref>C6:W6</xm:sqref>
        </x14:dataValidation>
        <x14:dataValidation type="list" allowBlank="1" showInputMessage="1" showErrorMessage="1" xr:uid="{870964A7-4391-492B-AEEE-D4B90984734C}">
          <x14:formula1>
            <xm:f>'Tabla Impacto'!$E$212:$E$216</xm:f>
          </x14:formula1>
          <xm:sqref>Q13:Q24</xm:sqref>
        </x14:dataValidation>
        <x14:dataValidation type="list" allowBlank="1" showInputMessage="1" showErrorMessage="1" xr:uid="{06237BE9-4D23-40B9-AD30-2F51944A4A6B}">
          <x14:formula1>
            <xm:f>'Tabla Impacto'!$C$216:$C$220</xm:f>
          </x14:formula1>
          <xm:sqref>S13:S24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D3618-8D7A-413A-87C9-92C790DB0077}">
  <sheetPr>
    <tabColor theme="9" tint="-0.249977111117893"/>
  </sheetPr>
  <dimension ref="A1:JO76"/>
  <sheetViews>
    <sheetView topLeftCell="AE8" zoomScale="70" zoomScaleNormal="70" zoomScaleSheetLayoutView="50" zoomScalePageLayoutView="60" workbookViewId="0">
      <selection activeCell="AW18" sqref="AW18"/>
    </sheetView>
  </sheetViews>
  <sheetFormatPr baseColWidth="10" defaultColWidth="11.42578125" defaultRowHeight="15" x14ac:dyDescent="0.2"/>
  <cols>
    <col min="1" max="1" width="6.5703125" style="203" customWidth="1"/>
    <col min="2" max="2" width="22.7109375" style="203" customWidth="1"/>
    <col min="3" max="3" width="19.140625" style="203" customWidth="1"/>
    <col min="4" max="5" width="25.28515625" style="203" customWidth="1"/>
    <col min="6" max="6" width="51.140625" style="203" customWidth="1"/>
    <col min="7" max="7" width="21" style="185" customWidth="1"/>
    <col min="8" max="8" width="17.7109375" style="185" customWidth="1"/>
    <col min="9" max="10" width="18.85546875" style="185" customWidth="1"/>
    <col min="11" max="11" width="24.28515625" style="185" customWidth="1"/>
    <col min="12" max="12" width="19.42578125" style="185" customWidth="1"/>
    <col min="13" max="13" width="20.5703125" style="185" customWidth="1"/>
    <col min="14" max="14" width="16.7109375" style="204" customWidth="1"/>
    <col min="15" max="15" width="16.7109375" style="185" customWidth="1"/>
    <col min="16" max="16" width="13.85546875" style="185" hidden="1" customWidth="1"/>
    <col min="17" max="17" width="19.5703125" style="185" customWidth="1"/>
    <col min="18" max="18" width="35.85546875" style="185" hidden="1" customWidth="1"/>
    <col min="19" max="19" width="19" style="185" customWidth="1"/>
    <col min="20" max="20" width="17.5703125" style="185" hidden="1" customWidth="1"/>
    <col min="21" max="21" width="15" style="185" customWidth="1"/>
    <col min="22" max="22" width="5.140625" style="185" customWidth="1"/>
    <col min="23" max="23" width="29.85546875" style="185" customWidth="1"/>
    <col min="24" max="24" width="11.7109375" style="185" customWidth="1"/>
    <col min="25" max="25" width="33.5703125" style="185" customWidth="1"/>
    <col min="26" max="26" width="32.7109375" style="185" customWidth="1"/>
    <col min="27" max="27" width="19.7109375" style="185" hidden="1" customWidth="1"/>
    <col min="28" max="28" width="5.85546875" style="185" customWidth="1"/>
    <col min="29" max="29" width="6.85546875" style="185" customWidth="1"/>
    <col min="30" max="30" width="5" style="185" hidden="1" customWidth="1"/>
    <col min="31" max="31" width="5.5703125" style="185" customWidth="1"/>
    <col min="32" max="32" width="7.140625" style="185" customWidth="1"/>
    <col min="33" max="33" width="6.7109375" style="185" customWidth="1"/>
    <col min="34" max="34" width="7.5703125" style="185" hidden="1" customWidth="1"/>
    <col min="35" max="35" width="8.5703125" style="185" customWidth="1"/>
    <col min="36" max="40" width="10.85546875" style="185" customWidth="1"/>
    <col min="41" max="41" width="33.28515625" style="202" customWidth="1"/>
    <col min="42" max="42" width="23" style="185" customWidth="1"/>
    <col min="43" max="43" width="18.85546875" style="185" customWidth="1"/>
    <col min="44" max="44" width="23.7109375" style="185" customWidth="1"/>
    <col min="45" max="45" width="22.42578125" style="185" customWidth="1"/>
    <col min="46" max="46" width="16.42578125" style="185" customWidth="1"/>
    <col min="47" max="47" width="20.5703125" style="185" customWidth="1"/>
    <col min="48" max="16384" width="11.42578125" style="185"/>
  </cols>
  <sheetData>
    <row r="1" spans="1:275" s="187" customFormat="1" ht="20.25" x14ac:dyDescent="0.3">
      <c r="A1" s="476"/>
      <c r="B1" s="477"/>
      <c r="C1" s="478"/>
      <c r="D1" s="465" t="s">
        <v>421</v>
      </c>
      <c r="E1" s="466"/>
      <c r="F1" s="466"/>
      <c r="G1" s="466"/>
      <c r="H1" s="466"/>
      <c r="I1" s="466"/>
      <c r="J1" s="466"/>
      <c r="K1" s="466"/>
      <c r="L1" s="466"/>
      <c r="M1" s="466"/>
      <c r="N1" s="466"/>
      <c r="O1" s="466"/>
      <c r="P1" s="466"/>
      <c r="Q1" s="466"/>
      <c r="R1" s="466"/>
      <c r="S1" s="466"/>
      <c r="T1" s="467"/>
      <c r="U1" s="234"/>
      <c r="V1" s="234"/>
      <c r="W1" s="234"/>
      <c r="X1" s="234"/>
      <c r="Y1" s="234"/>
      <c r="Z1" s="234"/>
      <c r="AA1" s="492"/>
      <c r="AB1" s="492"/>
      <c r="AC1" s="492"/>
      <c r="AD1" s="492"/>
      <c r="AE1" s="492"/>
      <c r="AF1" s="492"/>
      <c r="AG1" s="492"/>
      <c r="AH1" s="492"/>
      <c r="AI1" s="492"/>
      <c r="AJ1" s="492"/>
      <c r="AK1" s="492"/>
      <c r="AL1" s="492"/>
      <c r="AM1" s="492"/>
      <c r="AN1" s="492"/>
      <c r="AO1" s="492"/>
      <c r="AP1" s="492"/>
      <c r="AQ1" s="492"/>
      <c r="AR1" s="492"/>
      <c r="AS1" s="492"/>
      <c r="AT1" s="492"/>
      <c r="AU1" s="492"/>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479"/>
      <c r="B2" s="480"/>
      <c r="C2" s="481"/>
      <c r="D2" s="468"/>
      <c r="E2" s="469"/>
      <c r="F2" s="469"/>
      <c r="G2" s="469"/>
      <c r="H2" s="469"/>
      <c r="I2" s="469"/>
      <c r="J2" s="469"/>
      <c r="K2" s="469"/>
      <c r="L2" s="469"/>
      <c r="M2" s="469"/>
      <c r="N2" s="469"/>
      <c r="O2" s="469"/>
      <c r="P2" s="469"/>
      <c r="Q2" s="469"/>
      <c r="R2" s="469"/>
      <c r="S2" s="469"/>
      <c r="T2" s="470"/>
      <c r="U2" s="234"/>
      <c r="V2" s="234"/>
      <c r="W2" s="234"/>
      <c r="X2" s="234"/>
      <c r="Y2" s="234"/>
      <c r="Z2" s="234"/>
      <c r="AA2" s="492"/>
      <c r="AB2" s="492"/>
      <c r="AC2" s="492"/>
      <c r="AD2" s="492"/>
      <c r="AE2" s="492"/>
      <c r="AF2" s="492"/>
      <c r="AG2" s="492"/>
      <c r="AH2" s="492"/>
      <c r="AI2" s="492"/>
      <c r="AJ2" s="492"/>
      <c r="AK2" s="492"/>
      <c r="AL2" s="492"/>
      <c r="AM2" s="492"/>
      <c r="AN2" s="492"/>
      <c r="AO2" s="492"/>
      <c r="AP2" s="492"/>
      <c r="AQ2" s="492"/>
      <c r="AR2" s="492"/>
      <c r="AS2" s="492"/>
      <c r="AT2" s="492"/>
      <c r="AU2" s="492"/>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479"/>
      <c r="B3" s="480"/>
      <c r="C3" s="481"/>
      <c r="D3" s="471" t="s">
        <v>422</v>
      </c>
      <c r="E3" s="472"/>
      <c r="F3" s="472"/>
      <c r="G3" s="472"/>
      <c r="H3" s="472"/>
      <c r="I3" s="473"/>
      <c r="J3" s="471" t="s">
        <v>423</v>
      </c>
      <c r="K3" s="472"/>
      <c r="L3" s="472"/>
      <c r="M3" s="472"/>
      <c r="N3" s="472"/>
      <c r="O3" s="472"/>
      <c r="P3" s="472"/>
      <c r="Q3" s="472"/>
      <c r="R3" s="472"/>
      <c r="S3" s="472"/>
      <c r="T3" s="473"/>
      <c r="U3" s="235"/>
      <c r="V3" s="235"/>
      <c r="W3" s="235"/>
      <c r="X3" s="235"/>
      <c r="Y3" s="235"/>
      <c r="Z3" s="234"/>
      <c r="AA3" s="493"/>
      <c r="AB3" s="493"/>
      <c r="AC3" s="493"/>
      <c r="AD3" s="493"/>
      <c r="AE3" s="493"/>
      <c r="AF3" s="493"/>
      <c r="AG3" s="493"/>
      <c r="AH3" s="493"/>
      <c r="AI3" s="493"/>
      <c r="AJ3" s="493"/>
      <c r="AK3" s="493"/>
      <c r="AL3" s="493"/>
      <c r="AM3" s="493"/>
      <c r="AN3" s="493"/>
      <c r="AO3" s="493"/>
      <c r="AP3" s="493"/>
      <c r="AQ3" s="493"/>
      <c r="AR3" s="493"/>
      <c r="AS3" s="493"/>
      <c r="AT3" s="493"/>
      <c r="AU3" s="493"/>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482"/>
      <c r="B4" s="483"/>
      <c r="C4" s="484"/>
      <c r="D4" s="471" t="s">
        <v>424</v>
      </c>
      <c r="E4" s="472"/>
      <c r="F4" s="472"/>
      <c r="G4" s="472"/>
      <c r="H4" s="472"/>
      <c r="I4" s="472"/>
      <c r="J4" s="472"/>
      <c r="K4" s="472"/>
      <c r="L4" s="472"/>
      <c r="M4" s="472"/>
      <c r="N4" s="472"/>
      <c r="O4" s="472"/>
      <c r="P4" s="472"/>
      <c r="Q4" s="472"/>
      <c r="R4" s="472"/>
      <c r="S4" s="472"/>
      <c r="T4" s="473"/>
      <c r="U4" s="234"/>
      <c r="V4" s="234"/>
      <c r="W4" s="234"/>
      <c r="X4" s="234"/>
      <c r="Y4" s="234"/>
      <c r="Z4" s="234"/>
      <c r="AA4" s="493"/>
      <c r="AB4" s="493"/>
      <c r="AC4" s="493"/>
      <c r="AD4" s="493"/>
      <c r="AE4" s="493"/>
      <c r="AF4" s="493"/>
      <c r="AG4" s="493"/>
      <c r="AH4" s="493"/>
      <c r="AI4" s="493"/>
      <c r="AJ4" s="493"/>
      <c r="AK4" s="493"/>
      <c r="AL4" s="493"/>
      <c r="AM4" s="493"/>
      <c r="AN4" s="493"/>
      <c r="AO4" s="493"/>
      <c r="AP4" s="493"/>
      <c r="AQ4" s="493"/>
      <c r="AR4" s="493"/>
      <c r="AS4" s="493"/>
      <c r="AT4" s="493"/>
      <c r="AU4" s="493"/>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C5" s="188"/>
      <c r="D5" s="188"/>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494" t="s">
        <v>425</v>
      </c>
      <c r="B6" s="495"/>
      <c r="C6" s="501" t="s">
        <v>426</v>
      </c>
      <c r="D6" s="502"/>
      <c r="E6" s="502"/>
      <c r="F6" s="502"/>
      <c r="G6" s="502"/>
      <c r="H6" s="502"/>
      <c r="I6" s="502"/>
      <c r="J6" s="502"/>
      <c r="K6" s="502"/>
      <c r="L6" s="502"/>
      <c r="M6" s="502"/>
      <c r="N6" s="502"/>
      <c r="O6" s="502"/>
      <c r="P6" s="502"/>
      <c r="Q6" s="502"/>
      <c r="R6" s="502"/>
      <c r="S6" s="502"/>
      <c r="T6" s="503"/>
      <c r="U6" s="237"/>
      <c r="V6" s="237"/>
      <c r="W6" s="237"/>
      <c r="X6" s="237"/>
      <c r="Y6" s="237"/>
      <c r="Z6" s="500"/>
      <c r="AA6" s="500"/>
      <c r="AB6" s="500"/>
      <c r="AC6" s="491"/>
      <c r="AD6" s="491"/>
      <c r="AE6" s="491"/>
      <c r="AF6" s="491"/>
      <c r="AG6" s="491"/>
      <c r="AH6" s="491"/>
      <c r="AI6" s="491"/>
      <c r="AJ6" s="491"/>
      <c r="AK6" s="491"/>
      <c r="AL6" s="491"/>
      <c r="AM6" s="491"/>
      <c r="AN6" s="491"/>
      <c r="AO6" s="491"/>
      <c r="AP6" s="491"/>
      <c r="AQ6" s="491"/>
      <c r="AR6" s="491"/>
      <c r="AS6" s="491"/>
      <c r="AT6" s="491"/>
      <c r="AU6" s="491"/>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496" t="s">
        <v>427</v>
      </c>
      <c r="B7" s="497"/>
      <c r="C7" s="462"/>
      <c r="D7" s="463"/>
      <c r="E7" s="463"/>
      <c r="F7" s="463"/>
      <c r="G7" s="463"/>
      <c r="H7" s="463"/>
      <c r="I7" s="463"/>
      <c r="J7" s="463"/>
      <c r="K7" s="463"/>
      <c r="L7" s="463"/>
      <c r="M7" s="463"/>
      <c r="N7" s="463"/>
      <c r="O7" s="463"/>
      <c r="P7" s="463"/>
      <c r="Q7" s="463"/>
      <c r="R7" s="463"/>
      <c r="S7" s="463"/>
      <c r="T7" s="464"/>
      <c r="U7" s="238"/>
      <c r="V7" s="238"/>
      <c r="W7" s="238"/>
      <c r="X7" s="238"/>
      <c r="Y7" s="238"/>
      <c r="Z7" s="239"/>
      <c r="AA7" s="239"/>
      <c r="AB7" s="239"/>
      <c r="AC7" s="491"/>
      <c r="AD7" s="491"/>
      <c r="AE7" s="491"/>
      <c r="AF7" s="491"/>
      <c r="AG7" s="491"/>
      <c r="AH7" s="491"/>
      <c r="AI7" s="491"/>
      <c r="AJ7" s="491"/>
      <c r="AK7" s="491"/>
      <c r="AL7" s="491"/>
      <c r="AM7" s="491"/>
      <c r="AN7" s="491"/>
      <c r="AO7" s="491"/>
      <c r="AP7" s="491"/>
      <c r="AQ7" s="491"/>
      <c r="AR7" s="491"/>
      <c r="AS7" s="491"/>
      <c r="AT7" s="491"/>
      <c r="AU7" s="491"/>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27" customHeight="1" thickBot="1" x14ac:dyDescent="0.3">
      <c r="A8" s="498" t="s">
        <v>428</v>
      </c>
      <c r="B8" s="499"/>
      <c r="C8" s="462"/>
      <c r="D8" s="463"/>
      <c r="E8" s="463"/>
      <c r="F8" s="463"/>
      <c r="G8" s="463"/>
      <c r="H8" s="463"/>
      <c r="I8" s="463"/>
      <c r="J8" s="463"/>
      <c r="K8" s="463"/>
      <c r="L8" s="463"/>
      <c r="M8" s="463"/>
      <c r="N8" s="463"/>
      <c r="O8" s="463"/>
      <c r="P8" s="463"/>
      <c r="Q8" s="463"/>
      <c r="R8" s="463"/>
      <c r="S8" s="463"/>
      <c r="T8" s="464"/>
      <c r="U8" s="238"/>
      <c r="V8" s="238"/>
      <c r="W8" s="238"/>
      <c r="X8" s="238"/>
      <c r="Y8" s="238"/>
      <c r="Z8" s="239"/>
      <c r="AA8" s="239"/>
      <c r="AB8" s="239"/>
      <c r="AC8" s="491"/>
      <c r="AD8" s="491"/>
      <c r="AE8" s="491"/>
      <c r="AF8" s="491"/>
      <c r="AG8" s="491"/>
      <c r="AH8" s="491"/>
      <c r="AI8" s="491"/>
      <c r="AJ8" s="491"/>
      <c r="AK8" s="491"/>
      <c r="AL8" s="491"/>
      <c r="AM8" s="491"/>
      <c r="AN8" s="491"/>
      <c r="AO8" s="491"/>
      <c r="AP8" s="491"/>
      <c r="AQ8" s="491"/>
      <c r="AR8" s="491"/>
      <c r="AS8" s="491"/>
      <c r="AT8" s="491"/>
      <c r="AU8" s="491"/>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27.75" customHeight="1" x14ac:dyDescent="0.2">
      <c r="A10" s="506" t="s">
        <v>429</v>
      </c>
      <c r="B10" s="507"/>
      <c r="C10" s="507"/>
      <c r="D10" s="507"/>
      <c r="E10" s="507"/>
      <c r="F10" s="507"/>
      <c r="G10" s="508"/>
      <c r="H10" s="534" t="s">
        <v>430</v>
      </c>
      <c r="I10" s="535"/>
      <c r="J10" s="535"/>
      <c r="K10" s="536"/>
      <c r="L10" s="540" t="s">
        <v>431</v>
      </c>
      <c r="M10" s="541"/>
      <c r="N10" s="542" t="s">
        <v>432</v>
      </c>
      <c r="O10" s="543"/>
      <c r="P10" s="543"/>
      <c r="Q10" s="543"/>
      <c r="R10" s="543"/>
      <c r="S10" s="543"/>
      <c r="T10" s="543"/>
      <c r="U10" s="543"/>
      <c r="V10" s="507" t="s">
        <v>433</v>
      </c>
      <c r="W10" s="507"/>
      <c r="X10" s="507"/>
      <c r="Y10" s="507"/>
      <c r="Z10" s="507"/>
      <c r="AA10" s="507"/>
      <c r="AB10" s="507"/>
      <c r="AC10" s="507"/>
      <c r="AD10" s="507"/>
      <c r="AE10" s="507"/>
      <c r="AF10" s="507"/>
      <c r="AG10" s="507"/>
      <c r="AH10" s="508"/>
      <c r="AI10" s="537" t="s">
        <v>434</v>
      </c>
      <c r="AJ10" s="538"/>
      <c r="AK10" s="538"/>
      <c r="AL10" s="538"/>
      <c r="AM10" s="539"/>
      <c r="AN10" s="506" t="s">
        <v>435</v>
      </c>
      <c r="AO10" s="507"/>
      <c r="AP10" s="507"/>
      <c r="AQ10" s="507"/>
      <c r="AR10" s="508"/>
      <c r="AS10" s="534" t="s">
        <v>436</v>
      </c>
      <c r="AT10" s="535"/>
      <c r="AU10" s="536"/>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customHeight="1" x14ac:dyDescent="0.2">
      <c r="A11" s="525" t="s">
        <v>437</v>
      </c>
      <c r="B11" s="510" t="s">
        <v>438</v>
      </c>
      <c r="C11" s="510" t="s">
        <v>439</v>
      </c>
      <c r="D11" s="510" t="s">
        <v>440</v>
      </c>
      <c r="E11" s="684" t="s">
        <v>441</v>
      </c>
      <c r="F11" s="510" t="s">
        <v>442</v>
      </c>
      <c r="G11" s="510" t="s">
        <v>571</v>
      </c>
      <c r="H11" s="528" t="s">
        <v>139</v>
      </c>
      <c r="I11" s="528" t="s">
        <v>443</v>
      </c>
      <c r="J11" s="528" t="s">
        <v>444</v>
      </c>
      <c r="K11" s="528" t="s">
        <v>445</v>
      </c>
      <c r="L11" s="540"/>
      <c r="M11" s="541"/>
      <c r="N11" s="530" t="s">
        <v>446</v>
      </c>
      <c r="O11" s="530" t="s">
        <v>447</v>
      </c>
      <c r="P11" s="509" t="s">
        <v>448</v>
      </c>
      <c r="Q11" s="530" t="s">
        <v>449</v>
      </c>
      <c r="R11" s="782" t="s">
        <v>450</v>
      </c>
      <c r="S11" s="530" t="s">
        <v>451</v>
      </c>
      <c r="T11" s="530" t="s">
        <v>448</v>
      </c>
      <c r="U11" s="530" t="s">
        <v>452</v>
      </c>
      <c r="V11" s="532" t="s">
        <v>453</v>
      </c>
      <c r="W11" s="251"/>
      <c r="X11" s="251"/>
      <c r="Y11" s="251"/>
      <c r="Z11" s="510" t="s">
        <v>31</v>
      </c>
      <c r="AA11" s="510" t="s">
        <v>33</v>
      </c>
      <c r="AB11" s="510" t="s">
        <v>454</v>
      </c>
      <c r="AC11" s="510"/>
      <c r="AD11" s="510"/>
      <c r="AE11" s="510"/>
      <c r="AF11" s="510"/>
      <c r="AG11" s="510"/>
      <c r="AH11" s="532" t="s">
        <v>455</v>
      </c>
      <c r="AI11" s="533" t="s">
        <v>456</v>
      </c>
      <c r="AJ11" s="533" t="s">
        <v>448</v>
      </c>
      <c r="AK11" s="533" t="s">
        <v>457</v>
      </c>
      <c r="AL11" s="533" t="s">
        <v>448</v>
      </c>
      <c r="AM11" s="533" t="s">
        <v>458</v>
      </c>
      <c r="AN11" s="532" t="s">
        <v>49</v>
      </c>
      <c r="AO11" s="510" t="s">
        <v>459</v>
      </c>
      <c r="AP11" s="759" t="s">
        <v>460</v>
      </c>
      <c r="AQ11" s="759" t="s">
        <v>461</v>
      </c>
      <c r="AR11" s="759" t="s">
        <v>462</v>
      </c>
      <c r="AS11" s="531" t="s">
        <v>463</v>
      </c>
      <c r="AT11" s="531" t="s">
        <v>464</v>
      </c>
      <c r="AU11" s="531" t="s">
        <v>467</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99" x14ac:dyDescent="0.25">
      <c r="A12" s="525"/>
      <c r="B12" s="526"/>
      <c r="C12" s="510"/>
      <c r="D12" s="510"/>
      <c r="E12" s="685"/>
      <c r="F12" s="526"/>
      <c r="G12" s="510"/>
      <c r="H12" s="529"/>
      <c r="I12" s="529"/>
      <c r="J12" s="529"/>
      <c r="K12" s="529"/>
      <c r="L12" s="250" t="s">
        <v>465</v>
      </c>
      <c r="M12" s="250" t="s">
        <v>466</v>
      </c>
      <c r="N12" s="530"/>
      <c r="O12" s="530"/>
      <c r="P12" s="509"/>
      <c r="Q12" s="530"/>
      <c r="R12" s="782"/>
      <c r="S12" s="530"/>
      <c r="T12" s="530"/>
      <c r="U12" s="530"/>
      <c r="V12" s="532"/>
      <c r="W12" s="249" t="s">
        <v>467</v>
      </c>
      <c r="X12" s="249" t="s">
        <v>463</v>
      </c>
      <c r="Y12" s="249" t="s">
        <v>468</v>
      </c>
      <c r="Z12" s="510"/>
      <c r="AA12" s="510"/>
      <c r="AB12" s="248" t="s">
        <v>469</v>
      </c>
      <c r="AC12" s="248" t="s">
        <v>470</v>
      </c>
      <c r="AD12" s="248" t="s">
        <v>471</v>
      </c>
      <c r="AE12" s="248" t="s">
        <v>472</v>
      </c>
      <c r="AF12" s="248" t="s">
        <v>473</v>
      </c>
      <c r="AG12" s="248" t="s">
        <v>474</v>
      </c>
      <c r="AH12" s="532"/>
      <c r="AI12" s="533"/>
      <c r="AJ12" s="533"/>
      <c r="AK12" s="533"/>
      <c r="AL12" s="533"/>
      <c r="AM12" s="533"/>
      <c r="AN12" s="532"/>
      <c r="AO12" s="510"/>
      <c r="AP12" s="759"/>
      <c r="AQ12" s="759"/>
      <c r="AR12" s="759"/>
      <c r="AS12" s="531"/>
      <c r="AT12" s="531"/>
      <c r="AU12" s="531"/>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x14ac:dyDescent="0.25">
      <c r="A13" s="523">
        <v>1</v>
      </c>
      <c r="B13" s="515"/>
      <c r="C13" s="515"/>
      <c r="D13" s="515"/>
      <c r="E13" s="515"/>
      <c r="F13" s="520"/>
      <c r="G13" s="515"/>
      <c r="H13" s="516"/>
      <c r="I13" s="516"/>
      <c r="J13" s="516"/>
      <c r="K13" s="516"/>
      <c r="L13" s="516"/>
      <c r="M13" s="516"/>
      <c r="N13" s="519"/>
      <c r="O13" s="514"/>
      <c r="P13" s="512"/>
      <c r="Q13" s="513"/>
      <c r="R13" s="781"/>
      <c r="S13" s="514"/>
      <c r="T13" s="512"/>
      <c r="U13" s="511"/>
      <c r="V13" s="199"/>
      <c r="W13" s="244"/>
      <c r="X13" s="244"/>
      <c r="Y13" s="244"/>
      <c r="Z13" s="224" t="str">
        <f>+CONCATENATE(W13," ",X13," ",Y13)</f>
        <v xml:space="preserve">  </v>
      </c>
      <c r="AA13" s="176" t="str">
        <f t="shared" ref="AA13:AA18" si="0">IF(OR(AB13="Preventivo",AB13="Detectivo"),"Probabilidad",IF(AB13="Correctivo","Impacto",""))</f>
        <v/>
      </c>
      <c r="AB13" s="177"/>
      <c r="AC13" s="177"/>
      <c r="AD13" s="178" t="str">
        <f>IF(AND(AB13="Preventivo",AC13="Automático"),"50%",IF(AND(AB13="Preventivo",AC13="Manual"),"40%",IF(AND(AB13="Detectivo",AC13="Automático"),"40%",IF(AND(AB13="Detectivo",AC13="Manual"),"30%",IF(AND(AB13="Correctivo",AC13="Automático"),"35%",IF(AND(AB13="Correctivo",AC13="Manual"),"25%",""))))))</f>
        <v/>
      </c>
      <c r="AE13" s="177"/>
      <c r="AF13" s="177"/>
      <c r="AG13" s="177"/>
      <c r="AH13" s="179" t="str">
        <f>IFERROR(IF(AA13="Probabilidad",(P13-(+P13*AD13)),IF(AA13="Impacto",P13,"")),"")</f>
        <v/>
      </c>
      <c r="AI13" s="180" t="str">
        <f>IFERROR(IF(AH13="","",IF(AH13&lt;=0.2,"Muy Baja",IF(AH13&lt;=0.4,"Baja",IF(AH13&lt;=0.6,"Media",IF(AH13&lt;=0.8,"Alta","Muy Alta"))))),"")</f>
        <v/>
      </c>
      <c r="AJ13" s="178" t="str">
        <f>+AH13</f>
        <v/>
      </c>
      <c r="AK13" s="180" t="str">
        <f>IFERROR(IF(AL13="","",IF(AL13&lt;=0.2,"Leve",IF(AL13&lt;=0.4,"Menor",IF(AL13&lt;=0.6,"Moderado",IF(AL13&lt;=0.8,"Mayor","Catastrófico"))))),"")</f>
        <v/>
      </c>
      <c r="AL13" s="178" t="str">
        <f>IFERROR(IF(AA13="Impacto",(T13-(+T13*AD13)),IF(AA13="Probabilidad",T13,"")),"")</f>
        <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
      </c>
      <c r="AN13" s="182"/>
      <c r="AO13" s="175"/>
      <c r="AP13" s="183"/>
      <c r="AQ13" s="183"/>
      <c r="AR13" s="184"/>
      <c r="AS13" s="515"/>
      <c r="AT13" s="515"/>
      <c r="AU13" s="515"/>
    </row>
    <row r="14" spans="1:275" ht="19.5" customHeight="1" x14ac:dyDescent="0.2">
      <c r="A14" s="523"/>
      <c r="B14" s="515"/>
      <c r="C14" s="515"/>
      <c r="D14" s="515"/>
      <c r="E14" s="515"/>
      <c r="F14" s="520"/>
      <c r="G14" s="515"/>
      <c r="H14" s="517"/>
      <c r="I14" s="517"/>
      <c r="J14" s="517"/>
      <c r="K14" s="517"/>
      <c r="L14" s="517"/>
      <c r="M14" s="517"/>
      <c r="N14" s="519"/>
      <c r="O14" s="514"/>
      <c r="P14" s="512"/>
      <c r="Q14" s="513"/>
      <c r="R14" s="781"/>
      <c r="S14" s="514"/>
      <c r="T14" s="512"/>
      <c r="U14" s="511"/>
      <c r="V14" s="199"/>
      <c r="W14" s="244"/>
      <c r="X14" s="199"/>
      <c r="Y14" s="199"/>
      <c r="Z14" s="224" t="str">
        <f t="shared" ref="Z14:Z72" si="1">+CONCATENATE(W14," ",X14," ",Y14)</f>
        <v xml:space="preserve">  </v>
      </c>
      <c r="AA14" s="176" t="str">
        <f t="shared" si="0"/>
        <v/>
      </c>
      <c r="AB14" s="177"/>
      <c r="AC14" s="177"/>
      <c r="AD14" s="178" t="str">
        <f t="shared" ref="AD14:AD18" si="2">IF(AND(AB14="Preventivo",AC14="Automático"),"50%",IF(AND(AB14="Preventivo",AC14="Manual"),"40%",IF(AND(AB14="Detectivo",AC14="Automático"),"40%",IF(AND(AB14="Detectivo",AC14="Manual"),"30%",IF(AND(AB14="Correctivo",AC14="Automático"),"35%",IF(AND(AB14="Correctivo",AC14="Manual"),"25%",""))))))</f>
        <v/>
      </c>
      <c r="AE14" s="177"/>
      <c r="AF14" s="177"/>
      <c r="AG14" s="177"/>
      <c r="AH14" s="179" t="str">
        <f>IFERROR(IF(AND(AA13="Probabilidad",AA14="Probabilidad"),(AJ13-(+AJ13*AD14)),IF(AA14="Probabilidad",(P13-(+P13*AD14)),IF(AA14="Impacto",AJ13,""))),"")</f>
        <v/>
      </c>
      <c r="AI14" s="180" t="str">
        <f t="shared" ref="AI14:AI72" si="3">IFERROR(IF(AH14="","",IF(AH14&lt;=0.2,"Muy Baja",IF(AH14&lt;=0.4,"Baja",IF(AH14&lt;=0.6,"Media",IF(AH14&lt;=0.8,"Alta","Muy Alta"))))),"")</f>
        <v/>
      </c>
      <c r="AJ14" s="178" t="str">
        <f t="shared" ref="AJ14:AJ18" si="4">+AH14</f>
        <v/>
      </c>
      <c r="AK14" s="180" t="str">
        <f t="shared" ref="AK14:AK72" si="5">IFERROR(IF(AL14="","",IF(AL14&lt;=0.2,"Leve",IF(AL14&lt;=0.4,"Menor",IF(AL14&lt;=0.6,"Moderado",IF(AL14&lt;=0.8,"Mayor","Catastrófico"))))),"")</f>
        <v/>
      </c>
      <c r="AL14" s="178" t="str">
        <f>IFERROR(IF(AND(AA13="Impacto",AA14="Impacto"),(AL13-(+AL13*AD14)),IF(AA14="Impacto",($T$13-(+$T$13*AD14)),IF(AA14="Probabilidad",AL13,""))),"")</f>
        <v/>
      </c>
      <c r="AM14" s="181"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182"/>
      <c r="AO14" s="175"/>
      <c r="AP14" s="183"/>
      <c r="AQ14" s="175"/>
      <c r="AR14" s="184"/>
      <c r="AS14" s="515"/>
      <c r="AT14" s="515"/>
      <c r="AU14" s="515"/>
    </row>
    <row r="15" spans="1:275" x14ac:dyDescent="0.2">
      <c r="A15" s="523"/>
      <c r="B15" s="515"/>
      <c r="C15" s="515"/>
      <c r="D15" s="515"/>
      <c r="E15" s="515"/>
      <c r="F15" s="520"/>
      <c r="G15" s="515"/>
      <c r="H15" s="517"/>
      <c r="I15" s="517"/>
      <c r="J15" s="517"/>
      <c r="K15" s="517"/>
      <c r="L15" s="517"/>
      <c r="M15" s="517"/>
      <c r="N15" s="519"/>
      <c r="O15" s="514"/>
      <c r="P15" s="512"/>
      <c r="Q15" s="513"/>
      <c r="R15" s="781"/>
      <c r="S15" s="514"/>
      <c r="T15" s="512"/>
      <c r="U15" s="511"/>
      <c r="V15" s="199"/>
      <c r="W15" s="244"/>
      <c r="X15" s="199"/>
      <c r="Y15" s="199"/>
      <c r="Z15" s="224" t="str">
        <f t="shared" si="1"/>
        <v xml:space="preserve">  </v>
      </c>
      <c r="AA15" s="176" t="str">
        <f t="shared" si="0"/>
        <v/>
      </c>
      <c r="AB15" s="177"/>
      <c r="AC15" s="177"/>
      <c r="AD15" s="178" t="str">
        <f t="shared" si="2"/>
        <v/>
      </c>
      <c r="AE15" s="177"/>
      <c r="AF15" s="177"/>
      <c r="AG15" s="177"/>
      <c r="AH15" s="179" t="str">
        <f>IFERROR(IF(AND(AA14="Probabilidad",AA15="Probabilidad"),(AJ14-(+AJ14*AD15)),IF(AND(AA14="Impacto",AA15="Probabilidad"),(AJ13-(+AJ13*AD15)),IF(AA15="Impacto",AJ14,""))),"")</f>
        <v/>
      </c>
      <c r="AI15" s="180" t="str">
        <f t="shared" si="3"/>
        <v/>
      </c>
      <c r="AJ15" s="178" t="str">
        <f t="shared" si="4"/>
        <v/>
      </c>
      <c r="AK15" s="180" t="str">
        <f t="shared" si="5"/>
        <v/>
      </c>
      <c r="AL15" s="178" t="str">
        <f>IFERROR(IF(AND(AA14="Impacto",AA15="Impacto"),(AL14-(+AL14*AD15)),IF(AND(AA14="Probabilidad",AA15="Impacto"),(AL13-(+AL13*AD15)),IF(AA15="Probabilidad",AL14,""))),"")</f>
        <v/>
      </c>
      <c r="AM15" s="181" t="str">
        <f t="shared" si="6"/>
        <v/>
      </c>
      <c r="AN15" s="182"/>
      <c r="AO15" s="175"/>
      <c r="AP15" s="183"/>
      <c r="AQ15" s="183"/>
      <c r="AR15" s="184"/>
      <c r="AS15" s="515"/>
      <c r="AT15" s="515"/>
      <c r="AU15" s="515"/>
    </row>
    <row r="16" spans="1:275" x14ac:dyDescent="0.2">
      <c r="A16" s="523"/>
      <c r="B16" s="515"/>
      <c r="C16" s="515"/>
      <c r="D16" s="515"/>
      <c r="E16" s="515"/>
      <c r="F16" s="520"/>
      <c r="G16" s="515"/>
      <c r="H16" s="517"/>
      <c r="I16" s="517"/>
      <c r="J16" s="517"/>
      <c r="K16" s="517"/>
      <c r="L16" s="517"/>
      <c r="M16" s="517"/>
      <c r="N16" s="519"/>
      <c r="O16" s="514"/>
      <c r="P16" s="512"/>
      <c r="Q16" s="513"/>
      <c r="R16" s="781"/>
      <c r="S16" s="514"/>
      <c r="T16" s="512"/>
      <c r="U16" s="511"/>
      <c r="V16" s="199"/>
      <c r="W16" s="244"/>
      <c r="X16" s="199"/>
      <c r="Y16" s="199"/>
      <c r="Z16" s="224" t="str">
        <f t="shared" si="1"/>
        <v xml:space="preserve">  </v>
      </c>
      <c r="AA16" s="176" t="str">
        <f t="shared" si="0"/>
        <v/>
      </c>
      <c r="AB16" s="177"/>
      <c r="AC16" s="177"/>
      <c r="AD16" s="178" t="str">
        <f t="shared" si="2"/>
        <v/>
      </c>
      <c r="AE16" s="177"/>
      <c r="AF16" s="177"/>
      <c r="AG16" s="177"/>
      <c r="AH16" s="179" t="str">
        <f t="shared" ref="AH16:AH18" si="7">IFERROR(IF(AND(AA15="Probabilidad",AA16="Probabilidad"),(AJ15-(+AJ15*AD16)),IF(AND(AA15="Impacto",AA16="Probabilidad"),(AJ14-(+AJ14*AD16)),IF(AA16="Impacto",AJ15,""))),"")</f>
        <v/>
      </c>
      <c r="AI16" s="180" t="str">
        <f t="shared" si="3"/>
        <v/>
      </c>
      <c r="AJ16" s="178" t="str">
        <f t="shared" si="4"/>
        <v/>
      </c>
      <c r="AK16" s="180" t="str">
        <f t="shared" si="5"/>
        <v/>
      </c>
      <c r="AL16" s="178" t="str">
        <f t="shared" ref="AL16:AL18" si="8">IFERROR(IF(AND(AA15="Impacto",AA16="Impacto"),(AL15-(+AL15*AD16)),IF(AND(AA15="Probabilidad",AA16="Impacto"),(AL14-(+AL14*AD16)),IF(AA16="Probabilidad",AL15,""))),"")</f>
        <v/>
      </c>
      <c r="AM16" s="181"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182"/>
      <c r="AO16" s="175"/>
      <c r="AP16" s="183"/>
      <c r="AQ16" s="183"/>
      <c r="AR16" s="184"/>
      <c r="AS16" s="515"/>
      <c r="AT16" s="515"/>
      <c r="AU16" s="515"/>
    </row>
    <row r="17" spans="1:47" x14ac:dyDescent="0.2">
      <c r="A17" s="523"/>
      <c r="B17" s="515"/>
      <c r="C17" s="515"/>
      <c r="D17" s="515"/>
      <c r="E17" s="515"/>
      <c r="F17" s="520"/>
      <c r="G17" s="515"/>
      <c r="H17" s="517"/>
      <c r="I17" s="517"/>
      <c r="J17" s="517"/>
      <c r="K17" s="517"/>
      <c r="L17" s="517"/>
      <c r="M17" s="517"/>
      <c r="N17" s="519"/>
      <c r="O17" s="514"/>
      <c r="P17" s="512"/>
      <c r="Q17" s="513"/>
      <c r="R17" s="781"/>
      <c r="S17" s="514"/>
      <c r="T17" s="512"/>
      <c r="U17" s="511"/>
      <c r="V17" s="199"/>
      <c r="W17" s="244"/>
      <c r="X17" s="199"/>
      <c r="Y17" s="199"/>
      <c r="Z17" s="224" t="str">
        <f t="shared" si="1"/>
        <v xml:space="preserve">  </v>
      </c>
      <c r="AA17" s="176" t="str">
        <f t="shared" si="0"/>
        <v/>
      </c>
      <c r="AB17" s="177"/>
      <c r="AC17" s="177"/>
      <c r="AD17" s="178" t="str">
        <f t="shared" si="2"/>
        <v/>
      </c>
      <c r="AE17" s="177"/>
      <c r="AF17" s="177"/>
      <c r="AG17" s="177"/>
      <c r="AH17" s="179" t="str">
        <f t="shared" si="7"/>
        <v/>
      </c>
      <c r="AI17" s="180" t="str">
        <f t="shared" si="3"/>
        <v/>
      </c>
      <c r="AJ17" s="178" t="str">
        <f t="shared" si="4"/>
        <v/>
      </c>
      <c r="AK17" s="180" t="str">
        <f t="shared" si="5"/>
        <v/>
      </c>
      <c r="AL17" s="178" t="str">
        <f t="shared" si="8"/>
        <v/>
      </c>
      <c r="AM17" s="181" t="str">
        <f t="shared" si="6"/>
        <v/>
      </c>
      <c r="AN17" s="182"/>
      <c r="AO17" s="175"/>
      <c r="AP17" s="183"/>
      <c r="AQ17" s="183"/>
      <c r="AR17" s="184"/>
      <c r="AS17" s="515"/>
      <c r="AT17" s="515"/>
      <c r="AU17" s="515"/>
    </row>
    <row r="18" spans="1:47" x14ac:dyDescent="0.2">
      <c r="A18" s="523"/>
      <c r="B18" s="515"/>
      <c r="C18" s="515"/>
      <c r="D18" s="515"/>
      <c r="E18" s="515"/>
      <c r="F18" s="520"/>
      <c r="G18" s="515"/>
      <c r="H18" s="518"/>
      <c r="I18" s="518"/>
      <c r="J18" s="518"/>
      <c r="K18" s="518"/>
      <c r="L18" s="518"/>
      <c r="M18" s="518"/>
      <c r="N18" s="519"/>
      <c r="O18" s="514"/>
      <c r="P18" s="512"/>
      <c r="Q18" s="513"/>
      <c r="R18" s="781"/>
      <c r="S18" s="514"/>
      <c r="T18" s="512"/>
      <c r="U18" s="511"/>
      <c r="V18" s="199"/>
      <c r="W18" s="244"/>
      <c r="X18" s="199"/>
      <c r="Y18" s="199"/>
      <c r="Z18" s="224" t="str">
        <f t="shared" si="1"/>
        <v xml:space="preserve">  </v>
      </c>
      <c r="AA18" s="176" t="str">
        <f t="shared" si="0"/>
        <v/>
      </c>
      <c r="AB18" s="177"/>
      <c r="AC18" s="177"/>
      <c r="AD18" s="178" t="str">
        <f t="shared" si="2"/>
        <v/>
      </c>
      <c r="AE18" s="177"/>
      <c r="AF18" s="177"/>
      <c r="AG18" s="177"/>
      <c r="AH18" s="179" t="str">
        <f t="shared" si="7"/>
        <v/>
      </c>
      <c r="AI18" s="180" t="str">
        <f t="shared" si="3"/>
        <v/>
      </c>
      <c r="AJ18" s="178" t="str">
        <f t="shared" si="4"/>
        <v/>
      </c>
      <c r="AK18" s="180" t="str">
        <f t="shared" si="5"/>
        <v/>
      </c>
      <c r="AL18" s="178" t="str">
        <f t="shared" si="8"/>
        <v/>
      </c>
      <c r="AM18" s="181" t="str">
        <f t="shared" si="6"/>
        <v/>
      </c>
      <c r="AN18" s="182"/>
      <c r="AO18" s="175"/>
      <c r="AP18" s="183"/>
      <c r="AQ18" s="183"/>
      <c r="AR18" s="184"/>
      <c r="AS18" s="515"/>
      <c r="AT18" s="515"/>
      <c r="AU18" s="515"/>
    </row>
    <row r="19" spans="1:47" x14ac:dyDescent="0.2">
      <c r="A19" s="523">
        <v>2</v>
      </c>
      <c r="B19" s="515"/>
      <c r="C19" s="515"/>
      <c r="D19" s="515"/>
      <c r="E19" s="515"/>
      <c r="F19" s="520"/>
      <c r="G19" s="515"/>
      <c r="H19" s="516"/>
      <c r="I19" s="516"/>
      <c r="J19" s="516"/>
      <c r="K19" s="516"/>
      <c r="L19" s="516"/>
      <c r="M19" s="516"/>
      <c r="N19" s="519"/>
      <c r="O19" s="514"/>
      <c r="P19" s="512"/>
      <c r="Q19" s="513"/>
      <c r="R19" s="512"/>
      <c r="S19" s="514"/>
      <c r="T19" s="512"/>
      <c r="U19" s="511"/>
      <c r="V19" s="199"/>
      <c r="W19" s="244"/>
      <c r="X19" s="199"/>
      <c r="Y19" s="199"/>
      <c r="Z19" s="224" t="str">
        <f t="shared" si="1"/>
        <v xml:space="preserve">  </v>
      </c>
      <c r="AA19" s="176" t="str">
        <f>IF(OR(AB19="Preventivo",AB19="Detectivo"),"Probabilidad",IF(AB19="Correctivo","Impacto",""))</f>
        <v/>
      </c>
      <c r="AB19" s="177"/>
      <c r="AC19" s="177"/>
      <c r="AD19" s="178" t="str">
        <f>IF(AND(AB19="Preventivo",AC19="Automático"),"50%",IF(AND(AB19="Preventivo",AC19="Manual"),"40%",IF(AND(AB19="Detectivo",AC19="Automático"),"40%",IF(AND(AB19="Detectivo",AC19="Manual"),"30%",IF(AND(AB19="Correctivo",AC19="Automático"),"35%",IF(AND(AB19="Correctivo",AC19="Manual"),"25%",""))))))</f>
        <v/>
      </c>
      <c r="AE19" s="177"/>
      <c r="AF19" s="177"/>
      <c r="AG19" s="177"/>
      <c r="AH19" s="179" t="str">
        <f>IFERROR(IF(AA19="Probabilidad",(P19-(+P19*AD19)),IF(AA19="Impacto",P19,"")),"")</f>
        <v/>
      </c>
      <c r="AI19" s="180" t="str">
        <f>IFERROR(IF(AH19="","",IF(AH19&lt;=0.2,"Muy Baja",IF(AH19&lt;=0.4,"Baja",IF(AH19&lt;=0.6,"Media",IF(AH19&lt;=0.8,"Alta","Muy Alta"))))),"")</f>
        <v/>
      </c>
      <c r="AJ19" s="178" t="str">
        <f>+AH19</f>
        <v/>
      </c>
      <c r="AK19" s="180" t="str">
        <f>IFERROR(IF(AL19="","",IF(AL19&lt;=0.2,"Leve",IF(AL19&lt;=0.4,"Menor",IF(AL19&lt;=0.6,"Moderado",IF(AL19&lt;=0.8,"Mayor","Catastrófico"))))),"")</f>
        <v/>
      </c>
      <c r="AL19" s="178" t="str">
        <f t="shared" ref="AL19" si="9">IFERROR(IF(AA19="Impacto",(T19-(+T19*AD19)),IF(AA19="Probabilidad",T19,"")),"")</f>
        <v/>
      </c>
      <c r="AM19" s="181"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82"/>
      <c r="AO19" s="175"/>
      <c r="AP19" s="183"/>
      <c r="AQ19" s="183"/>
      <c r="AR19" s="184"/>
      <c r="AS19" s="519"/>
      <c r="AT19" s="519"/>
      <c r="AU19" s="519"/>
    </row>
    <row r="20" spans="1:47" x14ac:dyDescent="0.2">
      <c r="A20" s="523"/>
      <c r="B20" s="515"/>
      <c r="C20" s="515"/>
      <c r="D20" s="515"/>
      <c r="E20" s="515"/>
      <c r="F20" s="520"/>
      <c r="G20" s="515"/>
      <c r="H20" s="517"/>
      <c r="I20" s="517"/>
      <c r="J20" s="517"/>
      <c r="K20" s="517"/>
      <c r="L20" s="517"/>
      <c r="M20" s="517"/>
      <c r="N20" s="519"/>
      <c r="O20" s="514"/>
      <c r="P20" s="512"/>
      <c r="Q20" s="513"/>
      <c r="R20" s="512"/>
      <c r="S20" s="514"/>
      <c r="T20" s="512"/>
      <c r="U20" s="511"/>
      <c r="V20" s="199"/>
      <c r="W20" s="244"/>
      <c r="X20" s="199"/>
      <c r="Y20" s="199"/>
      <c r="Z20" s="224" t="str">
        <f t="shared" si="1"/>
        <v xml:space="preserve">  </v>
      </c>
      <c r="AA20" s="176" t="str">
        <f>IF(OR(AB20="Preventivo",AB20="Detectivo"),"Probabilidad",IF(AB20="Correctivo","Impacto",""))</f>
        <v/>
      </c>
      <c r="AB20" s="177"/>
      <c r="AC20" s="177"/>
      <c r="AD20" s="178" t="str">
        <f t="shared" ref="AD20:AD24" si="10">IF(AND(AB20="Preventivo",AC20="Automático"),"50%",IF(AND(AB20="Preventivo",AC20="Manual"),"40%",IF(AND(AB20="Detectivo",AC20="Automático"),"40%",IF(AND(AB20="Detectivo",AC20="Manual"),"30%",IF(AND(AB20="Correctivo",AC20="Automático"),"35%",IF(AND(AB20="Correctivo",AC20="Manual"),"25%",""))))))</f>
        <v/>
      </c>
      <c r="AE20" s="177"/>
      <c r="AF20" s="177"/>
      <c r="AG20" s="177"/>
      <c r="AH20" s="179" t="str">
        <f>IFERROR(IF(AND(AA19="Probabilidad",AA20="Probabilidad"),(AJ19-(+AJ19*AD20)),IF(AA20="Probabilidad",(P19-(+P19*AD20)),IF(AA20="Impacto",AJ19,""))),"")</f>
        <v/>
      </c>
      <c r="AI20" s="180" t="str">
        <f t="shared" si="3"/>
        <v/>
      </c>
      <c r="AJ20" s="178" t="str">
        <f t="shared" ref="AJ20:AJ24" si="11">+AH20</f>
        <v/>
      </c>
      <c r="AK20" s="180" t="str">
        <f t="shared" si="5"/>
        <v/>
      </c>
      <c r="AL20" s="178" t="str">
        <f t="shared" ref="AL20" si="12">IFERROR(IF(AND(AA19="Impacto",AA20="Impacto"),(AL19-(+AL19*AD20)),IF(AA20="Impacto",($T$13-(+$T$13*AD20)),IF(AA20="Probabilidad",AL19,""))),"")</f>
        <v/>
      </c>
      <c r="AM20" s="181" t="str">
        <f t="shared" ref="AM20:AM21" si="13">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82"/>
      <c r="AO20" s="175"/>
      <c r="AP20" s="183"/>
      <c r="AQ20" s="175"/>
      <c r="AR20" s="184"/>
      <c r="AS20" s="519"/>
      <c r="AT20" s="519"/>
      <c r="AU20" s="519"/>
    </row>
    <row r="21" spans="1:47" x14ac:dyDescent="0.2">
      <c r="A21" s="523"/>
      <c r="B21" s="515"/>
      <c r="C21" s="515"/>
      <c r="D21" s="515"/>
      <c r="E21" s="515"/>
      <c r="F21" s="520"/>
      <c r="G21" s="515"/>
      <c r="H21" s="517"/>
      <c r="I21" s="517"/>
      <c r="J21" s="517"/>
      <c r="K21" s="517"/>
      <c r="L21" s="517"/>
      <c r="M21" s="517"/>
      <c r="N21" s="519"/>
      <c r="O21" s="514"/>
      <c r="P21" s="512"/>
      <c r="Q21" s="513"/>
      <c r="R21" s="512"/>
      <c r="S21" s="514"/>
      <c r="T21" s="512"/>
      <c r="U21" s="511"/>
      <c r="V21" s="199"/>
      <c r="W21" s="244"/>
      <c r="X21" s="199"/>
      <c r="Y21" s="199"/>
      <c r="Z21" s="224" t="str">
        <f t="shared" si="1"/>
        <v xml:space="preserve">  </v>
      </c>
      <c r="AA21" s="176" t="str">
        <f>IF(OR(AB21="Preventivo",AB21="Detectivo"),"Probabilidad",IF(AB21="Correctivo","Impacto",""))</f>
        <v/>
      </c>
      <c r="AB21" s="177"/>
      <c r="AC21" s="177"/>
      <c r="AD21" s="178" t="str">
        <f t="shared" si="10"/>
        <v/>
      </c>
      <c r="AE21" s="177"/>
      <c r="AF21" s="177"/>
      <c r="AG21" s="177"/>
      <c r="AH21" s="179" t="str">
        <f>IFERROR(IF(AND(AA20="Probabilidad",AA21="Probabilidad"),(AJ20-(+AJ20*AD21)),IF(AND(AA20="Impacto",AA21="Probabilidad"),(AJ19-(+AJ19*AD21)),IF(AA21="Impacto",AJ20,""))),"")</f>
        <v/>
      </c>
      <c r="AI21" s="180" t="str">
        <f t="shared" si="3"/>
        <v/>
      </c>
      <c r="AJ21" s="178" t="str">
        <f t="shared" si="11"/>
        <v/>
      </c>
      <c r="AK21" s="180" t="str">
        <f t="shared" si="5"/>
        <v/>
      </c>
      <c r="AL21" s="178" t="str">
        <f t="shared" ref="AL21:AL72" si="14">IFERROR(IF(AND(AA20="Impacto",AA21="Impacto"),(AL20-(+AL20*AD21)),IF(AND(AA20="Probabilidad",AA21="Impacto"),(AL19-(+AL19*AD21)),IF(AA21="Probabilidad",AL20,""))),"")</f>
        <v/>
      </c>
      <c r="AM21" s="181" t="str">
        <f t="shared" si="13"/>
        <v/>
      </c>
      <c r="AN21" s="182"/>
      <c r="AO21" s="175"/>
      <c r="AP21" s="183"/>
      <c r="AQ21" s="183"/>
      <c r="AR21" s="184"/>
      <c r="AS21" s="519"/>
      <c r="AT21" s="519"/>
      <c r="AU21" s="519"/>
    </row>
    <row r="22" spans="1:47" x14ac:dyDescent="0.2">
      <c r="A22" s="523"/>
      <c r="B22" s="515"/>
      <c r="C22" s="515"/>
      <c r="D22" s="515"/>
      <c r="E22" s="515"/>
      <c r="F22" s="520"/>
      <c r="G22" s="515"/>
      <c r="H22" s="517"/>
      <c r="I22" s="517"/>
      <c r="J22" s="517"/>
      <c r="K22" s="517"/>
      <c r="L22" s="517"/>
      <c r="M22" s="517"/>
      <c r="N22" s="519"/>
      <c r="O22" s="514"/>
      <c r="P22" s="512"/>
      <c r="Q22" s="513"/>
      <c r="R22" s="512"/>
      <c r="S22" s="514"/>
      <c r="T22" s="512"/>
      <c r="U22" s="511"/>
      <c r="V22" s="199"/>
      <c r="W22" s="244"/>
      <c r="X22" s="199"/>
      <c r="Y22" s="199"/>
      <c r="Z22" s="224" t="str">
        <f t="shared" si="1"/>
        <v xml:space="preserve">  </v>
      </c>
      <c r="AA22" s="176" t="str">
        <f t="shared" ref="AA22:AA24" si="15">IF(OR(AB22="Preventivo",AB22="Detectivo"),"Probabilidad",IF(AB22="Correctivo","Impacto",""))</f>
        <v/>
      </c>
      <c r="AB22" s="177"/>
      <c r="AC22" s="177"/>
      <c r="AD22" s="178" t="str">
        <f t="shared" si="10"/>
        <v/>
      </c>
      <c r="AE22" s="177"/>
      <c r="AF22" s="177"/>
      <c r="AG22" s="177"/>
      <c r="AH22" s="179" t="str">
        <f t="shared" ref="AH22:AH24" si="16">IFERROR(IF(AND(AA21="Probabilidad",AA22="Probabilidad"),(AJ21-(+AJ21*AD22)),IF(AND(AA21="Impacto",AA22="Probabilidad"),(AJ20-(+AJ20*AD22)),IF(AA22="Impacto",AJ21,""))),"")</f>
        <v/>
      </c>
      <c r="AI22" s="180" t="str">
        <f t="shared" si="3"/>
        <v/>
      </c>
      <c r="AJ22" s="178" t="str">
        <f t="shared" si="11"/>
        <v/>
      </c>
      <c r="AK22" s="180" t="str">
        <f t="shared" si="5"/>
        <v/>
      </c>
      <c r="AL22" s="178" t="str">
        <f t="shared" si="14"/>
        <v/>
      </c>
      <c r="AM22" s="181"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82"/>
      <c r="AO22" s="175"/>
      <c r="AP22" s="183"/>
      <c r="AQ22" s="183"/>
      <c r="AR22" s="184"/>
      <c r="AS22" s="519"/>
      <c r="AT22" s="519"/>
      <c r="AU22" s="519"/>
    </row>
    <row r="23" spans="1:47" x14ac:dyDescent="0.2">
      <c r="A23" s="523"/>
      <c r="B23" s="515"/>
      <c r="C23" s="515"/>
      <c r="D23" s="515"/>
      <c r="E23" s="515"/>
      <c r="F23" s="520"/>
      <c r="G23" s="515"/>
      <c r="H23" s="517"/>
      <c r="I23" s="517"/>
      <c r="J23" s="517"/>
      <c r="K23" s="517"/>
      <c r="L23" s="517"/>
      <c r="M23" s="517"/>
      <c r="N23" s="519"/>
      <c r="O23" s="514"/>
      <c r="P23" s="512"/>
      <c r="Q23" s="513"/>
      <c r="R23" s="512"/>
      <c r="S23" s="514"/>
      <c r="T23" s="512"/>
      <c r="U23" s="511"/>
      <c r="V23" s="199"/>
      <c r="W23" s="244"/>
      <c r="X23" s="199"/>
      <c r="Y23" s="199"/>
      <c r="Z23" s="224" t="str">
        <f t="shared" si="1"/>
        <v xml:space="preserve">  </v>
      </c>
      <c r="AA23" s="176" t="str">
        <f t="shared" si="15"/>
        <v/>
      </c>
      <c r="AB23" s="177"/>
      <c r="AC23" s="177"/>
      <c r="AD23" s="178" t="str">
        <f t="shared" si="10"/>
        <v/>
      </c>
      <c r="AE23" s="177"/>
      <c r="AF23" s="177"/>
      <c r="AG23" s="177"/>
      <c r="AH23" s="179" t="str">
        <f t="shared" si="16"/>
        <v/>
      </c>
      <c r="AI23" s="180" t="str">
        <f t="shared" si="3"/>
        <v/>
      </c>
      <c r="AJ23" s="178" t="str">
        <f t="shared" si="11"/>
        <v/>
      </c>
      <c r="AK23" s="180" t="str">
        <f t="shared" si="5"/>
        <v/>
      </c>
      <c r="AL23" s="178" t="str">
        <f t="shared" si="14"/>
        <v/>
      </c>
      <c r="AM23" s="181" t="str">
        <f t="shared" ref="AM23:AM24" si="17">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82"/>
      <c r="AO23" s="175"/>
      <c r="AP23" s="183"/>
      <c r="AQ23" s="183"/>
      <c r="AR23" s="184"/>
      <c r="AS23" s="519"/>
      <c r="AT23" s="519"/>
      <c r="AU23" s="519"/>
    </row>
    <row r="24" spans="1:47" x14ac:dyDescent="0.2">
      <c r="A24" s="523"/>
      <c r="B24" s="515"/>
      <c r="C24" s="515"/>
      <c r="D24" s="515"/>
      <c r="E24" s="515"/>
      <c r="F24" s="520"/>
      <c r="G24" s="515"/>
      <c r="H24" s="518"/>
      <c r="I24" s="518"/>
      <c r="J24" s="518"/>
      <c r="K24" s="518"/>
      <c r="L24" s="518"/>
      <c r="M24" s="518"/>
      <c r="N24" s="519"/>
      <c r="O24" s="514"/>
      <c r="P24" s="512"/>
      <c r="Q24" s="513"/>
      <c r="R24" s="512"/>
      <c r="S24" s="514"/>
      <c r="T24" s="512"/>
      <c r="U24" s="511"/>
      <c r="V24" s="199"/>
      <c r="W24" s="199"/>
      <c r="X24" s="199"/>
      <c r="Y24" s="199"/>
      <c r="Z24" s="224" t="str">
        <f t="shared" si="1"/>
        <v xml:space="preserve">  </v>
      </c>
      <c r="AA24" s="176" t="str">
        <f t="shared" si="15"/>
        <v/>
      </c>
      <c r="AB24" s="177"/>
      <c r="AC24" s="177"/>
      <c r="AD24" s="178" t="str">
        <f t="shared" si="10"/>
        <v/>
      </c>
      <c r="AE24" s="177"/>
      <c r="AF24" s="177"/>
      <c r="AG24" s="177"/>
      <c r="AH24" s="179" t="str">
        <f t="shared" si="16"/>
        <v/>
      </c>
      <c r="AI24" s="180" t="str">
        <f t="shared" si="3"/>
        <v/>
      </c>
      <c r="AJ24" s="178" t="str">
        <f t="shared" si="11"/>
        <v/>
      </c>
      <c r="AK24" s="180" t="str">
        <f t="shared" si="5"/>
        <v/>
      </c>
      <c r="AL24" s="178" t="str">
        <f t="shared" si="14"/>
        <v/>
      </c>
      <c r="AM24" s="181" t="str">
        <f t="shared" si="17"/>
        <v/>
      </c>
      <c r="AN24" s="182"/>
      <c r="AO24" s="175"/>
      <c r="AP24" s="183"/>
      <c r="AQ24" s="183"/>
      <c r="AR24" s="184"/>
      <c r="AS24" s="519"/>
      <c r="AT24" s="519"/>
      <c r="AU24" s="519"/>
    </row>
    <row r="25" spans="1:47" x14ac:dyDescent="0.2">
      <c r="A25" s="523">
        <v>3</v>
      </c>
      <c r="B25" s="515"/>
      <c r="C25" s="515"/>
      <c r="D25" s="515"/>
      <c r="E25" s="515"/>
      <c r="F25" s="520"/>
      <c r="G25" s="515"/>
      <c r="H25" s="516"/>
      <c r="I25" s="516"/>
      <c r="J25" s="516"/>
      <c r="K25" s="516"/>
      <c r="L25" s="516"/>
      <c r="M25" s="516"/>
      <c r="N25" s="519"/>
      <c r="O25" s="514"/>
      <c r="P25" s="512"/>
      <c r="Q25" s="513"/>
      <c r="R25" s="512"/>
      <c r="S25" s="514"/>
      <c r="T25" s="512"/>
      <c r="U25" s="511"/>
      <c r="V25" s="199"/>
      <c r="W25" s="199"/>
      <c r="X25" s="199"/>
      <c r="Y25" s="199"/>
      <c r="Z25" s="224" t="str">
        <f t="shared" si="1"/>
        <v xml:space="preserve">  </v>
      </c>
      <c r="AA25" s="176" t="str">
        <f>IF(OR(AB25="Preventivo",AB25="Detectivo"),"Probabilidad",IF(AB25="Correctivo","Impacto",""))</f>
        <v/>
      </c>
      <c r="AB25" s="177"/>
      <c r="AC25" s="177"/>
      <c r="AD25" s="178" t="str">
        <f>IF(AND(AB25="Preventivo",AC25="Automático"),"50%",IF(AND(AB25="Preventivo",AC25="Manual"),"40%",IF(AND(AB25="Detectivo",AC25="Automático"),"40%",IF(AND(AB25="Detectivo",AC25="Manual"),"30%",IF(AND(AB25="Correctivo",AC25="Automático"),"35%",IF(AND(AB25="Correctivo",AC25="Manual"),"25%",""))))))</f>
        <v/>
      </c>
      <c r="AE25" s="177"/>
      <c r="AF25" s="177"/>
      <c r="AG25" s="177"/>
      <c r="AH25" s="179" t="str">
        <f>IFERROR(IF(AA25="Probabilidad",(P25-(+P25*AD25)),IF(AA25="Impacto",P25,"")),"")</f>
        <v/>
      </c>
      <c r="AI25" s="180" t="str">
        <f>IFERROR(IF(AH25="","",IF(AH25&lt;=0.2,"Muy Baja",IF(AH25&lt;=0.4,"Baja",IF(AH25&lt;=0.6,"Media",IF(AH25&lt;=0.8,"Alta","Muy Alta"))))),"")</f>
        <v/>
      </c>
      <c r="AJ25" s="178" t="str">
        <f>+AH25</f>
        <v/>
      </c>
      <c r="AK25" s="180" t="str">
        <f>IFERROR(IF(AL25="","",IF(AL25&lt;=0.2,"Leve",IF(AL25&lt;=0.4,"Menor",IF(AL25&lt;=0.6,"Moderado",IF(AL25&lt;=0.8,"Mayor","Catastrófico"))))),"")</f>
        <v/>
      </c>
      <c r="AL25" s="178" t="str">
        <f t="shared" ref="AL25" si="18">IFERROR(IF(AA25="Impacto",(T25-(+T25*AD25)),IF(AA25="Probabilidad",T25,"")),"")</f>
        <v/>
      </c>
      <c r="AM25" s="181"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82"/>
      <c r="AO25" s="175"/>
      <c r="AP25" s="183"/>
      <c r="AQ25" s="183"/>
      <c r="AR25" s="184"/>
      <c r="AS25" s="519"/>
      <c r="AT25" s="519"/>
      <c r="AU25" s="519"/>
    </row>
    <row r="26" spans="1:47" x14ac:dyDescent="0.2">
      <c r="A26" s="523"/>
      <c r="B26" s="515"/>
      <c r="C26" s="515"/>
      <c r="D26" s="515"/>
      <c r="E26" s="515"/>
      <c r="F26" s="520"/>
      <c r="G26" s="515"/>
      <c r="H26" s="517"/>
      <c r="I26" s="517"/>
      <c r="J26" s="517"/>
      <c r="K26" s="517"/>
      <c r="L26" s="517"/>
      <c r="M26" s="517"/>
      <c r="N26" s="519"/>
      <c r="O26" s="514"/>
      <c r="P26" s="512"/>
      <c r="Q26" s="513"/>
      <c r="R26" s="512"/>
      <c r="S26" s="514"/>
      <c r="T26" s="512"/>
      <c r="U26" s="511"/>
      <c r="V26" s="199"/>
      <c r="W26" s="199"/>
      <c r="X26" s="199"/>
      <c r="Y26" s="199"/>
      <c r="Z26" s="224" t="str">
        <f t="shared" si="1"/>
        <v xml:space="preserve">  </v>
      </c>
      <c r="AA26" s="176" t="str">
        <f>IF(OR(AB26="Preventivo",AB26="Detectivo"),"Probabilidad",IF(AB26="Correctivo","Impacto",""))</f>
        <v/>
      </c>
      <c r="AB26" s="177"/>
      <c r="AC26" s="177"/>
      <c r="AD26" s="178" t="str">
        <f t="shared" ref="AD26:AD30" si="19">IF(AND(AB26="Preventivo",AC26="Automático"),"50%",IF(AND(AB26="Preventivo",AC26="Manual"),"40%",IF(AND(AB26="Detectivo",AC26="Automático"),"40%",IF(AND(AB26="Detectivo",AC26="Manual"),"30%",IF(AND(AB26="Correctivo",AC26="Automático"),"35%",IF(AND(AB26="Correctivo",AC26="Manual"),"25%",""))))))</f>
        <v/>
      </c>
      <c r="AE26" s="177"/>
      <c r="AF26" s="177"/>
      <c r="AG26" s="177"/>
      <c r="AH26" s="179" t="str">
        <f>IFERROR(IF(AND(AA25="Probabilidad",AA26="Probabilidad"),(AJ25-(+AJ25*AD26)),IF(AA26="Probabilidad",(P25-(+P25*AD26)),IF(AA26="Impacto",AJ25,""))),"")</f>
        <v/>
      </c>
      <c r="AI26" s="180" t="str">
        <f t="shared" si="3"/>
        <v/>
      </c>
      <c r="AJ26" s="178" t="str">
        <f t="shared" ref="AJ26:AJ30" si="20">+AH26</f>
        <v/>
      </c>
      <c r="AK26" s="180" t="str">
        <f t="shared" si="5"/>
        <v/>
      </c>
      <c r="AL26" s="178" t="str">
        <f t="shared" ref="AL26" si="21">IFERROR(IF(AND(AA25="Impacto",AA26="Impacto"),(AL25-(+AL25*AD26)),IF(AA26="Impacto",($T$13-(+$T$13*AD26)),IF(AA26="Probabilidad",AL25,""))),"")</f>
        <v/>
      </c>
      <c r="AM26" s="181" t="str">
        <f t="shared" ref="AM26:AM27" si="22">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82"/>
      <c r="AO26" s="175"/>
      <c r="AP26" s="183"/>
      <c r="AQ26" s="183"/>
      <c r="AR26" s="184"/>
      <c r="AS26" s="519"/>
      <c r="AT26" s="519"/>
      <c r="AU26" s="519"/>
    </row>
    <row r="27" spans="1:47" x14ac:dyDescent="0.2">
      <c r="A27" s="523"/>
      <c r="B27" s="515"/>
      <c r="C27" s="515"/>
      <c r="D27" s="515"/>
      <c r="E27" s="515"/>
      <c r="F27" s="520"/>
      <c r="G27" s="515"/>
      <c r="H27" s="517"/>
      <c r="I27" s="517"/>
      <c r="J27" s="517"/>
      <c r="K27" s="517"/>
      <c r="L27" s="517"/>
      <c r="M27" s="517"/>
      <c r="N27" s="519"/>
      <c r="O27" s="514"/>
      <c r="P27" s="512"/>
      <c r="Q27" s="513"/>
      <c r="R27" s="512"/>
      <c r="S27" s="514"/>
      <c r="T27" s="512"/>
      <c r="U27" s="511"/>
      <c r="V27" s="199"/>
      <c r="W27" s="199"/>
      <c r="X27" s="199"/>
      <c r="Y27" s="199"/>
      <c r="Z27" s="224" t="str">
        <f t="shared" si="1"/>
        <v xml:space="preserve">  </v>
      </c>
      <c r="AA27" s="176" t="str">
        <f>IF(OR(AB27="Preventivo",AB27="Detectivo"),"Probabilidad",IF(AB27="Correctivo","Impacto",""))</f>
        <v/>
      </c>
      <c r="AB27" s="177"/>
      <c r="AC27" s="177"/>
      <c r="AD27" s="178" t="str">
        <f t="shared" si="19"/>
        <v/>
      </c>
      <c r="AE27" s="177"/>
      <c r="AF27" s="177"/>
      <c r="AG27" s="177"/>
      <c r="AH27" s="179" t="str">
        <f>IFERROR(IF(AND(AA26="Probabilidad",AA27="Probabilidad"),(AJ26-(+AJ26*AD27)),IF(AND(AA26="Impacto",AA27="Probabilidad"),(AJ25-(+AJ25*AD27)),IF(AA27="Impacto",AJ26,""))),"")</f>
        <v/>
      </c>
      <c r="AI27" s="180" t="str">
        <f t="shared" si="3"/>
        <v/>
      </c>
      <c r="AJ27" s="178" t="str">
        <f t="shared" si="20"/>
        <v/>
      </c>
      <c r="AK27" s="180" t="str">
        <f t="shared" si="5"/>
        <v/>
      </c>
      <c r="AL27" s="178" t="str">
        <f t="shared" ref="AL27" si="23">IFERROR(IF(AND(AA26="Impacto",AA27="Impacto"),(AL26-(+AL26*AD27)),IF(AND(AA26="Probabilidad",AA27="Impacto"),(AL25-(+AL25*AD27)),IF(AA27="Probabilidad",AL26,""))),"")</f>
        <v/>
      </c>
      <c r="AM27" s="181" t="str">
        <f t="shared" si="22"/>
        <v/>
      </c>
      <c r="AN27" s="182"/>
      <c r="AO27" s="175"/>
      <c r="AP27" s="183"/>
      <c r="AQ27" s="183"/>
      <c r="AR27" s="184"/>
      <c r="AS27" s="519"/>
      <c r="AT27" s="519"/>
      <c r="AU27" s="519"/>
    </row>
    <row r="28" spans="1:47" x14ac:dyDescent="0.2">
      <c r="A28" s="523"/>
      <c r="B28" s="515"/>
      <c r="C28" s="515"/>
      <c r="D28" s="515"/>
      <c r="E28" s="515"/>
      <c r="F28" s="520"/>
      <c r="G28" s="515"/>
      <c r="H28" s="517"/>
      <c r="I28" s="517"/>
      <c r="J28" s="517"/>
      <c r="K28" s="517"/>
      <c r="L28" s="517"/>
      <c r="M28" s="517"/>
      <c r="N28" s="519"/>
      <c r="O28" s="514"/>
      <c r="P28" s="512"/>
      <c r="Q28" s="513"/>
      <c r="R28" s="512"/>
      <c r="S28" s="514"/>
      <c r="T28" s="512"/>
      <c r="U28" s="511"/>
      <c r="V28" s="199"/>
      <c r="W28" s="199"/>
      <c r="X28" s="199"/>
      <c r="Y28" s="199"/>
      <c r="Z28" s="224" t="str">
        <f t="shared" si="1"/>
        <v xml:space="preserve">  </v>
      </c>
      <c r="AA28" s="176" t="str">
        <f t="shared" ref="AA28:AA30" si="24">IF(OR(AB28="Preventivo",AB28="Detectivo"),"Probabilidad",IF(AB28="Correctivo","Impacto",""))</f>
        <v/>
      </c>
      <c r="AB28" s="177"/>
      <c r="AC28" s="177"/>
      <c r="AD28" s="178" t="str">
        <f t="shared" si="19"/>
        <v/>
      </c>
      <c r="AE28" s="177"/>
      <c r="AF28" s="177"/>
      <c r="AG28" s="177"/>
      <c r="AH28" s="179" t="str">
        <f t="shared" ref="AH28:AH30" si="25">IFERROR(IF(AND(AA27="Probabilidad",AA28="Probabilidad"),(AJ27-(+AJ27*AD28)),IF(AND(AA27="Impacto",AA28="Probabilidad"),(AJ26-(+AJ26*AD28)),IF(AA28="Impacto",AJ27,""))),"")</f>
        <v/>
      </c>
      <c r="AI28" s="180" t="str">
        <f t="shared" si="3"/>
        <v/>
      </c>
      <c r="AJ28" s="178" t="str">
        <f t="shared" si="20"/>
        <v/>
      </c>
      <c r="AK28" s="180" t="str">
        <f t="shared" si="5"/>
        <v/>
      </c>
      <c r="AL28" s="178" t="str">
        <f t="shared" si="14"/>
        <v/>
      </c>
      <c r="AM28" s="181"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82"/>
      <c r="AO28" s="175"/>
      <c r="AP28" s="183"/>
      <c r="AQ28" s="183"/>
      <c r="AR28" s="184"/>
      <c r="AS28" s="519"/>
      <c r="AT28" s="519"/>
      <c r="AU28" s="519"/>
    </row>
    <row r="29" spans="1:47" x14ac:dyDescent="0.2">
      <c r="A29" s="523"/>
      <c r="B29" s="515"/>
      <c r="C29" s="515"/>
      <c r="D29" s="515"/>
      <c r="E29" s="515"/>
      <c r="F29" s="520"/>
      <c r="G29" s="515"/>
      <c r="H29" s="517"/>
      <c r="I29" s="517"/>
      <c r="J29" s="517"/>
      <c r="K29" s="517"/>
      <c r="L29" s="517"/>
      <c r="M29" s="517"/>
      <c r="N29" s="519"/>
      <c r="O29" s="514"/>
      <c r="P29" s="512"/>
      <c r="Q29" s="513"/>
      <c r="R29" s="512"/>
      <c r="S29" s="514"/>
      <c r="T29" s="512"/>
      <c r="U29" s="511"/>
      <c r="V29" s="199"/>
      <c r="W29" s="199"/>
      <c r="X29" s="199"/>
      <c r="Y29" s="199"/>
      <c r="Z29" s="224" t="str">
        <f t="shared" si="1"/>
        <v xml:space="preserve">  </v>
      </c>
      <c r="AA29" s="176" t="str">
        <f t="shared" si="24"/>
        <v/>
      </c>
      <c r="AB29" s="177"/>
      <c r="AC29" s="177"/>
      <c r="AD29" s="178" t="str">
        <f t="shared" si="19"/>
        <v/>
      </c>
      <c r="AE29" s="177"/>
      <c r="AF29" s="177"/>
      <c r="AG29" s="177"/>
      <c r="AH29" s="179" t="str">
        <f t="shared" si="25"/>
        <v/>
      </c>
      <c r="AI29" s="180" t="str">
        <f t="shared" si="3"/>
        <v/>
      </c>
      <c r="AJ29" s="178" t="str">
        <f t="shared" si="20"/>
        <v/>
      </c>
      <c r="AK29" s="180" t="str">
        <f t="shared" si="5"/>
        <v/>
      </c>
      <c r="AL29" s="178" t="str">
        <f t="shared" si="14"/>
        <v/>
      </c>
      <c r="AM29" s="181" t="str">
        <f t="shared" ref="AM29:AM30" si="26">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82"/>
      <c r="AO29" s="175"/>
      <c r="AP29" s="183"/>
      <c r="AQ29" s="183"/>
      <c r="AR29" s="184"/>
      <c r="AS29" s="519"/>
      <c r="AT29" s="519"/>
      <c r="AU29" s="519"/>
    </row>
    <row r="30" spans="1:47" x14ac:dyDescent="0.2">
      <c r="A30" s="523"/>
      <c r="B30" s="515"/>
      <c r="C30" s="515"/>
      <c r="D30" s="515"/>
      <c r="E30" s="515"/>
      <c r="F30" s="520"/>
      <c r="G30" s="515"/>
      <c r="H30" s="518"/>
      <c r="I30" s="518"/>
      <c r="J30" s="518"/>
      <c r="K30" s="518"/>
      <c r="L30" s="518"/>
      <c r="M30" s="518"/>
      <c r="N30" s="519"/>
      <c r="O30" s="514"/>
      <c r="P30" s="512"/>
      <c r="Q30" s="513"/>
      <c r="R30" s="512"/>
      <c r="S30" s="514"/>
      <c r="T30" s="512"/>
      <c r="U30" s="511"/>
      <c r="V30" s="199"/>
      <c r="W30" s="199"/>
      <c r="X30" s="199"/>
      <c r="Y30" s="199"/>
      <c r="Z30" s="224" t="str">
        <f t="shared" si="1"/>
        <v xml:space="preserve">  </v>
      </c>
      <c r="AA30" s="176" t="str">
        <f t="shared" si="24"/>
        <v/>
      </c>
      <c r="AB30" s="177"/>
      <c r="AC30" s="177"/>
      <c r="AD30" s="178" t="str">
        <f t="shared" si="19"/>
        <v/>
      </c>
      <c r="AE30" s="177"/>
      <c r="AF30" s="177"/>
      <c r="AG30" s="177"/>
      <c r="AH30" s="179" t="str">
        <f t="shared" si="25"/>
        <v/>
      </c>
      <c r="AI30" s="180" t="str">
        <f t="shared" si="3"/>
        <v/>
      </c>
      <c r="AJ30" s="178" t="str">
        <f t="shared" si="20"/>
        <v/>
      </c>
      <c r="AK30" s="180" t="str">
        <f t="shared" si="5"/>
        <v/>
      </c>
      <c r="AL30" s="178" t="str">
        <f t="shared" si="14"/>
        <v/>
      </c>
      <c r="AM30" s="181" t="str">
        <f t="shared" si="26"/>
        <v/>
      </c>
      <c r="AN30" s="182"/>
      <c r="AO30" s="175"/>
      <c r="AP30" s="183"/>
      <c r="AQ30" s="183"/>
      <c r="AR30" s="184"/>
      <c r="AS30" s="519"/>
      <c r="AT30" s="519"/>
      <c r="AU30" s="519"/>
    </row>
    <row r="31" spans="1:47" x14ac:dyDescent="0.2">
      <c r="A31" s="523">
        <v>4</v>
      </c>
      <c r="B31" s="515"/>
      <c r="C31" s="515"/>
      <c r="D31" s="515"/>
      <c r="E31" s="515"/>
      <c r="F31" s="520" t="str">
        <f t="shared" ref="F31" si="27">+CONCATENATE(B31," ",C31," ",D31)</f>
        <v xml:space="preserve">  </v>
      </c>
      <c r="G31" s="515"/>
      <c r="H31" s="516"/>
      <c r="I31" s="516"/>
      <c r="J31" s="516"/>
      <c r="K31" s="516"/>
      <c r="L31" s="516"/>
      <c r="M31" s="516"/>
      <c r="N31" s="519"/>
      <c r="O31" s="514" t="str">
        <f>IF(N31&lt;=0,"",IF(N31&lt;=2,"Muy Baja",IF(N31&lt;=24,"Baja",IF(N31&lt;=500,"Media",IF(N31&lt;=5000,"Alta","Muy Alta")))))</f>
        <v/>
      </c>
      <c r="P31" s="512" t="str">
        <f>IF(O31="","",IF(O31="Muy Baja",0.2,IF(O31="Baja",0.4,IF(O31="Media",0.6,IF(O31="Alta",0.8,IF(O31="Muy Alta",1,))))))</f>
        <v/>
      </c>
      <c r="Q31" s="513"/>
      <c r="R31" s="512">
        <f>IF(NOT(ISERROR(MATCH(Q31,'Tabla Impacto'!$B$245:$B$249,0))),'Tabla Impacto'!$F$224&amp;"Por favor no seleccionar los criterios de impacto(Reputacional, Operativo, Legal, ni Contagio)",Q31)</f>
        <v>0</v>
      </c>
      <c r="S31" s="514" t="str">
        <f>IF(OR(R31='Tabla Impacto'!$C$12,R31='Tabla Impacto'!$D$12),"Leve",IF(OR(R31='Tabla Impacto'!$C$13,R31='Tabla Impacto'!$D$13),"Menor",IF(OR(R31='Tabla Impacto'!$C$14,R31='Tabla Impacto'!$D$14),"Moderado",IF(OR(R31='Tabla Impacto'!$C$15,R31='Tabla Impacto'!$D$15),"Mayor",IF(OR(R31='Tabla Impacto'!$C$16,R31='Tabla Impacto'!$D$16),"Catastrófico","")))))</f>
        <v/>
      </c>
      <c r="T31" s="512" t="str">
        <f>IF(S31="","",IF(S31="Leve",0.2,IF(S31="Menor",0.4,IF(S31="Moderado",0.6,IF(S31="Mayor",0.8,IF(S31="Catastrófico",1,))))))</f>
        <v/>
      </c>
      <c r="U31" s="511"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1"/>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28">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519"/>
      <c r="AT31" s="519"/>
      <c r="AU31" s="519"/>
    </row>
    <row r="32" spans="1:47" x14ac:dyDescent="0.2">
      <c r="A32" s="523"/>
      <c r="B32" s="515"/>
      <c r="C32" s="515"/>
      <c r="D32" s="515"/>
      <c r="E32" s="515"/>
      <c r="F32" s="520"/>
      <c r="G32" s="515"/>
      <c r="H32" s="517"/>
      <c r="I32" s="517"/>
      <c r="J32" s="517"/>
      <c r="K32" s="517"/>
      <c r="L32" s="517"/>
      <c r="M32" s="517"/>
      <c r="N32" s="519"/>
      <c r="O32" s="514"/>
      <c r="P32" s="512"/>
      <c r="Q32" s="513"/>
      <c r="R32" s="512"/>
      <c r="S32" s="514"/>
      <c r="T32" s="512"/>
      <c r="U32" s="511"/>
      <c r="V32" s="199">
        <v>2</v>
      </c>
      <c r="W32" s="199"/>
      <c r="X32" s="199"/>
      <c r="Y32" s="199"/>
      <c r="Z32" s="224" t="str">
        <f t="shared" si="1"/>
        <v xml:space="preserve">  </v>
      </c>
      <c r="AA32" s="176" t="str">
        <f>IF(OR(AB32="Preventivo",AB32="Detectivo"),"Probabilidad",IF(AB32="Correctivo","Impacto",""))</f>
        <v/>
      </c>
      <c r="AB32" s="177"/>
      <c r="AC32" s="177"/>
      <c r="AD32" s="178" t="str">
        <f t="shared" ref="AD32:AD36" si="29">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3"/>
        <v/>
      </c>
      <c r="AJ32" s="178" t="str">
        <f t="shared" ref="AJ32:AJ36" si="30">+AH32</f>
        <v/>
      </c>
      <c r="AK32" s="180" t="str">
        <f t="shared" si="5"/>
        <v/>
      </c>
      <c r="AL32" s="178" t="str">
        <f t="shared" ref="AL32" si="31">IFERROR(IF(AND(AA31="Impacto",AA32="Impacto"),(AL31-(+AL31*AD32)),IF(AA32="Impacto",($T$13-(+$T$13*AD32)),IF(AA32="Probabilidad",AL31,""))),"")</f>
        <v/>
      </c>
      <c r="AM32" s="181" t="str">
        <f t="shared" ref="AM32:AM33" si="32">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519"/>
      <c r="AT32" s="519"/>
      <c r="AU32" s="519"/>
    </row>
    <row r="33" spans="1:47" x14ac:dyDescent="0.2">
      <c r="A33" s="523"/>
      <c r="B33" s="515"/>
      <c r="C33" s="515"/>
      <c r="D33" s="515"/>
      <c r="E33" s="515"/>
      <c r="F33" s="520"/>
      <c r="G33" s="515"/>
      <c r="H33" s="517"/>
      <c r="I33" s="517"/>
      <c r="J33" s="517"/>
      <c r="K33" s="517"/>
      <c r="L33" s="517"/>
      <c r="M33" s="517"/>
      <c r="N33" s="519"/>
      <c r="O33" s="514"/>
      <c r="P33" s="512"/>
      <c r="Q33" s="513"/>
      <c r="R33" s="512"/>
      <c r="S33" s="514"/>
      <c r="T33" s="512"/>
      <c r="U33" s="511"/>
      <c r="V33" s="199">
        <v>3</v>
      </c>
      <c r="W33" s="199"/>
      <c r="X33" s="199"/>
      <c r="Y33" s="199"/>
      <c r="Z33" s="224" t="str">
        <f t="shared" si="1"/>
        <v xml:space="preserve">  </v>
      </c>
      <c r="AA33" s="176" t="str">
        <f>IF(OR(AB33="Preventivo",AB33="Detectivo"),"Probabilidad",IF(AB33="Correctivo","Impacto",""))</f>
        <v/>
      </c>
      <c r="AB33" s="177"/>
      <c r="AC33" s="177"/>
      <c r="AD33" s="178" t="str">
        <f t="shared" si="29"/>
        <v/>
      </c>
      <c r="AE33" s="177"/>
      <c r="AF33" s="177"/>
      <c r="AG33" s="177"/>
      <c r="AH33" s="179" t="str">
        <f>IFERROR(IF(AND(AA32="Probabilidad",AA33="Probabilidad"),(AJ32-(+AJ32*AD33)),IF(AND(AA32="Impacto",AA33="Probabilidad"),(AJ31-(+AJ31*AD33)),IF(AA33="Impacto",AJ32,""))),"")</f>
        <v/>
      </c>
      <c r="AI33" s="180" t="str">
        <f t="shared" si="3"/>
        <v/>
      </c>
      <c r="AJ33" s="178" t="str">
        <f t="shared" si="30"/>
        <v/>
      </c>
      <c r="AK33" s="180" t="str">
        <f t="shared" si="5"/>
        <v/>
      </c>
      <c r="AL33" s="178" t="str">
        <f t="shared" ref="AL33" si="33">IFERROR(IF(AND(AA32="Impacto",AA33="Impacto"),(AL32-(+AL32*AD33)),IF(AND(AA32="Probabilidad",AA33="Impacto"),(AL31-(+AL31*AD33)),IF(AA33="Probabilidad",AL32,""))),"")</f>
        <v/>
      </c>
      <c r="AM33" s="181" t="str">
        <f t="shared" si="32"/>
        <v/>
      </c>
      <c r="AN33" s="182"/>
      <c r="AO33" s="175"/>
      <c r="AP33" s="183"/>
      <c r="AQ33" s="183"/>
      <c r="AR33" s="184"/>
      <c r="AS33" s="519"/>
      <c r="AT33" s="519"/>
      <c r="AU33" s="519"/>
    </row>
    <row r="34" spans="1:47" x14ac:dyDescent="0.2">
      <c r="A34" s="523"/>
      <c r="B34" s="515"/>
      <c r="C34" s="515"/>
      <c r="D34" s="515"/>
      <c r="E34" s="515"/>
      <c r="F34" s="520"/>
      <c r="G34" s="515"/>
      <c r="H34" s="517"/>
      <c r="I34" s="517"/>
      <c r="J34" s="517"/>
      <c r="K34" s="517"/>
      <c r="L34" s="517"/>
      <c r="M34" s="517"/>
      <c r="N34" s="519"/>
      <c r="O34" s="514"/>
      <c r="P34" s="512"/>
      <c r="Q34" s="513"/>
      <c r="R34" s="512"/>
      <c r="S34" s="514"/>
      <c r="T34" s="512"/>
      <c r="U34" s="511"/>
      <c r="V34" s="199">
        <v>4</v>
      </c>
      <c r="W34" s="199"/>
      <c r="X34" s="199"/>
      <c r="Y34" s="199"/>
      <c r="Z34" s="224" t="str">
        <f t="shared" si="1"/>
        <v xml:space="preserve">  </v>
      </c>
      <c r="AA34" s="176" t="str">
        <f t="shared" ref="AA34:AA36" si="34">IF(OR(AB34="Preventivo",AB34="Detectivo"),"Probabilidad",IF(AB34="Correctivo","Impacto",""))</f>
        <v/>
      </c>
      <c r="AB34" s="177"/>
      <c r="AC34" s="177"/>
      <c r="AD34" s="178" t="str">
        <f t="shared" si="29"/>
        <v/>
      </c>
      <c r="AE34" s="177"/>
      <c r="AF34" s="177"/>
      <c r="AG34" s="177"/>
      <c r="AH34" s="179" t="str">
        <f t="shared" ref="AH34:AH36" si="35">IFERROR(IF(AND(AA33="Probabilidad",AA34="Probabilidad"),(AJ33-(+AJ33*AD34)),IF(AND(AA33="Impacto",AA34="Probabilidad"),(AJ32-(+AJ32*AD34)),IF(AA34="Impacto",AJ33,""))),"")</f>
        <v/>
      </c>
      <c r="AI34" s="180" t="str">
        <f t="shared" si="3"/>
        <v/>
      </c>
      <c r="AJ34" s="178" t="str">
        <f t="shared" si="30"/>
        <v/>
      </c>
      <c r="AK34" s="180" t="str">
        <f t="shared" si="5"/>
        <v/>
      </c>
      <c r="AL34" s="178" t="str">
        <f t="shared" si="14"/>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519"/>
      <c r="AT34" s="519"/>
      <c r="AU34" s="519"/>
    </row>
    <row r="35" spans="1:47" x14ac:dyDescent="0.2">
      <c r="A35" s="523"/>
      <c r="B35" s="515"/>
      <c r="C35" s="515"/>
      <c r="D35" s="515"/>
      <c r="E35" s="515"/>
      <c r="F35" s="520"/>
      <c r="G35" s="515"/>
      <c r="H35" s="517"/>
      <c r="I35" s="517"/>
      <c r="J35" s="517"/>
      <c r="K35" s="517"/>
      <c r="L35" s="517"/>
      <c r="M35" s="517"/>
      <c r="N35" s="519"/>
      <c r="O35" s="514"/>
      <c r="P35" s="512"/>
      <c r="Q35" s="513"/>
      <c r="R35" s="512"/>
      <c r="S35" s="514"/>
      <c r="T35" s="512"/>
      <c r="U35" s="511"/>
      <c r="V35" s="199">
        <v>5</v>
      </c>
      <c r="W35" s="199"/>
      <c r="X35" s="199"/>
      <c r="Y35" s="199"/>
      <c r="Z35" s="224" t="str">
        <f t="shared" si="1"/>
        <v xml:space="preserve">  </v>
      </c>
      <c r="AA35" s="176" t="str">
        <f t="shared" si="34"/>
        <v/>
      </c>
      <c r="AB35" s="177"/>
      <c r="AC35" s="177"/>
      <c r="AD35" s="178" t="str">
        <f t="shared" si="29"/>
        <v/>
      </c>
      <c r="AE35" s="177"/>
      <c r="AF35" s="177"/>
      <c r="AG35" s="177"/>
      <c r="AH35" s="179" t="str">
        <f t="shared" si="35"/>
        <v/>
      </c>
      <c r="AI35" s="180" t="str">
        <f>IFERROR(IF(AH35="","",IF(AH35&lt;=0.2,"Muy Baja",IF(AH35&lt;=0.4,"Baja",IF(AH35&lt;=0.6,"Media",IF(AH35&lt;=0.8,"Alta","Muy Alta"))))),"")</f>
        <v/>
      </c>
      <c r="AJ35" s="178" t="str">
        <f t="shared" si="30"/>
        <v/>
      </c>
      <c r="AK35" s="180" t="str">
        <f t="shared" si="5"/>
        <v/>
      </c>
      <c r="AL35" s="178" t="str">
        <f t="shared" si="14"/>
        <v/>
      </c>
      <c r="AM35" s="181" t="str">
        <f t="shared" ref="AM35:AM36" si="36">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519"/>
      <c r="AT35" s="519"/>
      <c r="AU35" s="519"/>
    </row>
    <row r="36" spans="1:47" x14ac:dyDescent="0.2">
      <c r="A36" s="523"/>
      <c r="B36" s="515"/>
      <c r="C36" s="515"/>
      <c r="D36" s="515"/>
      <c r="E36" s="515"/>
      <c r="F36" s="520"/>
      <c r="G36" s="515"/>
      <c r="H36" s="518"/>
      <c r="I36" s="518"/>
      <c r="J36" s="518"/>
      <c r="K36" s="518"/>
      <c r="L36" s="518"/>
      <c r="M36" s="518"/>
      <c r="N36" s="519"/>
      <c r="O36" s="514"/>
      <c r="P36" s="512"/>
      <c r="Q36" s="513"/>
      <c r="R36" s="512"/>
      <c r="S36" s="514"/>
      <c r="T36" s="512"/>
      <c r="U36" s="511"/>
      <c r="V36" s="199">
        <v>6</v>
      </c>
      <c r="W36" s="199"/>
      <c r="X36" s="199"/>
      <c r="Y36" s="199"/>
      <c r="Z36" s="224" t="str">
        <f t="shared" si="1"/>
        <v xml:space="preserve">  </v>
      </c>
      <c r="AA36" s="176" t="str">
        <f t="shared" si="34"/>
        <v/>
      </c>
      <c r="AB36" s="177"/>
      <c r="AC36" s="177"/>
      <c r="AD36" s="178" t="str">
        <f t="shared" si="29"/>
        <v/>
      </c>
      <c r="AE36" s="177"/>
      <c r="AF36" s="177"/>
      <c r="AG36" s="177"/>
      <c r="AH36" s="179" t="str">
        <f t="shared" si="35"/>
        <v/>
      </c>
      <c r="AI36" s="180" t="str">
        <f t="shared" si="3"/>
        <v/>
      </c>
      <c r="AJ36" s="178" t="str">
        <f t="shared" si="30"/>
        <v/>
      </c>
      <c r="AK36" s="180" t="str">
        <f t="shared" si="5"/>
        <v/>
      </c>
      <c r="AL36" s="178" t="str">
        <f t="shared" si="14"/>
        <v/>
      </c>
      <c r="AM36" s="181" t="str">
        <f t="shared" si="36"/>
        <v/>
      </c>
      <c r="AN36" s="182"/>
      <c r="AO36" s="175"/>
      <c r="AP36" s="183"/>
      <c r="AQ36" s="183"/>
      <c r="AR36" s="184"/>
      <c r="AS36" s="519"/>
      <c r="AT36" s="519"/>
      <c r="AU36" s="519"/>
    </row>
    <row r="37" spans="1:47" x14ac:dyDescent="0.2">
      <c r="A37" s="523">
        <v>5</v>
      </c>
      <c r="B37" s="515"/>
      <c r="C37" s="515"/>
      <c r="D37" s="515"/>
      <c r="E37" s="515"/>
      <c r="F37" s="520" t="str">
        <f t="shared" ref="F37" si="37">+CONCATENATE(B37," ",C37," ",D37)</f>
        <v xml:space="preserve">  </v>
      </c>
      <c r="G37" s="515"/>
      <c r="H37" s="516"/>
      <c r="I37" s="516"/>
      <c r="J37" s="516"/>
      <c r="K37" s="516"/>
      <c r="L37" s="516"/>
      <c r="M37" s="516"/>
      <c r="N37" s="519"/>
      <c r="O37" s="514" t="str">
        <f>IF(N37&lt;=0,"",IF(N37&lt;=2,"Muy Baja",IF(N37&lt;=24,"Baja",IF(N37&lt;=500,"Media",IF(N37&lt;=5000,"Alta","Muy Alta")))))</f>
        <v/>
      </c>
      <c r="P37" s="512" t="str">
        <f>IF(O37="","",IF(O37="Muy Baja",0.2,IF(O37="Baja",0.4,IF(O37="Media",0.6,IF(O37="Alta",0.8,IF(O37="Muy Alta",1,))))))</f>
        <v/>
      </c>
      <c r="Q37" s="513"/>
      <c r="R37" s="512">
        <f>IF(NOT(ISERROR(MATCH(Q37,'Tabla Impacto'!$B$245:$B$249,0))),'Tabla Impacto'!$F$224&amp;"Por favor no seleccionar los criterios de impacto(Reputacional, Operativo, Legal, ni Contagio)",Q37)</f>
        <v>0</v>
      </c>
      <c r="S37" s="514" t="str">
        <f>IF(OR(R37='Tabla Impacto'!$C$12,R37='Tabla Impacto'!$D$12),"Leve",IF(OR(R37='Tabla Impacto'!$C$13,R37='Tabla Impacto'!$D$13),"Menor",IF(OR(R37='Tabla Impacto'!$C$14,R37='Tabla Impacto'!$D$14),"Moderado",IF(OR(R37='Tabla Impacto'!$C$15,R37='Tabla Impacto'!$D$15),"Mayor",IF(OR(R37='Tabla Impacto'!$C$16,R37='Tabla Impacto'!$D$16),"Catastrófico","")))))</f>
        <v/>
      </c>
      <c r="T37" s="512" t="str">
        <f>IF(S37="","",IF(S37="Leve",0.2,IF(S37="Menor",0.4,IF(S37="Moderado",0.6,IF(S37="Mayor",0.8,IF(S37="Catastrófico",1,))))))</f>
        <v/>
      </c>
      <c r="U37" s="511"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9">
        <v>1</v>
      </c>
      <c r="W37" s="199"/>
      <c r="X37" s="199"/>
      <c r="Y37" s="199"/>
      <c r="Z37" s="224" t="str">
        <f t="shared" si="1"/>
        <v xml:space="preserve">  </v>
      </c>
      <c r="AA37" s="176" t="str">
        <f>IF(OR(AB37="Preventivo",AB37="Detectivo"),"Probabilidad",IF(AB37="Correctivo","Impacto",""))</f>
        <v/>
      </c>
      <c r="AB37" s="177"/>
      <c r="AC37" s="177"/>
      <c r="AD37" s="178" t="str">
        <f>IF(AND(AB37="Preventivo",AC37="Automático"),"50%",IF(AND(AB37="Preventivo",AC37="Manual"),"40%",IF(AND(AB37="Detectivo",AC37="Automático"),"40%",IF(AND(AB37="Detectivo",AC37="Manual"),"30%",IF(AND(AB37="Correctivo",AC37="Automático"),"35%",IF(AND(AB37="Correctivo",AC37="Manual"),"25%",""))))))</f>
        <v/>
      </c>
      <c r="AE37" s="177"/>
      <c r="AF37" s="177"/>
      <c r="AG37" s="177"/>
      <c r="AH37" s="179" t="str">
        <f>IFERROR(IF(AA37="Probabilidad",(P37-(+P37*AD37)),IF(AA37="Impacto",P37,"")),"")</f>
        <v/>
      </c>
      <c r="AI37" s="180" t="str">
        <f>IFERROR(IF(AH37="","",IF(AH37&lt;=0.2,"Muy Baja",IF(AH37&lt;=0.4,"Baja",IF(AH37&lt;=0.6,"Media",IF(AH37&lt;=0.8,"Alta","Muy Alta"))))),"")</f>
        <v/>
      </c>
      <c r="AJ37" s="178" t="str">
        <f>+AH37</f>
        <v/>
      </c>
      <c r="AK37" s="180" t="str">
        <f>IFERROR(IF(AL37="","",IF(AL37&lt;=0.2,"Leve",IF(AL37&lt;=0.4,"Menor",IF(AL37&lt;=0.6,"Moderado",IF(AL37&lt;=0.8,"Mayor","Catastrófico"))))),"")</f>
        <v/>
      </c>
      <c r="AL37" s="178" t="str">
        <f t="shared" ref="AL37" si="38">IFERROR(IF(AA37="Impacto",(T37-(+T37*AD37)),IF(AA37="Probabilidad",T37,"")),"")</f>
        <v/>
      </c>
      <c r="AM37" s="181"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82"/>
      <c r="AO37" s="175"/>
      <c r="AP37" s="183"/>
      <c r="AQ37" s="183"/>
      <c r="AR37" s="184"/>
      <c r="AS37" s="519"/>
      <c r="AT37" s="519"/>
      <c r="AU37" s="519"/>
    </row>
    <row r="38" spans="1:47" x14ac:dyDescent="0.2">
      <c r="A38" s="523"/>
      <c r="B38" s="515"/>
      <c r="C38" s="515"/>
      <c r="D38" s="515"/>
      <c r="E38" s="515"/>
      <c r="F38" s="520"/>
      <c r="G38" s="515"/>
      <c r="H38" s="517"/>
      <c r="I38" s="517"/>
      <c r="J38" s="517"/>
      <c r="K38" s="517"/>
      <c r="L38" s="517"/>
      <c r="M38" s="517"/>
      <c r="N38" s="519"/>
      <c r="O38" s="514"/>
      <c r="P38" s="512"/>
      <c r="Q38" s="513"/>
      <c r="R38" s="512"/>
      <c r="S38" s="514"/>
      <c r="T38" s="512"/>
      <c r="U38" s="511"/>
      <c r="V38" s="199">
        <v>2</v>
      </c>
      <c r="W38" s="199"/>
      <c r="X38" s="199"/>
      <c r="Y38" s="199"/>
      <c r="Z38" s="224" t="str">
        <f t="shared" si="1"/>
        <v xml:space="preserve">  </v>
      </c>
      <c r="AA38" s="176" t="str">
        <f>IF(OR(AB38="Preventivo",AB38="Detectivo"),"Probabilidad",IF(AB38="Correctivo","Impacto",""))</f>
        <v/>
      </c>
      <c r="AB38" s="177"/>
      <c r="AC38" s="177"/>
      <c r="AD38" s="178" t="str">
        <f t="shared" ref="AD38:AD42" si="39">IF(AND(AB38="Preventivo",AC38="Automático"),"50%",IF(AND(AB38="Preventivo",AC38="Manual"),"40%",IF(AND(AB38="Detectivo",AC38="Automático"),"40%",IF(AND(AB38="Detectivo",AC38="Manual"),"30%",IF(AND(AB38="Correctivo",AC38="Automático"),"35%",IF(AND(AB38="Correctivo",AC38="Manual"),"25%",""))))))</f>
        <v/>
      </c>
      <c r="AE38" s="177"/>
      <c r="AF38" s="177"/>
      <c r="AG38" s="177"/>
      <c r="AH38" s="179" t="str">
        <f>IFERROR(IF(AND(AA37="Probabilidad",AA38="Probabilidad"),(AJ37-(+AJ37*AD38)),IF(AA38="Probabilidad",(P37-(+P37*AD38)),IF(AA38="Impacto",AJ37,""))),"")</f>
        <v/>
      </c>
      <c r="AI38" s="180" t="str">
        <f t="shared" si="3"/>
        <v/>
      </c>
      <c r="AJ38" s="178" t="str">
        <f t="shared" ref="AJ38:AJ42" si="40">+AH38</f>
        <v/>
      </c>
      <c r="AK38" s="180" t="str">
        <f t="shared" si="5"/>
        <v/>
      </c>
      <c r="AL38" s="178" t="str">
        <f t="shared" ref="AL38" si="41">IFERROR(IF(AND(AA37="Impacto",AA38="Impacto"),(AL37-(+AL37*AD38)),IF(AA38="Impacto",($T$13-(+$T$13*AD38)),IF(AA38="Probabilidad",AL37,""))),"")</f>
        <v/>
      </c>
      <c r="AM38" s="181" t="str">
        <f t="shared" ref="AM38:AM39" si="42">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82"/>
      <c r="AO38" s="175"/>
      <c r="AP38" s="183"/>
      <c r="AQ38" s="183"/>
      <c r="AR38" s="184"/>
      <c r="AS38" s="519"/>
      <c r="AT38" s="519"/>
      <c r="AU38" s="519"/>
    </row>
    <row r="39" spans="1:47" x14ac:dyDescent="0.2">
      <c r="A39" s="523"/>
      <c r="B39" s="515"/>
      <c r="C39" s="515"/>
      <c r="D39" s="515"/>
      <c r="E39" s="515"/>
      <c r="F39" s="520"/>
      <c r="G39" s="515"/>
      <c r="H39" s="517"/>
      <c r="I39" s="517"/>
      <c r="J39" s="517"/>
      <c r="K39" s="517"/>
      <c r="L39" s="517"/>
      <c r="M39" s="517"/>
      <c r="N39" s="519"/>
      <c r="O39" s="514"/>
      <c r="P39" s="512"/>
      <c r="Q39" s="513"/>
      <c r="R39" s="512"/>
      <c r="S39" s="514"/>
      <c r="T39" s="512"/>
      <c r="U39" s="511"/>
      <c r="V39" s="199">
        <v>3</v>
      </c>
      <c r="W39" s="199"/>
      <c r="X39" s="199"/>
      <c r="Y39" s="199"/>
      <c r="Z39" s="224" t="str">
        <f t="shared" si="1"/>
        <v xml:space="preserve">  </v>
      </c>
      <c r="AA39" s="176" t="str">
        <f>IF(OR(AB39="Preventivo",AB39="Detectivo"),"Probabilidad",IF(AB39="Correctivo","Impacto",""))</f>
        <v/>
      </c>
      <c r="AB39" s="177"/>
      <c r="AC39" s="177"/>
      <c r="AD39" s="178" t="str">
        <f t="shared" si="39"/>
        <v/>
      </c>
      <c r="AE39" s="177"/>
      <c r="AF39" s="177"/>
      <c r="AG39" s="177"/>
      <c r="AH39" s="179" t="str">
        <f>IFERROR(IF(AND(AA38="Probabilidad",AA39="Probabilidad"),(AJ38-(+AJ38*AD39)),IF(AND(AA38="Impacto",AA39="Probabilidad"),(AJ37-(+AJ37*AD39)),IF(AA39="Impacto",AJ38,""))),"")</f>
        <v/>
      </c>
      <c r="AI39" s="180" t="str">
        <f t="shared" si="3"/>
        <v/>
      </c>
      <c r="AJ39" s="178" t="str">
        <f t="shared" si="40"/>
        <v/>
      </c>
      <c r="AK39" s="180" t="str">
        <f t="shared" si="5"/>
        <v/>
      </c>
      <c r="AL39" s="178" t="str">
        <f t="shared" ref="AL39" si="43">IFERROR(IF(AND(AA38="Impacto",AA39="Impacto"),(AL38-(+AL38*AD39)),IF(AND(AA38="Probabilidad",AA39="Impacto"),(AL37-(+AL37*AD39)),IF(AA39="Probabilidad",AL38,""))),"")</f>
        <v/>
      </c>
      <c r="AM39" s="181" t="str">
        <f t="shared" si="42"/>
        <v/>
      </c>
      <c r="AN39" s="182"/>
      <c r="AO39" s="175"/>
      <c r="AP39" s="183"/>
      <c r="AQ39" s="183"/>
      <c r="AR39" s="184"/>
      <c r="AS39" s="519"/>
      <c r="AT39" s="519"/>
      <c r="AU39" s="519"/>
    </row>
    <row r="40" spans="1:47" x14ac:dyDescent="0.2">
      <c r="A40" s="523"/>
      <c r="B40" s="515"/>
      <c r="C40" s="515"/>
      <c r="D40" s="515"/>
      <c r="E40" s="515"/>
      <c r="F40" s="520"/>
      <c r="G40" s="515"/>
      <c r="H40" s="517"/>
      <c r="I40" s="517"/>
      <c r="J40" s="517"/>
      <c r="K40" s="517"/>
      <c r="L40" s="517"/>
      <c r="M40" s="517"/>
      <c r="N40" s="519"/>
      <c r="O40" s="514"/>
      <c r="P40" s="512"/>
      <c r="Q40" s="513"/>
      <c r="R40" s="512"/>
      <c r="S40" s="514"/>
      <c r="T40" s="512"/>
      <c r="U40" s="511"/>
      <c r="V40" s="199">
        <v>4</v>
      </c>
      <c r="W40" s="199"/>
      <c r="X40" s="199"/>
      <c r="Y40" s="199"/>
      <c r="Z40" s="224" t="str">
        <f t="shared" si="1"/>
        <v xml:space="preserve">  </v>
      </c>
      <c r="AA40" s="176" t="str">
        <f t="shared" ref="AA40:AA42" si="44">IF(OR(AB40="Preventivo",AB40="Detectivo"),"Probabilidad",IF(AB40="Correctivo","Impacto",""))</f>
        <v/>
      </c>
      <c r="AB40" s="177"/>
      <c r="AC40" s="177"/>
      <c r="AD40" s="178" t="str">
        <f t="shared" si="39"/>
        <v/>
      </c>
      <c r="AE40" s="177"/>
      <c r="AF40" s="177"/>
      <c r="AG40" s="177"/>
      <c r="AH40" s="179" t="str">
        <f t="shared" ref="AH40:AH42" si="45">IFERROR(IF(AND(AA39="Probabilidad",AA40="Probabilidad"),(AJ39-(+AJ39*AD40)),IF(AND(AA39="Impacto",AA40="Probabilidad"),(AJ38-(+AJ38*AD40)),IF(AA40="Impacto",AJ39,""))),"")</f>
        <v/>
      </c>
      <c r="AI40" s="180" t="str">
        <f t="shared" si="3"/>
        <v/>
      </c>
      <c r="AJ40" s="178" t="str">
        <f t="shared" si="40"/>
        <v/>
      </c>
      <c r="AK40" s="180" t="str">
        <f t="shared" si="5"/>
        <v/>
      </c>
      <c r="AL40" s="178" t="str">
        <f t="shared" si="14"/>
        <v/>
      </c>
      <c r="AM40" s="181"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82"/>
      <c r="AO40" s="175"/>
      <c r="AP40" s="183"/>
      <c r="AQ40" s="183"/>
      <c r="AR40" s="184"/>
      <c r="AS40" s="519"/>
      <c r="AT40" s="519"/>
      <c r="AU40" s="519"/>
    </row>
    <row r="41" spans="1:47" x14ac:dyDescent="0.2">
      <c r="A41" s="523"/>
      <c r="B41" s="515"/>
      <c r="C41" s="515"/>
      <c r="D41" s="515"/>
      <c r="E41" s="515"/>
      <c r="F41" s="520"/>
      <c r="G41" s="515"/>
      <c r="H41" s="517"/>
      <c r="I41" s="517"/>
      <c r="J41" s="517"/>
      <c r="K41" s="517"/>
      <c r="L41" s="517"/>
      <c r="M41" s="517"/>
      <c r="N41" s="519"/>
      <c r="O41" s="514"/>
      <c r="P41" s="512"/>
      <c r="Q41" s="513"/>
      <c r="R41" s="512"/>
      <c r="S41" s="514"/>
      <c r="T41" s="512"/>
      <c r="U41" s="511"/>
      <c r="V41" s="199">
        <v>5</v>
      </c>
      <c r="W41" s="199"/>
      <c r="X41" s="199"/>
      <c r="Y41" s="199"/>
      <c r="Z41" s="224" t="str">
        <f t="shared" si="1"/>
        <v xml:space="preserve">  </v>
      </c>
      <c r="AA41" s="176" t="str">
        <f t="shared" si="44"/>
        <v/>
      </c>
      <c r="AB41" s="177"/>
      <c r="AC41" s="177"/>
      <c r="AD41" s="178" t="str">
        <f t="shared" si="39"/>
        <v/>
      </c>
      <c r="AE41" s="177"/>
      <c r="AF41" s="177"/>
      <c r="AG41" s="177"/>
      <c r="AH41" s="179" t="str">
        <f t="shared" si="45"/>
        <v/>
      </c>
      <c r="AI41" s="180" t="str">
        <f t="shared" si="3"/>
        <v/>
      </c>
      <c r="AJ41" s="178" t="str">
        <f t="shared" si="40"/>
        <v/>
      </c>
      <c r="AK41" s="180" t="str">
        <f t="shared" si="5"/>
        <v/>
      </c>
      <c r="AL41" s="178" t="str">
        <f t="shared" si="14"/>
        <v/>
      </c>
      <c r="AM41" s="181" t="str">
        <f t="shared" ref="AM41:AM42" si="46">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82"/>
      <c r="AO41" s="175"/>
      <c r="AP41" s="183"/>
      <c r="AQ41" s="183"/>
      <c r="AR41" s="184"/>
      <c r="AS41" s="519"/>
      <c r="AT41" s="519"/>
      <c r="AU41" s="519"/>
    </row>
    <row r="42" spans="1:47" x14ac:dyDescent="0.2">
      <c r="A42" s="523"/>
      <c r="B42" s="515"/>
      <c r="C42" s="515"/>
      <c r="D42" s="515"/>
      <c r="E42" s="515"/>
      <c r="F42" s="520"/>
      <c r="G42" s="515"/>
      <c r="H42" s="518"/>
      <c r="I42" s="518"/>
      <c r="J42" s="518"/>
      <c r="K42" s="518"/>
      <c r="L42" s="518"/>
      <c r="M42" s="518"/>
      <c r="N42" s="519"/>
      <c r="O42" s="514"/>
      <c r="P42" s="512"/>
      <c r="Q42" s="513"/>
      <c r="R42" s="512"/>
      <c r="S42" s="514"/>
      <c r="T42" s="512"/>
      <c r="U42" s="511"/>
      <c r="V42" s="199">
        <v>6</v>
      </c>
      <c r="W42" s="199"/>
      <c r="X42" s="199"/>
      <c r="Y42" s="199"/>
      <c r="Z42" s="224" t="str">
        <f t="shared" si="1"/>
        <v xml:space="preserve">  </v>
      </c>
      <c r="AA42" s="176" t="str">
        <f t="shared" si="44"/>
        <v/>
      </c>
      <c r="AB42" s="177"/>
      <c r="AC42" s="177"/>
      <c r="AD42" s="178" t="str">
        <f t="shared" si="39"/>
        <v/>
      </c>
      <c r="AE42" s="177"/>
      <c r="AF42" s="177"/>
      <c r="AG42" s="177"/>
      <c r="AH42" s="179" t="str">
        <f t="shared" si="45"/>
        <v/>
      </c>
      <c r="AI42" s="180" t="str">
        <f t="shared" si="3"/>
        <v/>
      </c>
      <c r="AJ42" s="178" t="str">
        <f t="shared" si="40"/>
        <v/>
      </c>
      <c r="AK42" s="180" t="str">
        <f t="shared" si="5"/>
        <v/>
      </c>
      <c r="AL42" s="178" t="str">
        <f t="shared" si="14"/>
        <v/>
      </c>
      <c r="AM42" s="181" t="str">
        <f t="shared" si="46"/>
        <v/>
      </c>
      <c r="AN42" s="182"/>
      <c r="AO42" s="175"/>
      <c r="AP42" s="183"/>
      <c r="AQ42" s="183"/>
      <c r="AR42" s="184"/>
      <c r="AS42" s="519"/>
      <c r="AT42" s="519"/>
      <c r="AU42" s="519"/>
    </row>
    <row r="43" spans="1:47" x14ac:dyDescent="0.2">
      <c r="A43" s="523">
        <v>6</v>
      </c>
      <c r="B43" s="515"/>
      <c r="C43" s="515"/>
      <c r="D43" s="515"/>
      <c r="E43" s="515"/>
      <c r="F43" s="520" t="str">
        <f t="shared" ref="F43" si="47">+CONCATENATE(B43," ",C43," ",D43)</f>
        <v xml:space="preserve">  </v>
      </c>
      <c r="G43" s="515"/>
      <c r="H43" s="516"/>
      <c r="I43" s="516"/>
      <c r="J43" s="516"/>
      <c r="K43" s="516"/>
      <c r="L43" s="516"/>
      <c r="M43" s="516"/>
      <c r="N43" s="519"/>
      <c r="O43" s="514" t="str">
        <f>IF(N43&lt;=0,"",IF(N43&lt;=2,"Muy Baja",IF(N43&lt;=24,"Baja",IF(N43&lt;=500,"Media",IF(N43&lt;=5000,"Alta","Muy Alta")))))</f>
        <v/>
      </c>
      <c r="P43" s="512" t="str">
        <f>IF(O43="","",IF(O43="Muy Baja",0.2,IF(O43="Baja",0.4,IF(O43="Media",0.6,IF(O43="Alta",0.8,IF(O43="Muy Alta",1,))))))</f>
        <v/>
      </c>
      <c r="Q43" s="513"/>
      <c r="R43" s="512">
        <f>IF(NOT(ISERROR(MATCH(Q43,'Tabla Impacto'!$B$245:$B$249,0))),'Tabla Impacto'!$F$224&amp;"Por favor no seleccionar los criterios de impacto(Reputacional, Operativo, Legal, ni Contagio)",Q43)</f>
        <v>0</v>
      </c>
      <c r="S43" s="514" t="str">
        <f>IF(OR(R43='Tabla Impacto'!$C$12,R43='Tabla Impacto'!$D$12),"Leve",IF(OR(R43='Tabla Impacto'!$C$13,R43='Tabla Impacto'!$D$13),"Menor",IF(OR(R43='Tabla Impacto'!$C$14,R43='Tabla Impacto'!$D$14),"Moderado",IF(OR(R43='Tabla Impacto'!$C$15,R43='Tabla Impacto'!$D$15),"Mayor",IF(OR(R43='Tabla Impacto'!$C$16,R43='Tabla Impacto'!$D$16),"Catastrófico","")))))</f>
        <v/>
      </c>
      <c r="T43" s="512" t="str">
        <f>IF(S43="","",IF(S43="Leve",0.2,IF(S43="Menor",0.4,IF(S43="Moderado",0.6,IF(S43="Mayor",0.8,IF(S43="Catastrófico",1,))))))</f>
        <v/>
      </c>
      <c r="U43" s="511"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9">
        <v>1</v>
      </c>
      <c r="W43" s="199"/>
      <c r="X43" s="199"/>
      <c r="Y43" s="199"/>
      <c r="Z43" s="224" t="str">
        <f t="shared" si="1"/>
        <v xml:space="preserve">  </v>
      </c>
      <c r="AA43" s="176" t="str">
        <f>IF(OR(AB43="Preventivo",AB43="Detectivo"),"Probabilidad",IF(AB43="Correctivo","Impacto",""))</f>
        <v/>
      </c>
      <c r="AB43" s="177"/>
      <c r="AC43" s="177"/>
      <c r="AD43" s="178" t="str">
        <f>IF(AND(AB43="Preventivo",AC43="Automático"),"50%",IF(AND(AB43="Preventivo",AC43="Manual"),"40%",IF(AND(AB43="Detectivo",AC43="Automático"),"40%",IF(AND(AB43="Detectivo",AC43="Manual"),"30%",IF(AND(AB43="Correctivo",AC43="Automático"),"35%",IF(AND(AB43="Correctivo",AC43="Manual"),"25%",""))))))</f>
        <v/>
      </c>
      <c r="AE43" s="177"/>
      <c r="AF43" s="177"/>
      <c r="AG43" s="177"/>
      <c r="AH43" s="179" t="str">
        <f>IFERROR(IF(AA43="Probabilidad",(P43-(+P43*AD43)),IF(AA43="Impacto",P43,"")),"")</f>
        <v/>
      </c>
      <c r="AI43" s="180" t="str">
        <f>IFERROR(IF(AH43="","",IF(AH43&lt;=0.2,"Muy Baja",IF(AH43&lt;=0.4,"Baja",IF(AH43&lt;=0.6,"Media",IF(AH43&lt;=0.8,"Alta","Muy Alta"))))),"")</f>
        <v/>
      </c>
      <c r="AJ43" s="178" t="str">
        <f>+AH43</f>
        <v/>
      </c>
      <c r="AK43" s="180" t="str">
        <f>IFERROR(IF(AL43="","",IF(AL43&lt;=0.2,"Leve",IF(AL43&lt;=0.4,"Menor",IF(AL43&lt;=0.6,"Moderado",IF(AL43&lt;=0.8,"Mayor","Catastrófico"))))),"")</f>
        <v/>
      </c>
      <c r="AL43" s="178" t="str">
        <f t="shared" ref="AL43" si="48">IFERROR(IF(AA43="Impacto",(T43-(+T43*AD43)),IF(AA43="Probabilidad",T43,"")),"")</f>
        <v/>
      </c>
      <c r="AM43" s="181"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7"/>
      <c r="AO43" s="175"/>
      <c r="AP43" s="183"/>
      <c r="AQ43" s="183"/>
      <c r="AR43" s="184"/>
      <c r="AS43" s="519"/>
      <c r="AT43" s="519"/>
      <c r="AU43" s="519"/>
    </row>
    <row r="44" spans="1:47" x14ac:dyDescent="0.2">
      <c r="A44" s="523"/>
      <c r="B44" s="515"/>
      <c r="C44" s="515"/>
      <c r="D44" s="515"/>
      <c r="E44" s="515"/>
      <c r="F44" s="520"/>
      <c r="G44" s="515"/>
      <c r="H44" s="517"/>
      <c r="I44" s="517"/>
      <c r="J44" s="517"/>
      <c r="K44" s="517"/>
      <c r="L44" s="517"/>
      <c r="M44" s="517"/>
      <c r="N44" s="519"/>
      <c r="O44" s="514"/>
      <c r="P44" s="512"/>
      <c r="Q44" s="513"/>
      <c r="R44" s="512"/>
      <c r="S44" s="514"/>
      <c r="T44" s="512"/>
      <c r="U44" s="511"/>
      <c r="V44" s="199">
        <v>2</v>
      </c>
      <c r="W44" s="199"/>
      <c r="X44" s="199"/>
      <c r="Y44" s="199"/>
      <c r="Z44" s="224" t="str">
        <f t="shared" si="1"/>
        <v xml:space="preserve">  </v>
      </c>
      <c r="AA44" s="176" t="str">
        <f>IF(OR(AB44="Preventivo",AB44="Detectivo"),"Probabilidad",IF(AB44="Correctivo","Impacto",""))</f>
        <v/>
      </c>
      <c r="AB44" s="177"/>
      <c r="AC44" s="177"/>
      <c r="AD44" s="178" t="str">
        <f t="shared" ref="AD44:AD48" si="49">IF(AND(AB44="Preventivo",AC44="Automático"),"50%",IF(AND(AB44="Preventivo",AC44="Manual"),"40%",IF(AND(AB44="Detectivo",AC44="Automático"),"40%",IF(AND(AB44="Detectivo",AC44="Manual"),"30%",IF(AND(AB44="Correctivo",AC44="Automático"),"35%",IF(AND(AB44="Correctivo",AC44="Manual"),"25%",""))))))</f>
        <v/>
      </c>
      <c r="AE44" s="177"/>
      <c r="AF44" s="177"/>
      <c r="AG44" s="177"/>
      <c r="AH44" s="179" t="str">
        <f>IFERROR(IF(AND(AA43="Probabilidad",AA44="Probabilidad"),(AJ43-(+AJ43*AD44)),IF(AA44="Probabilidad",(P43-(+P43*AD44)),IF(AA44="Impacto",AJ43,""))),"")</f>
        <v/>
      </c>
      <c r="AI44" s="180" t="str">
        <f t="shared" si="3"/>
        <v/>
      </c>
      <c r="AJ44" s="178" t="str">
        <f t="shared" ref="AJ44:AJ48" si="50">+AH44</f>
        <v/>
      </c>
      <c r="AK44" s="180" t="str">
        <f t="shared" si="5"/>
        <v/>
      </c>
      <c r="AL44" s="178" t="str">
        <f t="shared" ref="AL44" si="51">IFERROR(IF(AND(AA43="Impacto",AA44="Impacto"),(AL43-(+AL43*AD44)),IF(AA44="Impacto",($T$13-(+$T$13*AD44)),IF(AA44="Probabilidad",AL43,""))),"")</f>
        <v/>
      </c>
      <c r="AM44" s="181" t="str">
        <f t="shared" ref="AM44:AM45" si="52">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82"/>
      <c r="AO44" s="175"/>
      <c r="AP44" s="183"/>
      <c r="AQ44" s="183"/>
      <c r="AR44" s="184"/>
      <c r="AS44" s="519"/>
      <c r="AT44" s="519"/>
      <c r="AU44" s="519"/>
    </row>
    <row r="45" spans="1:47" x14ac:dyDescent="0.2">
      <c r="A45" s="523"/>
      <c r="B45" s="515"/>
      <c r="C45" s="515"/>
      <c r="D45" s="515"/>
      <c r="E45" s="515"/>
      <c r="F45" s="520"/>
      <c r="G45" s="515"/>
      <c r="H45" s="517"/>
      <c r="I45" s="517"/>
      <c r="J45" s="517"/>
      <c r="K45" s="517"/>
      <c r="L45" s="517"/>
      <c r="M45" s="517"/>
      <c r="N45" s="519"/>
      <c r="O45" s="514"/>
      <c r="P45" s="512"/>
      <c r="Q45" s="513"/>
      <c r="R45" s="512"/>
      <c r="S45" s="514"/>
      <c r="T45" s="512"/>
      <c r="U45" s="511"/>
      <c r="V45" s="199">
        <v>3</v>
      </c>
      <c r="W45" s="199"/>
      <c r="X45" s="199"/>
      <c r="Y45" s="199"/>
      <c r="Z45" s="224" t="str">
        <f t="shared" si="1"/>
        <v xml:space="preserve">  </v>
      </c>
      <c r="AA45" s="176" t="str">
        <f>IF(OR(AB45="Preventivo",AB45="Detectivo"),"Probabilidad",IF(AB45="Correctivo","Impacto",""))</f>
        <v/>
      </c>
      <c r="AB45" s="177"/>
      <c r="AC45" s="177"/>
      <c r="AD45" s="178" t="str">
        <f t="shared" si="49"/>
        <v/>
      </c>
      <c r="AE45" s="177"/>
      <c r="AF45" s="177"/>
      <c r="AG45" s="177"/>
      <c r="AH45" s="179" t="str">
        <f>IFERROR(IF(AND(AA44="Probabilidad",AA45="Probabilidad"),(AJ44-(+AJ44*AD45)),IF(AND(AA44="Impacto",AA45="Probabilidad"),(AJ43-(+AJ43*AD45)),IF(AA45="Impacto",AJ44,""))),"")</f>
        <v/>
      </c>
      <c r="AI45" s="180" t="str">
        <f t="shared" si="3"/>
        <v/>
      </c>
      <c r="AJ45" s="178" t="str">
        <f t="shared" si="50"/>
        <v/>
      </c>
      <c r="AK45" s="180" t="str">
        <f t="shared" si="5"/>
        <v/>
      </c>
      <c r="AL45" s="178" t="str">
        <f t="shared" ref="AL45" si="53">IFERROR(IF(AND(AA44="Impacto",AA45="Impacto"),(AL44-(+AL44*AD45)),IF(AND(AA44="Probabilidad",AA45="Impacto"),(AL43-(+AL43*AD45)),IF(AA45="Probabilidad",AL44,""))),"")</f>
        <v/>
      </c>
      <c r="AM45" s="181" t="str">
        <f t="shared" si="52"/>
        <v/>
      </c>
      <c r="AN45" s="182"/>
      <c r="AO45" s="175"/>
      <c r="AP45" s="183"/>
      <c r="AQ45" s="183"/>
      <c r="AR45" s="184"/>
      <c r="AS45" s="519"/>
      <c r="AT45" s="519"/>
      <c r="AU45" s="519"/>
    </row>
    <row r="46" spans="1:47" x14ac:dyDescent="0.2">
      <c r="A46" s="523"/>
      <c r="B46" s="515"/>
      <c r="C46" s="515"/>
      <c r="D46" s="515"/>
      <c r="E46" s="515"/>
      <c r="F46" s="520"/>
      <c r="G46" s="515"/>
      <c r="H46" s="517"/>
      <c r="I46" s="517"/>
      <c r="J46" s="517"/>
      <c r="K46" s="517"/>
      <c r="L46" s="517"/>
      <c r="M46" s="517"/>
      <c r="N46" s="519"/>
      <c r="O46" s="514"/>
      <c r="P46" s="512"/>
      <c r="Q46" s="513"/>
      <c r="R46" s="512"/>
      <c r="S46" s="514"/>
      <c r="T46" s="512"/>
      <c r="U46" s="511"/>
      <c r="V46" s="199">
        <v>4</v>
      </c>
      <c r="W46" s="199"/>
      <c r="X46" s="199"/>
      <c r="Y46" s="199"/>
      <c r="Z46" s="224" t="str">
        <f t="shared" si="1"/>
        <v xml:space="preserve">  </v>
      </c>
      <c r="AA46" s="176" t="str">
        <f t="shared" ref="AA46:AA48" si="54">IF(OR(AB46="Preventivo",AB46="Detectivo"),"Probabilidad",IF(AB46="Correctivo","Impacto",""))</f>
        <v/>
      </c>
      <c r="AB46" s="177"/>
      <c r="AC46" s="177"/>
      <c r="AD46" s="178" t="str">
        <f t="shared" si="49"/>
        <v/>
      </c>
      <c r="AE46" s="177"/>
      <c r="AF46" s="177"/>
      <c r="AG46" s="177"/>
      <c r="AH46" s="179" t="str">
        <f t="shared" ref="AH46:AH48" si="55">IFERROR(IF(AND(AA45="Probabilidad",AA46="Probabilidad"),(AJ45-(+AJ45*AD46)),IF(AND(AA45="Impacto",AA46="Probabilidad"),(AJ44-(+AJ44*AD46)),IF(AA46="Impacto",AJ45,""))),"")</f>
        <v/>
      </c>
      <c r="AI46" s="180" t="str">
        <f t="shared" si="3"/>
        <v/>
      </c>
      <c r="AJ46" s="178" t="str">
        <f t="shared" si="50"/>
        <v/>
      </c>
      <c r="AK46" s="180" t="str">
        <f t="shared" si="5"/>
        <v/>
      </c>
      <c r="AL46" s="178" t="str">
        <f t="shared" si="14"/>
        <v/>
      </c>
      <c r="AM46" s="181"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82"/>
      <c r="AO46" s="175"/>
      <c r="AP46" s="183"/>
      <c r="AQ46" s="183"/>
      <c r="AR46" s="184"/>
      <c r="AS46" s="519"/>
      <c r="AT46" s="519"/>
      <c r="AU46" s="519"/>
    </row>
    <row r="47" spans="1:47" x14ac:dyDescent="0.2">
      <c r="A47" s="523"/>
      <c r="B47" s="515"/>
      <c r="C47" s="515"/>
      <c r="D47" s="515"/>
      <c r="E47" s="515"/>
      <c r="F47" s="520"/>
      <c r="G47" s="515"/>
      <c r="H47" s="517"/>
      <c r="I47" s="517"/>
      <c r="J47" s="517"/>
      <c r="K47" s="517"/>
      <c r="L47" s="517"/>
      <c r="M47" s="517"/>
      <c r="N47" s="519"/>
      <c r="O47" s="514"/>
      <c r="P47" s="512"/>
      <c r="Q47" s="513"/>
      <c r="R47" s="512"/>
      <c r="S47" s="514"/>
      <c r="T47" s="512"/>
      <c r="U47" s="511"/>
      <c r="V47" s="199">
        <v>5</v>
      </c>
      <c r="W47" s="199"/>
      <c r="X47" s="199"/>
      <c r="Y47" s="199"/>
      <c r="Z47" s="224" t="str">
        <f t="shared" si="1"/>
        <v xml:space="preserve">  </v>
      </c>
      <c r="AA47" s="176" t="str">
        <f t="shared" si="54"/>
        <v/>
      </c>
      <c r="AB47" s="177"/>
      <c r="AC47" s="177"/>
      <c r="AD47" s="178" t="str">
        <f t="shared" si="49"/>
        <v/>
      </c>
      <c r="AE47" s="177"/>
      <c r="AF47" s="177"/>
      <c r="AG47" s="177"/>
      <c r="AH47" s="179" t="str">
        <f t="shared" si="55"/>
        <v/>
      </c>
      <c r="AI47" s="180" t="str">
        <f t="shared" si="3"/>
        <v/>
      </c>
      <c r="AJ47" s="178" t="str">
        <f t="shared" si="50"/>
        <v/>
      </c>
      <c r="AK47" s="180" t="str">
        <f t="shared" si="5"/>
        <v/>
      </c>
      <c r="AL47" s="178" t="str">
        <f t="shared" si="14"/>
        <v/>
      </c>
      <c r="AM47" s="181" t="str">
        <f t="shared" ref="AM47" si="56">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82"/>
      <c r="AO47" s="175"/>
      <c r="AP47" s="183"/>
      <c r="AQ47" s="183"/>
      <c r="AR47" s="184"/>
      <c r="AS47" s="519"/>
      <c r="AT47" s="519"/>
      <c r="AU47" s="519"/>
    </row>
    <row r="48" spans="1:47" x14ac:dyDescent="0.2">
      <c r="A48" s="523"/>
      <c r="B48" s="515"/>
      <c r="C48" s="515"/>
      <c r="D48" s="515"/>
      <c r="E48" s="515"/>
      <c r="F48" s="520"/>
      <c r="G48" s="515"/>
      <c r="H48" s="518"/>
      <c r="I48" s="518"/>
      <c r="J48" s="518"/>
      <c r="K48" s="518"/>
      <c r="L48" s="518"/>
      <c r="M48" s="518"/>
      <c r="N48" s="519"/>
      <c r="O48" s="514"/>
      <c r="P48" s="512"/>
      <c r="Q48" s="513"/>
      <c r="R48" s="512"/>
      <c r="S48" s="514"/>
      <c r="T48" s="512"/>
      <c r="U48" s="511"/>
      <c r="V48" s="199">
        <v>6</v>
      </c>
      <c r="W48" s="199"/>
      <c r="X48" s="199"/>
      <c r="Y48" s="199"/>
      <c r="Z48" s="224" t="str">
        <f t="shared" si="1"/>
        <v xml:space="preserve">  </v>
      </c>
      <c r="AA48" s="176" t="str">
        <f t="shared" si="54"/>
        <v/>
      </c>
      <c r="AB48" s="177"/>
      <c r="AC48" s="177"/>
      <c r="AD48" s="178" t="str">
        <f t="shared" si="49"/>
        <v/>
      </c>
      <c r="AE48" s="177"/>
      <c r="AF48" s="177"/>
      <c r="AG48" s="177"/>
      <c r="AH48" s="179" t="str">
        <f t="shared" si="55"/>
        <v/>
      </c>
      <c r="AI48" s="180" t="str">
        <f t="shared" si="3"/>
        <v/>
      </c>
      <c r="AJ48" s="178" t="str">
        <f t="shared" si="50"/>
        <v/>
      </c>
      <c r="AK48" s="180" t="str">
        <f>IFERROR(IF(AL48="","",IF(AL48&lt;=0.2,"Leve",IF(AL48&lt;=0.4,"Menor",IF(AL48&lt;=0.6,"Moderado",IF(AL48&lt;=0.8,"Mayor","Catastrófico"))))),"")</f>
        <v/>
      </c>
      <c r="AL48" s="178" t="str">
        <f t="shared" si="14"/>
        <v/>
      </c>
      <c r="AM48" s="181"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82"/>
      <c r="AO48" s="175"/>
      <c r="AP48" s="183"/>
      <c r="AQ48" s="183"/>
      <c r="AR48" s="184"/>
      <c r="AS48" s="519"/>
      <c r="AT48" s="519"/>
      <c r="AU48" s="519"/>
    </row>
    <row r="49" spans="1:47" x14ac:dyDescent="0.2">
      <c r="A49" s="523">
        <v>7</v>
      </c>
      <c r="B49" s="515"/>
      <c r="C49" s="515"/>
      <c r="D49" s="524"/>
      <c r="E49" s="524"/>
      <c r="F49" s="520" t="str">
        <f t="shared" ref="F49" si="57">+CONCATENATE(B49," ",C49," ",D49)</f>
        <v xml:space="preserve">  </v>
      </c>
      <c r="G49" s="515"/>
      <c r="H49" s="516"/>
      <c r="I49" s="516"/>
      <c r="J49" s="516"/>
      <c r="K49" s="516"/>
      <c r="L49" s="516"/>
      <c r="M49" s="516"/>
      <c r="N49" s="519"/>
      <c r="O49" s="514" t="str">
        <f>IF(N49&lt;=0,"",IF(N49&lt;=2,"Muy Baja",IF(N49&lt;=24,"Baja",IF(N49&lt;=500,"Media",IF(N49&lt;=5000,"Alta","Muy Alta")))))</f>
        <v/>
      </c>
      <c r="P49" s="512" t="str">
        <f>IF(O49="","",IF(O49="Muy Baja",0.2,IF(O49="Baja",0.4,IF(O49="Media",0.6,IF(O49="Alta",0.8,IF(O49="Muy Alta",1,))))))</f>
        <v/>
      </c>
      <c r="Q49" s="513"/>
      <c r="R49" s="512">
        <f>IF(NOT(ISERROR(MATCH(Q49,'Tabla Impacto'!$B$245:$B$249,0))),'Tabla Impacto'!$F$224&amp;"Por favor no seleccionar los criterios de impacto(Reputacional, Operativo, Legal, ni Contagio)",Q49)</f>
        <v>0</v>
      </c>
      <c r="S49" s="514" t="str">
        <f>IF(OR(R49='Tabla Impacto'!$C$12,R49='Tabla Impacto'!$D$12),"Leve",IF(OR(R49='Tabla Impacto'!$C$13,R49='Tabla Impacto'!$D$13),"Menor",IF(OR(R49='Tabla Impacto'!$C$14,R49='Tabla Impacto'!$D$14),"Moderado",IF(OR(R49='Tabla Impacto'!$C$15,R49='Tabla Impacto'!$D$15),"Mayor",IF(OR(R49='Tabla Impacto'!$C$16,R49='Tabla Impacto'!$D$16),"Catastrófico","")))))</f>
        <v/>
      </c>
      <c r="T49" s="512" t="str">
        <f>IF(S49="","",IF(S49="Leve",0.2,IF(S49="Menor",0.4,IF(S49="Moderado",0.6,IF(S49="Mayor",0.8,IF(S49="Catastrófico",1,))))))</f>
        <v/>
      </c>
      <c r="U49" s="511"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9">
        <v>1</v>
      </c>
      <c r="W49" s="199"/>
      <c r="X49" s="199"/>
      <c r="Y49" s="199"/>
      <c r="Z49" s="224" t="str">
        <f t="shared" si="1"/>
        <v xml:space="preserve">  </v>
      </c>
      <c r="AA49" s="176" t="str">
        <f>IF(OR(AB49="Preventivo",AB49="Detectivo"),"Probabilidad",IF(AB49="Correctivo","Impacto",""))</f>
        <v/>
      </c>
      <c r="AB49" s="177"/>
      <c r="AC49" s="177"/>
      <c r="AD49" s="178" t="str">
        <f>IF(AND(AB49="Preventivo",AC49="Automático"),"50%",IF(AND(AB49="Preventivo",AC49="Manual"),"40%",IF(AND(AB49="Detectivo",AC49="Automático"),"40%",IF(AND(AB49="Detectivo",AC49="Manual"),"30%",IF(AND(AB49="Correctivo",AC49="Automático"),"35%",IF(AND(AB49="Correctivo",AC49="Manual"),"25%",""))))))</f>
        <v/>
      </c>
      <c r="AE49" s="177"/>
      <c r="AF49" s="177"/>
      <c r="AG49" s="177"/>
      <c r="AH49" s="179" t="str">
        <f>IFERROR(IF(AA49="Probabilidad",(P49-(+P49*AD49)),IF(AA49="Impacto",P49,"")),"")</f>
        <v/>
      </c>
      <c r="AI49" s="180" t="str">
        <f>IFERROR(IF(AH49="","",IF(AH49&lt;=0.2,"Muy Baja",IF(AH49&lt;=0.4,"Baja",IF(AH49&lt;=0.6,"Media",IF(AH49&lt;=0.8,"Alta","Muy Alta"))))),"")</f>
        <v/>
      </c>
      <c r="AJ49" s="178" t="str">
        <f>+AH49</f>
        <v/>
      </c>
      <c r="AK49" s="180" t="str">
        <f>IFERROR(IF(AL49="","",IF(AL49&lt;=0.2,"Leve",IF(AL49&lt;=0.4,"Menor",IF(AL49&lt;=0.6,"Moderado",IF(AL49&lt;=0.8,"Mayor","Catastrófico"))))),"")</f>
        <v/>
      </c>
      <c r="AL49" s="178" t="str">
        <f t="shared" ref="AL49" si="58">IFERROR(IF(AA49="Impacto",(T49-(+T49*AD49)),IF(AA49="Probabilidad",T49,"")),"")</f>
        <v/>
      </c>
      <c r="AM49" s="181"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82"/>
      <c r="AO49" s="175"/>
      <c r="AP49" s="183"/>
      <c r="AQ49" s="183"/>
      <c r="AR49" s="184"/>
      <c r="AS49" s="519"/>
      <c r="AT49" s="519"/>
      <c r="AU49" s="519"/>
    </row>
    <row r="50" spans="1:47" x14ac:dyDescent="0.2">
      <c r="A50" s="523"/>
      <c r="B50" s="515"/>
      <c r="C50" s="515"/>
      <c r="D50" s="524"/>
      <c r="E50" s="524"/>
      <c r="F50" s="520"/>
      <c r="G50" s="515"/>
      <c r="H50" s="517"/>
      <c r="I50" s="517"/>
      <c r="J50" s="517"/>
      <c r="K50" s="517"/>
      <c r="L50" s="517"/>
      <c r="M50" s="517"/>
      <c r="N50" s="519"/>
      <c r="O50" s="514"/>
      <c r="P50" s="512"/>
      <c r="Q50" s="513"/>
      <c r="R50" s="512"/>
      <c r="S50" s="514"/>
      <c r="T50" s="512"/>
      <c r="U50" s="511"/>
      <c r="V50" s="199">
        <v>2</v>
      </c>
      <c r="W50" s="199"/>
      <c r="X50" s="199"/>
      <c r="Y50" s="199"/>
      <c r="Z50" s="224" t="str">
        <f t="shared" si="1"/>
        <v xml:space="preserve">  </v>
      </c>
      <c r="AA50" s="176" t="str">
        <f>IF(OR(AB50="Preventivo",AB50="Detectivo"),"Probabilidad",IF(AB50="Correctivo","Impacto",""))</f>
        <v/>
      </c>
      <c r="AB50" s="177"/>
      <c r="AC50" s="177"/>
      <c r="AD50" s="178" t="str">
        <f t="shared" ref="AD50:AD54" si="59">IF(AND(AB50="Preventivo",AC50="Automático"),"50%",IF(AND(AB50="Preventivo",AC50="Manual"),"40%",IF(AND(AB50="Detectivo",AC50="Automático"),"40%",IF(AND(AB50="Detectivo",AC50="Manual"),"30%",IF(AND(AB50="Correctivo",AC50="Automático"),"35%",IF(AND(AB50="Correctivo",AC50="Manual"),"25%",""))))))</f>
        <v/>
      </c>
      <c r="AE50" s="177"/>
      <c r="AF50" s="177"/>
      <c r="AG50" s="177"/>
      <c r="AH50" s="179" t="str">
        <f>IFERROR(IF(AND(AA49="Probabilidad",AA50="Probabilidad"),(AJ49-(+AJ49*AD50)),IF(AA50="Probabilidad",(P49-(+P49*AD50)),IF(AA50="Impacto",AJ49,""))),"")</f>
        <v/>
      </c>
      <c r="AI50" s="180" t="str">
        <f t="shared" si="3"/>
        <v/>
      </c>
      <c r="AJ50" s="178" t="str">
        <f t="shared" ref="AJ50:AJ54" si="60">+AH50</f>
        <v/>
      </c>
      <c r="AK50" s="180" t="str">
        <f t="shared" si="5"/>
        <v/>
      </c>
      <c r="AL50" s="178" t="str">
        <f t="shared" ref="AL50" si="61">IFERROR(IF(AND(AA49="Impacto",AA50="Impacto"),(AL49-(+AL49*AD50)),IF(AA50="Impacto",($T$13-(+$T$13*AD50)),IF(AA50="Probabilidad",AL49,""))),"")</f>
        <v/>
      </c>
      <c r="AM50" s="181" t="str">
        <f t="shared" ref="AM50:AM51" si="62">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82"/>
      <c r="AO50" s="175"/>
      <c r="AP50" s="183"/>
      <c r="AQ50" s="183"/>
      <c r="AR50" s="184"/>
      <c r="AS50" s="519"/>
      <c r="AT50" s="519"/>
      <c r="AU50" s="519"/>
    </row>
    <row r="51" spans="1:47" x14ac:dyDescent="0.2">
      <c r="A51" s="523"/>
      <c r="B51" s="515"/>
      <c r="C51" s="515"/>
      <c r="D51" s="524"/>
      <c r="E51" s="524"/>
      <c r="F51" s="520"/>
      <c r="G51" s="515"/>
      <c r="H51" s="517"/>
      <c r="I51" s="517"/>
      <c r="J51" s="517"/>
      <c r="K51" s="517"/>
      <c r="L51" s="517"/>
      <c r="M51" s="517"/>
      <c r="N51" s="519"/>
      <c r="O51" s="514"/>
      <c r="P51" s="512"/>
      <c r="Q51" s="513"/>
      <c r="R51" s="512"/>
      <c r="S51" s="514"/>
      <c r="T51" s="512"/>
      <c r="U51" s="511"/>
      <c r="V51" s="199">
        <v>3</v>
      </c>
      <c r="W51" s="199"/>
      <c r="X51" s="199"/>
      <c r="Y51" s="199"/>
      <c r="Z51" s="224" t="str">
        <f t="shared" si="1"/>
        <v xml:space="preserve">  </v>
      </c>
      <c r="AA51" s="176" t="str">
        <f>IF(OR(AB51="Preventivo",AB51="Detectivo"),"Probabilidad",IF(AB51="Correctivo","Impacto",""))</f>
        <v/>
      </c>
      <c r="AB51" s="177"/>
      <c r="AC51" s="177"/>
      <c r="AD51" s="178" t="str">
        <f t="shared" si="59"/>
        <v/>
      </c>
      <c r="AE51" s="177"/>
      <c r="AF51" s="177"/>
      <c r="AG51" s="177"/>
      <c r="AH51" s="179" t="str">
        <f>IFERROR(IF(AND(AA50="Probabilidad",AA51="Probabilidad"),(AJ50-(+AJ50*AD51)),IF(AND(AA50="Impacto",AA51="Probabilidad"),(AJ49-(+AJ49*AD51)),IF(AA51="Impacto",AJ50,""))),"")</f>
        <v/>
      </c>
      <c r="AI51" s="180" t="str">
        <f t="shared" si="3"/>
        <v/>
      </c>
      <c r="AJ51" s="178" t="str">
        <f t="shared" si="60"/>
        <v/>
      </c>
      <c r="AK51" s="180" t="str">
        <f t="shared" si="5"/>
        <v/>
      </c>
      <c r="AL51" s="178" t="str">
        <f t="shared" ref="AL51" si="63">IFERROR(IF(AND(AA50="Impacto",AA51="Impacto"),(AL50-(+AL50*AD51)),IF(AND(AA50="Probabilidad",AA51="Impacto"),(AL49-(+AL49*AD51)),IF(AA51="Probabilidad",AL50,""))),"")</f>
        <v/>
      </c>
      <c r="AM51" s="181" t="str">
        <f t="shared" si="62"/>
        <v/>
      </c>
      <c r="AN51" s="182"/>
      <c r="AO51" s="175"/>
      <c r="AP51" s="183"/>
      <c r="AQ51" s="183"/>
      <c r="AR51" s="184"/>
      <c r="AS51" s="519"/>
      <c r="AT51" s="519"/>
      <c r="AU51" s="519"/>
    </row>
    <row r="52" spans="1:47" x14ac:dyDescent="0.2">
      <c r="A52" s="523"/>
      <c r="B52" s="515"/>
      <c r="C52" s="515"/>
      <c r="D52" s="524"/>
      <c r="E52" s="524"/>
      <c r="F52" s="520"/>
      <c r="G52" s="515"/>
      <c r="H52" s="517"/>
      <c r="I52" s="517"/>
      <c r="J52" s="517"/>
      <c r="K52" s="517"/>
      <c r="L52" s="517"/>
      <c r="M52" s="517"/>
      <c r="N52" s="519"/>
      <c r="O52" s="514"/>
      <c r="P52" s="512"/>
      <c r="Q52" s="513"/>
      <c r="R52" s="512"/>
      <c r="S52" s="514"/>
      <c r="T52" s="512"/>
      <c r="U52" s="511"/>
      <c r="V52" s="199">
        <v>4</v>
      </c>
      <c r="W52" s="199"/>
      <c r="X52" s="199"/>
      <c r="Y52" s="199"/>
      <c r="Z52" s="224" t="str">
        <f t="shared" si="1"/>
        <v xml:space="preserve">  </v>
      </c>
      <c r="AA52" s="176" t="str">
        <f t="shared" ref="AA52:AA54" si="64">IF(OR(AB52="Preventivo",AB52="Detectivo"),"Probabilidad",IF(AB52="Correctivo","Impacto",""))</f>
        <v/>
      </c>
      <c r="AB52" s="177"/>
      <c r="AC52" s="177"/>
      <c r="AD52" s="178" t="str">
        <f t="shared" si="59"/>
        <v/>
      </c>
      <c r="AE52" s="177"/>
      <c r="AF52" s="177"/>
      <c r="AG52" s="177"/>
      <c r="AH52" s="179" t="str">
        <f t="shared" ref="AH52:AH54" si="65">IFERROR(IF(AND(AA51="Probabilidad",AA52="Probabilidad"),(AJ51-(+AJ51*AD52)),IF(AND(AA51="Impacto",AA52="Probabilidad"),(AJ50-(+AJ50*AD52)),IF(AA52="Impacto",AJ51,""))),"")</f>
        <v/>
      </c>
      <c r="AI52" s="180" t="str">
        <f t="shared" si="3"/>
        <v/>
      </c>
      <c r="AJ52" s="178" t="str">
        <f t="shared" si="60"/>
        <v/>
      </c>
      <c r="AK52" s="180" t="str">
        <f t="shared" si="5"/>
        <v/>
      </c>
      <c r="AL52" s="178" t="str">
        <f t="shared" si="14"/>
        <v/>
      </c>
      <c r="AM52" s="181"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82"/>
      <c r="AO52" s="175"/>
      <c r="AP52" s="183"/>
      <c r="AQ52" s="183"/>
      <c r="AR52" s="184"/>
      <c r="AS52" s="519"/>
      <c r="AT52" s="519"/>
      <c r="AU52" s="519"/>
    </row>
    <row r="53" spans="1:47" x14ac:dyDescent="0.2">
      <c r="A53" s="523"/>
      <c r="B53" s="515"/>
      <c r="C53" s="515"/>
      <c r="D53" s="524"/>
      <c r="E53" s="524"/>
      <c r="F53" s="520"/>
      <c r="G53" s="515"/>
      <c r="H53" s="517"/>
      <c r="I53" s="517"/>
      <c r="J53" s="517"/>
      <c r="K53" s="517"/>
      <c r="L53" s="517"/>
      <c r="M53" s="517"/>
      <c r="N53" s="519"/>
      <c r="O53" s="514"/>
      <c r="P53" s="512"/>
      <c r="Q53" s="513"/>
      <c r="R53" s="512"/>
      <c r="S53" s="514"/>
      <c r="T53" s="512"/>
      <c r="U53" s="511"/>
      <c r="V53" s="199">
        <v>5</v>
      </c>
      <c r="W53" s="199"/>
      <c r="X53" s="199"/>
      <c r="Y53" s="199"/>
      <c r="Z53" s="224" t="str">
        <f t="shared" si="1"/>
        <v xml:space="preserve">  </v>
      </c>
      <c r="AA53" s="176" t="str">
        <f t="shared" si="64"/>
        <v/>
      </c>
      <c r="AB53" s="177"/>
      <c r="AC53" s="177"/>
      <c r="AD53" s="178" t="str">
        <f t="shared" si="59"/>
        <v/>
      </c>
      <c r="AE53" s="177"/>
      <c r="AF53" s="177"/>
      <c r="AG53" s="177"/>
      <c r="AH53" s="179" t="str">
        <f t="shared" si="65"/>
        <v/>
      </c>
      <c r="AI53" s="180" t="str">
        <f t="shared" si="3"/>
        <v/>
      </c>
      <c r="AJ53" s="178" t="str">
        <f t="shared" si="60"/>
        <v/>
      </c>
      <c r="AK53" s="180" t="str">
        <f t="shared" si="5"/>
        <v/>
      </c>
      <c r="AL53" s="178" t="str">
        <f t="shared" si="14"/>
        <v/>
      </c>
      <c r="AM53" s="181" t="str">
        <f t="shared" ref="AM53:AM54" si="66">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82"/>
      <c r="AO53" s="175"/>
      <c r="AP53" s="183"/>
      <c r="AQ53" s="183"/>
      <c r="AR53" s="184"/>
      <c r="AS53" s="519"/>
      <c r="AT53" s="519"/>
      <c r="AU53" s="519"/>
    </row>
    <row r="54" spans="1:47" x14ac:dyDescent="0.2">
      <c r="A54" s="523"/>
      <c r="B54" s="515"/>
      <c r="C54" s="515"/>
      <c r="D54" s="524"/>
      <c r="E54" s="524"/>
      <c r="F54" s="520"/>
      <c r="G54" s="515"/>
      <c r="H54" s="518"/>
      <c r="I54" s="518"/>
      <c r="J54" s="518"/>
      <c r="K54" s="518"/>
      <c r="L54" s="518"/>
      <c r="M54" s="518"/>
      <c r="N54" s="519"/>
      <c r="O54" s="514"/>
      <c r="P54" s="512"/>
      <c r="Q54" s="513"/>
      <c r="R54" s="512"/>
      <c r="S54" s="514"/>
      <c r="T54" s="512"/>
      <c r="U54" s="511"/>
      <c r="V54" s="199">
        <v>6</v>
      </c>
      <c r="W54" s="199"/>
      <c r="X54" s="199"/>
      <c r="Y54" s="199"/>
      <c r="Z54" s="224" t="str">
        <f t="shared" si="1"/>
        <v xml:space="preserve">  </v>
      </c>
      <c r="AA54" s="176" t="str">
        <f t="shared" si="64"/>
        <v/>
      </c>
      <c r="AB54" s="177"/>
      <c r="AC54" s="177"/>
      <c r="AD54" s="178" t="str">
        <f t="shared" si="59"/>
        <v/>
      </c>
      <c r="AE54" s="177"/>
      <c r="AF54" s="177"/>
      <c r="AG54" s="177"/>
      <c r="AH54" s="179" t="str">
        <f t="shared" si="65"/>
        <v/>
      </c>
      <c r="AI54" s="180" t="str">
        <f t="shared" si="3"/>
        <v/>
      </c>
      <c r="AJ54" s="178" t="str">
        <f t="shared" si="60"/>
        <v/>
      </c>
      <c r="AK54" s="180" t="str">
        <f t="shared" si="5"/>
        <v/>
      </c>
      <c r="AL54" s="178" t="str">
        <f t="shared" si="14"/>
        <v/>
      </c>
      <c r="AM54" s="181" t="str">
        <f t="shared" si="66"/>
        <v/>
      </c>
      <c r="AN54" s="182"/>
      <c r="AO54" s="175"/>
      <c r="AP54" s="183"/>
      <c r="AQ54" s="183"/>
      <c r="AR54" s="184"/>
      <c r="AS54" s="519"/>
      <c r="AT54" s="519"/>
      <c r="AU54" s="519"/>
    </row>
    <row r="55" spans="1:47" x14ac:dyDescent="0.2">
      <c r="A55" s="523">
        <v>8</v>
      </c>
      <c r="B55" s="515"/>
      <c r="C55" s="515"/>
      <c r="D55" s="515"/>
      <c r="E55" s="515"/>
      <c r="F55" s="520" t="str">
        <f t="shared" ref="F55" si="67">+CONCATENATE(B55," ",C55," ",D55)</f>
        <v xml:space="preserve">  </v>
      </c>
      <c r="G55" s="515"/>
      <c r="H55" s="516"/>
      <c r="I55" s="516"/>
      <c r="J55" s="516"/>
      <c r="K55" s="516"/>
      <c r="L55" s="516"/>
      <c r="M55" s="516"/>
      <c r="N55" s="519"/>
      <c r="O55" s="514" t="str">
        <f>IF(N55&lt;=0,"",IF(N55&lt;=2,"Muy Baja",IF(N55&lt;=24,"Baja",IF(N55&lt;=500,"Media",IF(N55&lt;=5000,"Alta","Muy Alta")))))</f>
        <v/>
      </c>
      <c r="P55" s="512" t="str">
        <f>IF(O55="","",IF(O55="Muy Baja",0.2,IF(O55="Baja",0.4,IF(O55="Media",0.6,IF(O55="Alta",0.8,IF(O55="Muy Alta",1,))))))</f>
        <v/>
      </c>
      <c r="Q55" s="513"/>
      <c r="R55" s="512">
        <f>IF(NOT(ISERROR(MATCH(Q55,'Tabla Impacto'!$B$245:$B$249,0))),'Tabla Impacto'!$F$224&amp;"Por favor no seleccionar los criterios de impacto(Reputacional, Operativo, Legal, ni Contagio)",Q55)</f>
        <v>0</v>
      </c>
      <c r="S55" s="514" t="str">
        <f>IF(OR(R55='Tabla Impacto'!$C$12,R55='Tabla Impacto'!$D$12),"Leve",IF(OR(R55='Tabla Impacto'!$C$13,R55='Tabla Impacto'!$D$13),"Menor",IF(OR(R55='Tabla Impacto'!$C$14,R55='Tabla Impacto'!$D$14),"Moderado",IF(OR(R55='Tabla Impacto'!$C$15,R55='Tabla Impacto'!$D$15),"Mayor",IF(OR(R55='Tabla Impacto'!$C$16,R55='Tabla Impacto'!$D$16),"Catastrófico","")))))</f>
        <v/>
      </c>
      <c r="T55" s="512" t="str">
        <f>IF(S55="","",IF(S55="Leve",0.2,IF(S55="Menor",0.4,IF(S55="Moderado",0.6,IF(S55="Mayor",0.8,IF(S55="Catastrófico",1,))))))</f>
        <v/>
      </c>
      <c r="U55" s="511"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9">
        <v>1</v>
      </c>
      <c r="W55" s="199"/>
      <c r="X55" s="199"/>
      <c r="Y55" s="199"/>
      <c r="Z55" s="224" t="str">
        <f t="shared" si="1"/>
        <v xml:space="preserve">  </v>
      </c>
      <c r="AA55" s="176" t="str">
        <f>IF(OR(AB55="Preventivo",AB55="Detectivo"),"Probabilidad",IF(AB55="Correctivo","Impacto",""))</f>
        <v/>
      </c>
      <c r="AB55" s="177"/>
      <c r="AC55" s="177"/>
      <c r="AD55" s="178" t="str">
        <f>IF(AND(AB55="Preventivo",AC55="Automático"),"50%",IF(AND(AB55="Preventivo",AC55="Manual"),"40%",IF(AND(AB55="Detectivo",AC55="Automático"),"40%",IF(AND(AB55="Detectivo",AC55="Manual"),"30%",IF(AND(AB55="Correctivo",AC55="Automático"),"35%",IF(AND(AB55="Correctivo",AC55="Manual"),"25%",""))))))</f>
        <v/>
      </c>
      <c r="AE55" s="177"/>
      <c r="AF55" s="177"/>
      <c r="AG55" s="177"/>
      <c r="AH55" s="179" t="str">
        <f>IFERROR(IF(AA55="Probabilidad",(P55-(+P55*AD55)),IF(AA55="Impacto",P55,"")),"")</f>
        <v/>
      </c>
      <c r="AI55" s="180" t="str">
        <f>IFERROR(IF(AH55="","",IF(AH55&lt;=0.2,"Muy Baja",IF(AH55&lt;=0.4,"Baja",IF(AH55&lt;=0.6,"Media",IF(AH55&lt;=0.8,"Alta","Muy Alta"))))),"")</f>
        <v/>
      </c>
      <c r="AJ55" s="178" t="str">
        <f>+AH55</f>
        <v/>
      </c>
      <c r="AK55" s="180" t="str">
        <f>IFERROR(IF(AL55="","",IF(AL55&lt;=0.2,"Leve",IF(AL55&lt;=0.4,"Menor",IF(AL55&lt;=0.6,"Moderado",IF(AL55&lt;=0.8,"Mayor","Catastrófico"))))),"")</f>
        <v/>
      </c>
      <c r="AL55" s="178" t="str">
        <f t="shared" ref="AL55" si="68">IFERROR(IF(AA55="Impacto",(T55-(+T55*AD55)),IF(AA55="Probabilidad",T55,"")),"")</f>
        <v/>
      </c>
      <c r="AM55" s="181"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82"/>
      <c r="AO55" s="175"/>
      <c r="AP55" s="183"/>
      <c r="AQ55" s="183"/>
      <c r="AR55" s="184"/>
      <c r="AS55" s="519"/>
      <c r="AT55" s="519"/>
      <c r="AU55" s="519"/>
    </row>
    <row r="56" spans="1:47" x14ac:dyDescent="0.2">
      <c r="A56" s="523"/>
      <c r="B56" s="515"/>
      <c r="C56" s="515"/>
      <c r="D56" s="515"/>
      <c r="E56" s="515"/>
      <c r="F56" s="520"/>
      <c r="G56" s="515"/>
      <c r="H56" s="517"/>
      <c r="I56" s="517"/>
      <c r="J56" s="517"/>
      <c r="K56" s="517"/>
      <c r="L56" s="517"/>
      <c r="M56" s="517"/>
      <c r="N56" s="519"/>
      <c r="O56" s="514"/>
      <c r="P56" s="512"/>
      <c r="Q56" s="513"/>
      <c r="R56" s="512"/>
      <c r="S56" s="514"/>
      <c r="T56" s="512"/>
      <c r="U56" s="511"/>
      <c r="V56" s="199">
        <v>2</v>
      </c>
      <c r="W56" s="199"/>
      <c r="X56" s="199"/>
      <c r="Y56" s="199"/>
      <c r="Z56" s="224" t="str">
        <f t="shared" si="1"/>
        <v xml:space="preserve">  </v>
      </c>
      <c r="AA56" s="176" t="str">
        <f>IF(OR(AB56="Preventivo",AB56="Detectivo"),"Probabilidad",IF(AB56="Correctivo","Impacto",""))</f>
        <v/>
      </c>
      <c r="AB56" s="177"/>
      <c r="AC56" s="177"/>
      <c r="AD56" s="178" t="str">
        <f t="shared" ref="AD56:AD60" si="69">IF(AND(AB56="Preventivo",AC56="Automático"),"50%",IF(AND(AB56="Preventivo",AC56="Manual"),"40%",IF(AND(AB56="Detectivo",AC56="Automático"),"40%",IF(AND(AB56="Detectivo",AC56="Manual"),"30%",IF(AND(AB56="Correctivo",AC56="Automático"),"35%",IF(AND(AB56="Correctivo",AC56="Manual"),"25%",""))))))</f>
        <v/>
      </c>
      <c r="AE56" s="177"/>
      <c r="AF56" s="177"/>
      <c r="AG56" s="177"/>
      <c r="AH56" s="179" t="str">
        <f>IFERROR(IF(AND(AA55="Probabilidad",AA56="Probabilidad"),(AJ55-(+AJ55*AD56)),IF(AA56="Probabilidad",(P55-(+P55*AD56)),IF(AA56="Impacto",AJ55,""))),"")</f>
        <v/>
      </c>
      <c r="AI56" s="180" t="str">
        <f t="shared" si="3"/>
        <v/>
      </c>
      <c r="AJ56" s="178" t="str">
        <f t="shared" ref="AJ56:AJ60" si="70">+AH56</f>
        <v/>
      </c>
      <c r="AK56" s="180" t="str">
        <f t="shared" si="5"/>
        <v/>
      </c>
      <c r="AL56" s="178" t="str">
        <f t="shared" ref="AL56" si="71">IFERROR(IF(AND(AA55="Impacto",AA56="Impacto"),(AL55-(+AL55*AD56)),IF(AA56="Impacto",($T$13-(+$T$13*AD56)),IF(AA56="Probabilidad",AL55,""))),"")</f>
        <v/>
      </c>
      <c r="AM56" s="181" t="str">
        <f t="shared" ref="AM56:AM57" si="72">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82"/>
      <c r="AO56" s="175"/>
      <c r="AP56" s="183"/>
      <c r="AQ56" s="183"/>
      <c r="AR56" s="184"/>
      <c r="AS56" s="519"/>
      <c r="AT56" s="519"/>
      <c r="AU56" s="519"/>
    </row>
    <row r="57" spans="1:47" x14ac:dyDescent="0.2">
      <c r="A57" s="523"/>
      <c r="B57" s="515"/>
      <c r="C57" s="515"/>
      <c r="D57" s="515"/>
      <c r="E57" s="515"/>
      <c r="F57" s="520"/>
      <c r="G57" s="515"/>
      <c r="H57" s="517"/>
      <c r="I57" s="517"/>
      <c r="J57" s="517"/>
      <c r="K57" s="517"/>
      <c r="L57" s="517"/>
      <c r="M57" s="517"/>
      <c r="N57" s="519"/>
      <c r="O57" s="514"/>
      <c r="P57" s="512"/>
      <c r="Q57" s="513"/>
      <c r="R57" s="512"/>
      <c r="S57" s="514"/>
      <c r="T57" s="512"/>
      <c r="U57" s="511"/>
      <c r="V57" s="199">
        <v>3</v>
      </c>
      <c r="W57" s="199"/>
      <c r="X57" s="199"/>
      <c r="Y57" s="199"/>
      <c r="Z57" s="224" t="str">
        <f t="shared" si="1"/>
        <v xml:space="preserve">  </v>
      </c>
      <c r="AA57" s="176" t="str">
        <f>IF(OR(AB57="Preventivo",AB57="Detectivo"),"Probabilidad",IF(AB57="Correctivo","Impacto",""))</f>
        <v/>
      </c>
      <c r="AB57" s="177"/>
      <c r="AC57" s="177"/>
      <c r="AD57" s="178" t="str">
        <f t="shared" si="69"/>
        <v/>
      </c>
      <c r="AE57" s="177"/>
      <c r="AF57" s="177"/>
      <c r="AG57" s="177"/>
      <c r="AH57" s="179" t="str">
        <f>IFERROR(IF(AND(AA56="Probabilidad",AA57="Probabilidad"),(AJ56-(+AJ56*AD57)),IF(AND(AA56="Impacto",AA57="Probabilidad"),(AJ55-(+AJ55*AD57)),IF(AA57="Impacto",AJ56,""))),"")</f>
        <v/>
      </c>
      <c r="AI57" s="180" t="str">
        <f t="shared" si="3"/>
        <v/>
      </c>
      <c r="AJ57" s="178" t="str">
        <f t="shared" si="70"/>
        <v/>
      </c>
      <c r="AK57" s="180" t="str">
        <f t="shared" si="5"/>
        <v/>
      </c>
      <c r="AL57" s="178" t="str">
        <f t="shared" ref="AL57" si="73">IFERROR(IF(AND(AA56="Impacto",AA57="Impacto"),(AL56-(+AL56*AD57)),IF(AND(AA56="Probabilidad",AA57="Impacto"),(AL55-(+AL55*AD57)),IF(AA57="Probabilidad",AL56,""))),"")</f>
        <v/>
      </c>
      <c r="AM57" s="181" t="str">
        <f t="shared" si="72"/>
        <v/>
      </c>
      <c r="AN57" s="182"/>
      <c r="AO57" s="175"/>
      <c r="AP57" s="183"/>
      <c r="AQ57" s="183"/>
      <c r="AR57" s="184"/>
      <c r="AS57" s="519"/>
      <c r="AT57" s="519"/>
      <c r="AU57" s="519"/>
    </row>
    <row r="58" spans="1:47" x14ac:dyDescent="0.2">
      <c r="A58" s="523"/>
      <c r="B58" s="515"/>
      <c r="C58" s="515"/>
      <c r="D58" s="515"/>
      <c r="E58" s="515"/>
      <c r="F58" s="520"/>
      <c r="G58" s="515"/>
      <c r="H58" s="517"/>
      <c r="I58" s="517"/>
      <c r="J58" s="517"/>
      <c r="K58" s="517"/>
      <c r="L58" s="517"/>
      <c r="M58" s="517"/>
      <c r="N58" s="519"/>
      <c r="O58" s="514"/>
      <c r="P58" s="512"/>
      <c r="Q58" s="513"/>
      <c r="R58" s="512"/>
      <c r="S58" s="514"/>
      <c r="T58" s="512"/>
      <c r="U58" s="511"/>
      <c r="V58" s="199">
        <v>4</v>
      </c>
      <c r="W58" s="199"/>
      <c r="X58" s="199"/>
      <c r="Y58" s="199"/>
      <c r="Z58" s="224" t="str">
        <f t="shared" si="1"/>
        <v xml:space="preserve">  </v>
      </c>
      <c r="AA58" s="176" t="str">
        <f t="shared" ref="AA58:AA60" si="74">IF(OR(AB58="Preventivo",AB58="Detectivo"),"Probabilidad",IF(AB58="Correctivo","Impacto",""))</f>
        <v/>
      </c>
      <c r="AB58" s="177"/>
      <c r="AC58" s="177"/>
      <c r="AD58" s="178" t="str">
        <f t="shared" si="69"/>
        <v/>
      </c>
      <c r="AE58" s="177"/>
      <c r="AF58" s="177"/>
      <c r="AG58" s="177"/>
      <c r="AH58" s="179" t="str">
        <f t="shared" ref="AH58:AH60" si="75">IFERROR(IF(AND(AA57="Probabilidad",AA58="Probabilidad"),(AJ57-(+AJ57*AD58)),IF(AND(AA57="Impacto",AA58="Probabilidad"),(AJ56-(+AJ56*AD58)),IF(AA58="Impacto",AJ57,""))),"")</f>
        <v/>
      </c>
      <c r="AI58" s="180" t="str">
        <f t="shared" si="3"/>
        <v/>
      </c>
      <c r="AJ58" s="178" t="str">
        <f t="shared" si="70"/>
        <v/>
      </c>
      <c r="AK58" s="180" t="str">
        <f t="shared" si="5"/>
        <v/>
      </c>
      <c r="AL58" s="178" t="str">
        <f t="shared" si="14"/>
        <v/>
      </c>
      <c r="AM58" s="181"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82"/>
      <c r="AO58" s="175"/>
      <c r="AP58" s="183"/>
      <c r="AQ58" s="183"/>
      <c r="AR58" s="184"/>
      <c r="AS58" s="519"/>
      <c r="AT58" s="519"/>
      <c r="AU58" s="519"/>
    </row>
    <row r="59" spans="1:47" x14ac:dyDescent="0.2">
      <c r="A59" s="523"/>
      <c r="B59" s="515"/>
      <c r="C59" s="515"/>
      <c r="D59" s="515"/>
      <c r="E59" s="515"/>
      <c r="F59" s="520"/>
      <c r="G59" s="515"/>
      <c r="H59" s="517"/>
      <c r="I59" s="517"/>
      <c r="J59" s="517"/>
      <c r="K59" s="517"/>
      <c r="L59" s="517"/>
      <c r="M59" s="517"/>
      <c r="N59" s="519"/>
      <c r="O59" s="514"/>
      <c r="P59" s="512"/>
      <c r="Q59" s="513"/>
      <c r="R59" s="512"/>
      <c r="S59" s="514"/>
      <c r="T59" s="512"/>
      <c r="U59" s="511"/>
      <c r="V59" s="199">
        <v>5</v>
      </c>
      <c r="W59" s="199"/>
      <c r="X59" s="199"/>
      <c r="Y59" s="199"/>
      <c r="Z59" s="224" t="str">
        <f t="shared" si="1"/>
        <v xml:space="preserve">  </v>
      </c>
      <c r="AA59" s="176" t="str">
        <f t="shared" si="74"/>
        <v/>
      </c>
      <c r="AB59" s="177"/>
      <c r="AC59" s="177"/>
      <c r="AD59" s="178" t="str">
        <f t="shared" si="69"/>
        <v/>
      </c>
      <c r="AE59" s="177"/>
      <c r="AF59" s="177"/>
      <c r="AG59" s="177"/>
      <c r="AH59" s="179" t="str">
        <f t="shared" si="75"/>
        <v/>
      </c>
      <c r="AI59" s="180" t="str">
        <f t="shared" si="3"/>
        <v/>
      </c>
      <c r="AJ59" s="178" t="str">
        <f t="shared" si="70"/>
        <v/>
      </c>
      <c r="AK59" s="180" t="str">
        <f t="shared" si="5"/>
        <v/>
      </c>
      <c r="AL59" s="178" t="str">
        <f t="shared" si="14"/>
        <v/>
      </c>
      <c r="AM59" s="181" t="str">
        <f t="shared" ref="AM59:AM60" si="76">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82"/>
      <c r="AO59" s="175"/>
      <c r="AP59" s="183"/>
      <c r="AQ59" s="183"/>
      <c r="AR59" s="184"/>
      <c r="AS59" s="519"/>
      <c r="AT59" s="519"/>
      <c r="AU59" s="519"/>
    </row>
    <row r="60" spans="1:47" x14ac:dyDescent="0.2">
      <c r="A60" s="523"/>
      <c r="B60" s="515"/>
      <c r="C60" s="515"/>
      <c r="D60" s="515"/>
      <c r="E60" s="515"/>
      <c r="F60" s="520"/>
      <c r="G60" s="515"/>
      <c r="H60" s="518"/>
      <c r="I60" s="518"/>
      <c r="J60" s="518"/>
      <c r="K60" s="518"/>
      <c r="L60" s="518"/>
      <c r="M60" s="518"/>
      <c r="N60" s="519"/>
      <c r="O60" s="514"/>
      <c r="P60" s="512"/>
      <c r="Q60" s="513"/>
      <c r="R60" s="512"/>
      <c r="S60" s="514"/>
      <c r="T60" s="512"/>
      <c r="U60" s="511"/>
      <c r="V60" s="199">
        <v>6</v>
      </c>
      <c r="W60" s="199"/>
      <c r="X60" s="199"/>
      <c r="Y60" s="199"/>
      <c r="Z60" s="224" t="str">
        <f t="shared" si="1"/>
        <v xml:space="preserve">  </v>
      </c>
      <c r="AA60" s="176" t="str">
        <f t="shared" si="74"/>
        <v/>
      </c>
      <c r="AB60" s="177"/>
      <c r="AC60" s="177"/>
      <c r="AD60" s="178" t="str">
        <f t="shared" si="69"/>
        <v/>
      </c>
      <c r="AE60" s="177"/>
      <c r="AF60" s="177"/>
      <c r="AG60" s="177"/>
      <c r="AH60" s="179" t="str">
        <f t="shared" si="75"/>
        <v/>
      </c>
      <c r="AI60" s="180" t="str">
        <f t="shared" si="3"/>
        <v/>
      </c>
      <c r="AJ60" s="178" t="str">
        <f t="shared" si="70"/>
        <v/>
      </c>
      <c r="AK60" s="180" t="str">
        <f t="shared" si="5"/>
        <v/>
      </c>
      <c r="AL60" s="178" t="str">
        <f t="shared" si="14"/>
        <v/>
      </c>
      <c r="AM60" s="181" t="str">
        <f t="shared" si="76"/>
        <v/>
      </c>
      <c r="AN60" s="182"/>
      <c r="AO60" s="175"/>
      <c r="AP60" s="183"/>
      <c r="AQ60" s="183"/>
      <c r="AR60" s="184"/>
      <c r="AS60" s="519"/>
      <c r="AT60" s="519"/>
      <c r="AU60" s="519"/>
    </row>
    <row r="61" spans="1:47" x14ac:dyDescent="0.2">
      <c r="A61" s="523">
        <v>9</v>
      </c>
      <c r="B61" s="515"/>
      <c r="C61" s="515"/>
      <c r="D61" s="515"/>
      <c r="E61" s="515"/>
      <c r="F61" s="520" t="str">
        <f t="shared" ref="F61" si="77">+CONCATENATE(B61," ",C61," ",D61)</f>
        <v xml:space="preserve">  </v>
      </c>
      <c r="G61" s="515"/>
      <c r="H61" s="516"/>
      <c r="I61" s="206"/>
      <c r="J61" s="206"/>
      <c r="K61" s="206"/>
      <c r="L61" s="516"/>
      <c r="M61" s="516"/>
      <c r="N61" s="519"/>
      <c r="O61" s="514" t="str">
        <f>IF(N61&lt;=0,"",IF(N61&lt;=2,"Muy Baja",IF(N61&lt;=24,"Baja",IF(N61&lt;=500,"Media",IF(N61&lt;=5000,"Alta","Muy Alta")))))</f>
        <v/>
      </c>
      <c r="P61" s="512" t="str">
        <f>IF(O61="","",IF(O61="Muy Baja",0.2,IF(O61="Baja",0.4,IF(O61="Media",0.6,IF(O61="Alta",0.8,IF(O61="Muy Alta",1,))))))</f>
        <v/>
      </c>
      <c r="Q61" s="513"/>
      <c r="R61" s="512">
        <f>IF(NOT(ISERROR(MATCH(Q61,'Tabla Impacto'!$B$245:$B$249,0))),'Tabla Impacto'!$F$224&amp;"Por favor no seleccionar los criterios de impacto(Reputacional, Operativo, Legal, ni Contagio)",Q61)</f>
        <v>0</v>
      </c>
      <c r="S61" s="514" t="str">
        <f>IF(OR(R61='Tabla Impacto'!$C$12,R61='Tabla Impacto'!$D$12),"Leve",IF(OR(R61='Tabla Impacto'!$C$13,R61='Tabla Impacto'!$D$13),"Menor",IF(OR(R61='Tabla Impacto'!$C$14,R61='Tabla Impacto'!$D$14),"Moderado",IF(OR(R61='Tabla Impacto'!$C$15,R61='Tabla Impacto'!$D$15),"Mayor",IF(OR(R61='Tabla Impacto'!$C$16,R61='Tabla Impacto'!$D$16),"Catastrófico","")))))</f>
        <v/>
      </c>
      <c r="T61" s="512" t="str">
        <f>IF(S61="","",IF(S61="Leve",0.2,IF(S61="Menor",0.4,IF(S61="Moderado",0.6,IF(S61="Mayor",0.8,IF(S61="Catastrófico",1,))))))</f>
        <v/>
      </c>
      <c r="U61" s="511"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9">
        <v>1</v>
      </c>
      <c r="W61" s="199"/>
      <c r="X61" s="199"/>
      <c r="Y61" s="199"/>
      <c r="Z61" s="224" t="str">
        <f t="shared" si="1"/>
        <v xml:space="preserve">  </v>
      </c>
      <c r="AA61" s="176" t="str">
        <f>IF(OR(AB61="Preventivo",AB61="Detectivo"),"Probabilidad",IF(AB61="Correctivo","Impacto",""))</f>
        <v/>
      </c>
      <c r="AB61" s="177"/>
      <c r="AC61" s="177"/>
      <c r="AD61" s="178" t="str">
        <f>IF(AND(AB61="Preventivo",AC61="Automático"),"50%",IF(AND(AB61="Preventivo",AC61="Manual"),"40%",IF(AND(AB61="Detectivo",AC61="Automático"),"40%",IF(AND(AB61="Detectivo",AC61="Manual"),"30%",IF(AND(AB61="Correctivo",AC61="Automático"),"35%",IF(AND(AB61="Correctivo",AC61="Manual"),"25%",""))))))</f>
        <v/>
      </c>
      <c r="AE61" s="177"/>
      <c r="AF61" s="177"/>
      <c r="AG61" s="177"/>
      <c r="AH61" s="179" t="str">
        <f>IFERROR(IF(AA61="Probabilidad",(P61-(+P61*AD61)),IF(AA61="Impacto",P61,"")),"")</f>
        <v/>
      </c>
      <c r="AI61" s="180" t="str">
        <f>IFERROR(IF(AH61="","",IF(AH61&lt;=0.2,"Muy Baja",IF(AH61&lt;=0.4,"Baja",IF(AH61&lt;=0.6,"Media",IF(AH61&lt;=0.8,"Alta","Muy Alta"))))),"")</f>
        <v/>
      </c>
      <c r="AJ61" s="178" t="str">
        <f>+AH61</f>
        <v/>
      </c>
      <c r="AK61" s="180" t="str">
        <f>IFERROR(IF(AL61="","",IF(AL61&lt;=0.2,"Leve",IF(AL61&lt;=0.4,"Menor",IF(AL61&lt;=0.6,"Moderado",IF(AL61&lt;=0.8,"Mayor","Catastrófico"))))),"")</f>
        <v/>
      </c>
      <c r="AL61" s="178" t="str">
        <f t="shared" ref="AL61" si="78">IFERROR(IF(AA61="Impacto",(T61-(+T61*AD61)),IF(AA61="Probabilidad",T61,"")),"")</f>
        <v/>
      </c>
      <c r="AM61" s="181"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82"/>
      <c r="AO61" s="175"/>
      <c r="AP61" s="183"/>
      <c r="AQ61" s="183"/>
      <c r="AR61" s="184"/>
      <c r="AS61" s="519"/>
      <c r="AT61" s="519"/>
      <c r="AU61" s="519"/>
    </row>
    <row r="62" spans="1:47" x14ac:dyDescent="0.2">
      <c r="A62" s="523"/>
      <c r="B62" s="515"/>
      <c r="C62" s="515"/>
      <c r="D62" s="515"/>
      <c r="E62" s="515"/>
      <c r="F62" s="520"/>
      <c r="G62" s="515"/>
      <c r="H62" s="517"/>
      <c r="I62" s="207"/>
      <c r="J62" s="207"/>
      <c r="K62" s="207"/>
      <c r="L62" s="517"/>
      <c r="M62" s="517"/>
      <c r="N62" s="519"/>
      <c r="O62" s="514"/>
      <c r="P62" s="512"/>
      <c r="Q62" s="513"/>
      <c r="R62" s="512"/>
      <c r="S62" s="514"/>
      <c r="T62" s="512"/>
      <c r="U62" s="511"/>
      <c r="V62" s="199">
        <v>2</v>
      </c>
      <c r="W62" s="199"/>
      <c r="X62" s="199"/>
      <c r="Y62" s="199"/>
      <c r="Z62" s="224" t="str">
        <f t="shared" si="1"/>
        <v xml:space="preserve">  </v>
      </c>
      <c r="AA62" s="176" t="str">
        <f>IF(OR(AB62="Preventivo",AB62="Detectivo"),"Probabilidad",IF(AB62="Correctivo","Impacto",""))</f>
        <v/>
      </c>
      <c r="AB62" s="177"/>
      <c r="AC62" s="177"/>
      <c r="AD62" s="178" t="str">
        <f t="shared" ref="AD62:AD66" si="79">IF(AND(AB62="Preventivo",AC62="Automático"),"50%",IF(AND(AB62="Preventivo",AC62="Manual"),"40%",IF(AND(AB62="Detectivo",AC62="Automático"),"40%",IF(AND(AB62="Detectivo",AC62="Manual"),"30%",IF(AND(AB62="Correctivo",AC62="Automático"),"35%",IF(AND(AB62="Correctivo",AC62="Manual"),"25%",""))))))</f>
        <v/>
      </c>
      <c r="AE62" s="177"/>
      <c r="AF62" s="177"/>
      <c r="AG62" s="177"/>
      <c r="AH62" s="179" t="str">
        <f>IFERROR(IF(AND(AA61="Probabilidad",AA62="Probabilidad"),(AJ61-(+AJ61*AD62)),IF(AA62="Probabilidad",(P61-(+P61*AD62)),IF(AA62="Impacto",AJ61,""))),"")</f>
        <v/>
      </c>
      <c r="AI62" s="180" t="str">
        <f t="shared" si="3"/>
        <v/>
      </c>
      <c r="AJ62" s="178" t="str">
        <f t="shared" ref="AJ62:AJ66" si="80">+AH62</f>
        <v/>
      </c>
      <c r="AK62" s="180" t="str">
        <f t="shared" si="5"/>
        <v/>
      </c>
      <c r="AL62" s="178" t="str">
        <f t="shared" ref="AL62" si="81">IFERROR(IF(AND(AA61="Impacto",AA62="Impacto"),(AL61-(+AL61*AD62)),IF(AA62="Impacto",($T$13-(+$T$13*AD62)),IF(AA62="Probabilidad",AL61,""))),"")</f>
        <v/>
      </c>
      <c r="AM62" s="181" t="str">
        <f t="shared" ref="AM62:AM63" si="82">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82"/>
      <c r="AO62" s="175"/>
      <c r="AP62" s="183"/>
      <c r="AQ62" s="183"/>
      <c r="AR62" s="184"/>
      <c r="AS62" s="519"/>
      <c r="AT62" s="519"/>
      <c r="AU62" s="519"/>
    </row>
    <row r="63" spans="1:47" x14ac:dyDescent="0.2">
      <c r="A63" s="523"/>
      <c r="B63" s="515"/>
      <c r="C63" s="515"/>
      <c r="D63" s="515"/>
      <c r="E63" s="515"/>
      <c r="F63" s="520"/>
      <c r="G63" s="515"/>
      <c r="H63" s="517"/>
      <c r="I63" s="207"/>
      <c r="J63" s="207"/>
      <c r="K63" s="207"/>
      <c r="L63" s="517"/>
      <c r="M63" s="517"/>
      <c r="N63" s="519"/>
      <c r="O63" s="514"/>
      <c r="P63" s="512"/>
      <c r="Q63" s="513"/>
      <c r="R63" s="512"/>
      <c r="S63" s="514"/>
      <c r="T63" s="512"/>
      <c r="U63" s="511"/>
      <c r="V63" s="199">
        <v>3</v>
      </c>
      <c r="W63" s="199"/>
      <c r="X63" s="199"/>
      <c r="Y63" s="199"/>
      <c r="Z63" s="224" t="str">
        <f t="shared" si="1"/>
        <v xml:space="preserve">  </v>
      </c>
      <c r="AA63" s="176" t="str">
        <f>IF(OR(AB63="Preventivo",AB63="Detectivo"),"Probabilidad",IF(AB63="Correctivo","Impacto",""))</f>
        <v/>
      </c>
      <c r="AB63" s="177"/>
      <c r="AC63" s="177"/>
      <c r="AD63" s="178" t="str">
        <f t="shared" si="79"/>
        <v/>
      </c>
      <c r="AE63" s="177"/>
      <c r="AF63" s="177"/>
      <c r="AG63" s="177"/>
      <c r="AH63" s="179" t="str">
        <f>IFERROR(IF(AND(AA62="Probabilidad",AA63="Probabilidad"),(AJ62-(+AJ62*AD63)),IF(AND(AA62="Impacto",AA63="Probabilidad"),(AJ61-(+AJ61*AD63)),IF(AA63="Impacto",AJ62,""))),"")</f>
        <v/>
      </c>
      <c r="AI63" s="180" t="str">
        <f t="shared" si="3"/>
        <v/>
      </c>
      <c r="AJ63" s="178" t="str">
        <f t="shared" si="80"/>
        <v/>
      </c>
      <c r="AK63" s="180" t="str">
        <f t="shared" si="5"/>
        <v/>
      </c>
      <c r="AL63" s="178" t="str">
        <f t="shared" ref="AL63" si="83">IFERROR(IF(AND(AA62="Impacto",AA63="Impacto"),(AL62-(+AL62*AD63)),IF(AND(AA62="Probabilidad",AA63="Impacto"),(AL61-(+AL61*AD63)),IF(AA63="Probabilidad",AL62,""))),"")</f>
        <v/>
      </c>
      <c r="AM63" s="181" t="str">
        <f t="shared" si="82"/>
        <v/>
      </c>
      <c r="AN63" s="182"/>
      <c r="AO63" s="175"/>
      <c r="AP63" s="183"/>
      <c r="AQ63" s="183"/>
      <c r="AR63" s="184"/>
      <c r="AS63" s="519"/>
      <c r="AT63" s="519"/>
      <c r="AU63" s="519"/>
    </row>
    <row r="64" spans="1:47" x14ac:dyDescent="0.2">
      <c r="A64" s="523"/>
      <c r="B64" s="515"/>
      <c r="C64" s="515"/>
      <c r="D64" s="515"/>
      <c r="E64" s="515"/>
      <c r="F64" s="520"/>
      <c r="G64" s="515"/>
      <c r="H64" s="517"/>
      <c r="I64" s="207"/>
      <c r="J64" s="207"/>
      <c r="K64" s="207"/>
      <c r="L64" s="517"/>
      <c r="M64" s="517"/>
      <c r="N64" s="519"/>
      <c r="O64" s="514"/>
      <c r="P64" s="512"/>
      <c r="Q64" s="513"/>
      <c r="R64" s="512"/>
      <c r="S64" s="514"/>
      <c r="T64" s="512"/>
      <c r="U64" s="511"/>
      <c r="V64" s="199">
        <v>4</v>
      </c>
      <c r="W64" s="199"/>
      <c r="X64" s="199"/>
      <c r="Y64" s="199"/>
      <c r="Z64" s="224" t="str">
        <f t="shared" si="1"/>
        <v xml:space="preserve">  </v>
      </c>
      <c r="AA64" s="176" t="str">
        <f t="shared" ref="AA64:AA66" si="84">IF(OR(AB64="Preventivo",AB64="Detectivo"),"Probabilidad",IF(AB64="Correctivo","Impacto",""))</f>
        <v/>
      </c>
      <c r="AB64" s="177"/>
      <c r="AC64" s="177"/>
      <c r="AD64" s="178" t="str">
        <f t="shared" si="79"/>
        <v/>
      </c>
      <c r="AE64" s="177"/>
      <c r="AF64" s="177"/>
      <c r="AG64" s="177"/>
      <c r="AH64" s="179" t="str">
        <f t="shared" ref="AH64:AH66" si="85">IFERROR(IF(AND(AA63="Probabilidad",AA64="Probabilidad"),(AJ63-(+AJ63*AD64)),IF(AND(AA63="Impacto",AA64="Probabilidad"),(AJ62-(+AJ62*AD64)),IF(AA64="Impacto",AJ63,""))),"")</f>
        <v/>
      </c>
      <c r="AI64" s="180" t="str">
        <f t="shared" si="3"/>
        <v/>
      </c>
      <c r="AJ64" s="178" t="str">
        <f t="shared" si="80"/>
        <v/>
      </c>
      <c r="AK64" s="180" t="str">
        <f t="shared" si="5"/>
        <v/>
      </c>
      <c r="AL64" s="178" t="str">
        <f t="shared" si="14"/>
        <v/>
      </c>
      <c r="AM64" s="181"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82"/>
      <c r="AO64" s="175"/>
      <c r="AP64" s="183"/>
      <c r="AQ64" s="183"/>
      <c r="AR64" s="184"/>
      <c r="AS64" s="519"/>
      <c r="AT64" s="519"/>
      <c r="AU64" s="519"/>
    </row>
    <row r="65" spans="1:47" x14ac:dyDescent="0.2">
      <c r="A65" s="523"/>
      <c r="B65" s="515"/>
      <c r="C65" s="515"/>
      <c r="D65" s="515"/>
      <c r="E65" s="515"/>
      <c r="F65" s="520"/>
      <c r="G65" s="515"/>
      <c r="H65" s="517"/>
      <c r="I65" s="207"/>
      <c r="J65" s="207"/>
      <c r="K65" s="207"/>
      <c r="L65" s="517"/>
      <c r="M65" s="517"/>
      <c r="N65" s="519"/>
      <c r="O65" s="514"/>
      <c r="P65" s="512"/>
      <c r="Q65" s="513"/>
      <c r="R65" s="512"/>
      <c r="S65" s="514"/>
      <c r="T65" s="512"/>
      <c r="U65" s="511"/>
      <c r="V65" s="199">
        <v>5</v>
      </c>
      <c r="W65" s="199"/>
      <c r="X65" s="199"/>
      <c r="Y65" s="199"/>
      <c r="Z65" s="224" t="str">
        <f t="shared" si="1"/>
        <v xml:space="preserve">  </v>
      </c>
      <c r="AA65" s="176" t="str">
        <f t="shared" si="84"/>
        <v/>
      </c>
      <c r="AB65" s="177"/>
      <c r="AC65" s="177"/>
      <c r="AD65" s="178" t="str">
        <f t="shared" si="79"/>
        <v/>
      </c>
      <c r="AE65" s="177"/>
      <c r="AF65" s="177"/>
      <c r="AG65" s="177"/>
      <c r="AH65" s="179" t="str">
        <f t="shared" si="85"/>
        <v/>
      </c>
      <c r="AI65" s="180" t="str">
        <f t="shared" si="3"/>
        <v/>
      </c>
      <c r="AJ65" s="178" t="str">
        <f t="shared" si="80"/>
        <v/>
      </c>
      <c r="AK65" s="180" t="str">
        <f t="shared" si="5"/>
        <v/>
      </c>
      <c r="AL65" s="178" t="str">
        <f t="shared" si="14"/>
        <v/>
      </c>
      <c r="AM65" s="181" t="str">
        <f t="shared" ref="AM65:AM66" si="86">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82"/>
      <c r="AO65" s="175"/>
      <c r="AP65" s="183"/>
      <c r="AQ65" s="183"/>
      <c r="AR65" s="184"/>
      <c r="AS65" s="519"/>
      <c r="AT65" s="519"/>
      <c r="AU65" s="519"/>
    </row>
    <row r="66" spans="1:47" x14ac:dyDescent="0.2">
      <c r="A66" s="523"/>
      <c r="B66" s="515"/>
      <c r="C66" s="515"/>
      <c r="D66" s="515"/>
      <c r="E66" s="515"/>
      <c r="F66" s="520"/>
      <c r="G66" s="515"/>
      <c r="H66" s="518"/>
      <c r="I66" s="208"/>
      <c r="J66" s="208"/>
      <c r="K66" s="208"/>
      <c r="L66" s="518"/>
      <c r="M66" s="518"/>
      <c r="N66" s="519"/>
      <c r="O66" s="514"/>
      <c r="P66" s="512"/>
      <c r="Q66" s="513"/>
      <c r="R66" s="512"/>
      <c r="S66" s="514"/>
      <c r="T66" s="512"/>
      <c r="U66" s="511"/>
      <c r="V66" s="199">
        <v>6</v>
      </c>
      <c r="W66" s="199"/>
      <c r="X66" s="199"/>
      <c r="Y66" s="199"/>
      <c r="Z66" s="224" t="str">
        <f t="shared" si="1"/>
        <v xml:space="preserve">  </v>
      </c>
      <c r="AA66" s="176" t="str">
        <f t="shared" si="84"/>
        <v/>
      </c>
      <c r="AB66" s="177"/>
      <c r="AC66" s="177"/>
      <c r="AD66" s="178" t="str">
        <f t="shared" si="79"/>
        <v/>
      </c>
      <c r="AE66" s="177"/>
      <c r="AF66" s="177"/>
      <c r="AG66" s="177"/>
      <c r="AH66" s="179" t="str">
        <f t="shared" si="85"/>
        <v/>
      </c>
      <c r="AI66" s="180" t="str">
        <f t="shared" si="3"/>
        <v/>
      </c>
      <c r="AJ66" s="178" t="str">
        <f t="shared" si="80"/>
        <v/>
      </c>
      <c r="AK66" s="180" t="str">
        <f t="shared" si="5"/>
        <v/>
      </c>
      <c r="AL66" s="178" t="str">
        <f t="shared" si="14"/>
        <v/>
      </c>
      <c r="AM66" s="181" t="str">
        <f t="shared" si="86"/>
        <v/>
      </c>
      <c r="AN66" s="182"/>
      <c r="AO66" s="175"/>
      <c r="AP66" s="183"/>
      <c r="AQ66" s="183"/>
      <c r="AR66" s="184"/>
      <c r="AS66" s="519"/>
      <c r="AT66" s="519"/>
      <c r="AU66" s="519"/>
    </row>
    <row r="67" spans="1:47" x14ac:dyDescent="0.2">
      <c r="A67" s="523">
        <v>10</v>
      </c>
      <c r="B67" s="515"/>
      <c r="C67" s="515"/>
      <c r="D67" s="515"/>
      <c r="E67" s="515"/>
      <c r="F67" s="520" t="str">
        <f t="shared" ref="F67" si="87">+CONCATENATE(B67," ",C67," ",D67)</f>
        <v xml:space="preserve">  </v>
      </c>
      <c r="G67" s="515"/>
      <c r="H67" s="516"/>
      <c r="I67" s="206"/>
      <c r="J67" s="206"/>
      <c r="K67" s="206"/>
      <c r="L67" s="516"/>
      <c r="M67" s="516"/>
      <c r="N67" s="519"/>
      <c r="O67" s="514" t="str">
        <f>IF(N67&lt;=0,"",IF(N67&lt;=2,"Muy Baja",IF(N67&lt;=24,"Baja",IF(N67&lt;=500,"Media",IF(N67&lt;=5000,"Alta","Muy Alta")))))</f>
        <v/>
      </c>
      <c r="P67" s="512" t="str">
        <f>IF(O67="","",IF(O67="Muy Baja",0.2,IF(O67="Baja",0.4,IF(O67="Media",0.6,IF(O67="Alta",0.8,IF(O67="Muy Alta",1,))))))</f>
        <v/>
      </c>
      <c r="Q67" s="513"/>
      <c r="R67" s="512">
        <f>IF(NOT(ISERROR(MATCH(Q67,'Tabla Impacto'!$B$245:$B$249,0))),'Tabla Impacto'!$F$224&amp;"Por favor no seleccionar los criterios de impacto(Reputacional, Operativo, Legal, ni Contagio)",Q67)</f>
        <v>0</v>
      </c>
      <c r="S67" s="514" t="str">
        <f>IF(OR(R67='Tabla Impacto'!$C$12,R67='Tabla Impacto'!$D$12),"Leve",IF(OR(R67='Tabla Impacto'!$C$13,R67='Tabla Impacto'!$D$13),"Menor",IF(OR(R67='Tabla Impacto'!$C$14,R67='Tabla Impacto'!$D$14),"Moderado",IF(OR(R67='Tabla Impacto'!$C$15,R67='Tabla Impacto'!$D$15),"Mayor",IF(OR(R67='Tabla Impacto'!$C$16,R67='Tabla Impacto'!$D$16),"Catastrófico","")))))</f>
        <v/>
      </c>
      <c r="T67" s="512" t="str">
        <f>IF(S67="","",IF(S67="Leve",0.2,IF(S67="Menor",0.4,IF(S67="Moderado",0.6,IF(S67="Mayor",0.8,IF(S67="Catastrófico",1,))))))</f>
        <v/>
      </c>
      <c r="U67" s="511"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9">
        <v>1</v>
      </c>
      <c r="W67" s="199"/>
      <c r="X67" s="199"/>
      <c r="Y67" s="199"/>
      <c r="Z67" s="224" t="str">
        <f t="shared" si="1"/>
        <v xml:space="preserve">  </v>
      </c>
      <c r="AA67" s="176" t="str">
        <f>IF(OR(AB67="Preventivo",AB67="Detectivo"),"Probabilidad",IF(AB67="Correctivo","Impacto",""))</f>
        <v/>
      </c>
      <c r="AB67" s="177"/>
      <c r="AC67" s="177"/>
      <c r="AD67" s="178" t="str">
        <f>IF(AND(AB67="Preventivo",AC67="Automático"),"50%",IF(AND(AB67="Preventivo",AC67="Manual"),"40%",IF(AND(AB67="Detectivo",AC67="Automático"),"40%",IF(AND(AB67="Detectivo",AC67="Manual"),"30%",IF(AND(AB67="Correctivo",AC67="Automático"),"35%",IF(AND(AB67="Correctivo",AC67="Manual"),"25%",""))))))</f>
        <v/>
      </c>
      <c r="AE67" s="177"/>
      <c r="AF67" s="177"/>
      <c r="AG67" s="177"/>
      <c r="AH67" s="179" t="str">
        <f>IFERROR(IF(AA67="Probabilidad",(P67-(+P67*AD67)),IF(AA67="Impacto",P67,"")),"")</f>
        <v/>
      </c>
      <c r="AI67" s="180" t="str">
        <f>IFERROR(IF(AH67="","",IF(AH67&lt;=0.2,"Muy Baja",IF(AH67&lt;=0.4,"Baja",IF(AH67&lt;=0.6,"Media",IF(AH67&lt;=0.8,"Alta","Muy Alta"))))),"")</f>
        <v/>
      </c>
      <c r="AJ67" s="178" t="str">
        <f>+AH67</f>
        <v/>
      </c>
      <c r="AK67" s="180" t="str">
        <f>IFERROR(IF(AL67="","",IF(AL67&lt;=0.2,"Leve",IF(AL67&lt;=0.4,"Menor",IF(AL67&lt;=0.6,"Moderado",IF(AL67&lt;=0.8,"Mayor","Catastrófico"))))),"")</f>
        <v/>
      </c>
      <c r="AL67" s="178" t="str">
        <f t="shared" ref="AL67" si="88">IFERROR(IF(AA67="Impacto",(T67-(+T67*AD67)),IF(AA67="Probabilidad",T67,"")),"")</f>
        <v/>
      </c>
      <c r="AM67" s="181"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82"/>
      <c r="AO67" s="175"/>
      <c r="AP67" s="183"/>
      <c r="AQ67" s="183"/>
      <c r="AR67" s="184"/>
      <c r="AS67" s="519"/>
      <c r="AT67" s="519"/>
      <c r="AU67" s="519"/>
    </row>
    <row r="68" spans="1:47" x14ac:dyDescent="0.2">
      <c r="A68" s="523"/>
      <c r="B68" s="515"/>
      <c r="C68" s="515"/>
      <c r="D68" s="515"/>
      <c r="E68" s="515"/>
      <c r="F68" s="520"/>
      <c r="G68" s="515"/>
      <c r="H68" s="517"/>
      <c r="I68" s="207"/>
      <c r="J68" s="207"/>
      <c r="K68" s="207"/>
      <c r="L68" s="517"/>
      <c r="M68" s="517"/>
      <c r="N68" s="519"/>
      <c r="O68" s="514"/>
      <c r="P68" s="512"/>
      <c r="Q68" s="513"/>
      <c r="R68" s="512"/>
      <c r="S68" s="514"/>
      <c r="T68" s="512"/>
      <c r="U68" s="511"/>
      <c r="V68" s="199">
        <v>2</v>
      </c>
      <c r="W68" s="199"/>
      <c r="X68" s="199"/>
      <c r="Y68" s="199"/>
      <c r="Z68" s="224" t="str">
        <f t="shared" si="1"/>
        <v xml:space="preserve">  </v>
      </c>
      <c r="AA68" s="176" t="str">
        <f>IF(OR(AB68="Preventivo",AB68="Detectivo"),"Probabilidad",IF(AB68="Correctivo","Impacto",""))</f>
        <v/>
      </c>
      <c r="AB68" s="177"/>
      <c r="AC68" s="177"/>
      <c r="AD68" s="178" t="str">
        <f t="shared" ref="AD68:AD72" si="89">IF(AND(AB68="Preventivo",AC68="Automático"),"50%",IF(AND(AB68="Preventivo",AC68="Manual"),"40%",IF(AND(AB68="Detectivo",AC68="Automático"),"40%",IF(AND(AB68="Detectivo",AC68="Manual"),"30%",IF(AND(AB68="Correctivo",AC68="Automático"),"35%",IF(AND(AB68="Correctivo",AC68="Manual"),"25%",""))))))</f>
        <v/>
      </c>
      <c r="AE68" s="177"/>
      <c r="AF68" s="177"/>
      <c r="AG68" s="177"/>
      <c r="AH68" s="179" t="str">
        <f>IFERROR(IF(AND(AA67="Probabilidad",AA68="Probabilidad"),(AJ67-(+AJ67*AD68)),IF(AA68="Probabilidad",(P67-(+P67*AD68)),IF(AA68="Impacto",AJ67,""))),"")</f>
        <v/>
      </c>
      <c r="AI68" s="180" t="str">
        <f t="shared" si="3"/>
        <v/>
      </c>
      <c r="AJ68" s="178" t="str">
        <f t="shared" ref="AJ68:AJ72" si="90">+AH68</f>
        <v/>
      </c>
      <c r="AK68" s="180" t="str">
        <f t="shared" si="5"/>
        <v/>
      </c>
      <c r="AL68" s="178" t="str">
        <f t="shared" ref="AL68" si="91">IFERROR(IF(AND(AA67="Impacto",AA68="Impacto"),(AL67-(+AL67*AD68)),IF(AA68="Impacto",($T$13-(+$T$13*AD68)),IF(AA68="Probabilidad",AL67,""))),"")</f>
        <v/>
      </c>
      <c r="AM68" s="181" t="str">
        <f t="shared" ref="AM68:AM69" si="92">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82"/>
      <c r="AO68" s="175"/>
      <c r="AP68" s="183"/>
      <c r="AQ68" s="183"/>
      <c r="AR68" s="184"/>
      <c r="AS68" s="519"/>
      <c r="AT68" s="519"/>
      <c r="AU68" s="519"/>
    </row>
    <row r="69" spans="1:47" x14ac:dyDescent="0.2">
      <c r="A69" s="523"/>
      <c r="B69" s="515"/>
      <c r="C69" s="515"/>
      <c r="D69" s="515"/>
      <c r="E69" s="515"/>
      <c r="F69" s="520"/>
      <c r="G69" s="515"/>
      <c r="H69" s="517"/>
      <c r="I69" s="207"/>
      <c r="J69" s="207"/>
      <c r="K69" s="207"/>
      <c r="L69" s="517"/>
      <c r="M69" s="517"/>
      <c r="N69" s="519"/>
      <c r="O69" s="514"/>
      <c r="P69" s="512"/>
      <c r="Q69" s="513"/>
      <c r="R69" s="512"/>
      <c r="S69" s="514"/>
      <c r="T69" s="512"/>
      <c r="U69" s="511"/>
      <c r="V69" s="199">
        <v>3</v>
      </c>
      <c r="W69" s="199"/>
      <c r="X69" s="199"/>
      <c r="Y69" s="199"/>
      <c r="Z69" s="224" t="str">
        <f t="shared" si="1"/>
        <v xml:space="preserve">  </v>
      </c>
      <c r="AA69" s="176" t="str">
        <f>IF(OR(AB69="Preventivo",AB69="Detectivo"),"Probabilidad",IF(AB69="Correctivo","Impacto",""))</f>
        <v/>
      </c>
      <c r="AB69" s="177"/>
      <c r="AC69" s="177"/>
      <c r="AD69" s="178" t="str">
        <f t="shared" si="89"/>
        <v/>
      </c>
      <c r="AE69" s="177"/>
      <c r="AF69" s="177"/>
      <c r="AG69" s="177"/>
      <c r="AH69" s="179" t="str">
        <f>IFERROR(IF(AND(AA68="Probabilidad",AA69="Probabilidad"),(AJ68-(+AJ68*AD69)),IF(AND(AA68="Impacto",AA69="Probabilidad"),(AJ67-(+AJ67*AD69)),IF(AA69="Impacto",AJ68,""))),"")</f>
        <v/>
      </c>
      <c r="AI69" s="180" t="str">
        <f t="shared" si="3"/>
        <v/>
      </c>
      <c r="AJ69" s="178" t="str">
        <f t="shared" si="90"/>
        <v/>
      </c>
      <c r="AK69" s="180" t="str">
        <f t="shared" si="5"/>
        <v/>
      </c>
      <c r="AL69" s="178" t="str">
        <f t="shared" ref="AL69" si="93">IFERROR(IF(AND(AA68="Impacto",AA69="Impacto"),(AL68-(+AL68*AD69)),IF(AND(AA68="Probabilidad",AA69="Impacto"),(AL67-(+AL67*AD69)),IF(AA69="Probabilidad",AL68,""))),"")</f>
        <v/>
      </c>
      <c r="AM69" s="181" t="str">
        <f t="shared" si="92"/>
        <v/>
      </c>
      <c r="AN69" s="182"/>
      <c r="AO69" s="175"/>
      <c r="AP69" s="183"/>
      <c r="AQ69" s="183"/>
      <c r="AR69" s="184"/>
      <c r="AS69" s="519"/>
      <c r="AT69" s="519"/>
      <c r="AU69" s="519"/>
    </row>
    <row r="70" spans="1:47" x14ac:dyDescent="0.2">
      <c r="A70" s="523"/>
      <c r="B70" s="515"/>
      <c r="C70" s="515"/>
      <c r="D70" s="515"/>
      <c r="E70" s="515"/>
      <c r="F70" s="520"/>
      <c r="G70" s="515"/>
      <c r="H70" s="517"/>
      <c r="I70" s="207"/>
      <c r="J70" s="207"/>
      <c r="K70" s="207"/>
      <c r="L70" s="517"/>
      <c r="M70" s="517"/>
      <c r="N70" s="519"/>
      <c r="O70" s="514"/>
      <c r="P70" s="512"/>
      <c r="Q70" s="513"/>
      <c r="R70" s="512"/>
      <c r="S70" s="514"/>
      <c r="T70" s="512"/>
      <c r="U70" s="511"/>
      <c r="V70" s="199">
        <v>4</v>
      </c>
      <c r="W70" s="199"/>
      <c r="X70" s="199"/>
      <c r="Y70" s="199"/>
      <c r="Z70" s="224" t="str">
        <f t="shared" si="1"/>
        <v xml:space="preserve">  </v>
      </c>
      <c r="AA70" s="176" t="str">
        <f t="shared" ref="AA70:AA72" si="94">IF(OR(AB70="Preventivo",AB70="Detectivo"),"Probabilidad",IF(AB70="Correctivo","Impacto",""))</f>
        <v/>
      </c>
      <c r="AB70" s="177"/>
      <c r="AC70" s="177"/>
      <c r="AD70" s="178" t="str">
        <f t="shared" si="89"/>
        <v/>
      </c>
      <c r="AE70" s="177"/>
      <c r="AF70" s="177"/>
      <c r="AG70" s="177"/>
      <c r="AH70" s="179" t="str">
        <f t="shared" ref="AH70:AH72" si="95">IFERROR(IF(AND(AA69="Probabilidad",AA70="Probabilidad"),(AJ69-(+AJ69*AD70)),IF(AND(AA69="Impacto",AA70="Probabilidad"),(AJ68-(+AJ68*AD70)),IF(AA70="Impacto",AJ69,""))),"")</f>
        <v/>
      </c>
      <c r="AI70" s="180" t="str">
        <f t="shared" si="3"/>
        <v/>
      </c>
      <c r="AJ70" s="178" t="str">
        <f t="shared" si="90"/>
        <v/>
      </c>
      <c r="AK70" s="180" t="str">
        <f t="shared" si="5"/>
        <v/>
      </c>
      <c r="AL70" s="178" t="str">
        <f t="shared" si="14"/>
        <v/>
      </c>
      <c r="AM70" s="181"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82"/>
      <c r="AO70" s="175"/>
      <c r="AP70" s="183"/>
      <c r="AQ70" s="183"/>
      <c r="AR70" s="184"/>
      <c r="AS70" s="519"/>
      <c r="AT70" s="519"/>
      <c r="AU70" s="519"/>
    </row>
    <row r="71" spans="1:47" x14ac:dyDescent="0.2">
      <c r="A71" s="523"/>
      <c r="B71" s="515"/>
      <c r="C71" s="515"/>
      <c r="D71" s="515"/>
      <c r="E71" s="515"/>
      <c r="F71" s="520"/>
      <c r="G71" s="515"/>
      <c r="H71" s="517"/>
      <c r="I71" s="207"/>
      <c r="J71" s="207"/>
      <c r="K71" s="207"/>
      <c r="L71" s="517"/>
      <c r="M71" s="517"/>
      <c r="N71" s="519"/>
      <c r="O71" s="514"/>
      <c r="P71" s="512"/>
      <c r="Q71" s="513"/>
      <c r="R71" s="512"/>
      <c r="S71" s="514"/>
      <c r="T71" s="512"/>
      <c r="U71" s="511"/>
      <c r="V71" s="199">
        <v>5</v>
      </c>
      <c r="W71" s="199"/>
      <c r="X71" s="199"/>
      <c r="Y71" s="199"/>
      <c r="Z71" s="224" t="str">
        <f t="shared" si="1"/>
        <v xml:space="preserve">  </v>
      </c>
      <c r="AA71" s="176" t="str">
        <f t="shared" si="94"/>
        <v/>
      </c>
      <c r="AB71" s="177"/>
      <c r="AC71" s="177"/>
      <c r="AD71" s="178" t="str">
        <f t="shared" si="89"/>
        <v/>
      </c>
      <c r="AE71" s="177"/>
      <c r="AF71" s="177"/>
      <c r="AG71" s="177"/>
      <c r="AH71" s="179" t="str">
        <f t="shared" si="95"/>
        <v/>
      </c>
      <c r="AI71" s="180" t="str">
        <f t="shared" si="3"/>
        <v/>
      </c>
      <c r="AJ71" s="178" t="str">
        <f t="shared" si="90"/>
        <v/>
      </c>
      <c r="AK71" s="180" t="str">
        <f t="shared" si="5"/>
        <v/>
      </c>
      <c r="AL71" s="178" t="str">
        <f t="shared" si="14"/>
        <v/>
      </c>
      <c r="AM71" s="181" t="str">
        <f t="shared" ref="AM71:AM72" si="96">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82"/>
      <c r="AO71" s="175"/>
      <c r="AP71" s="183"/>
      <c r="AQ71" s="183"/>
      <c r="AR71" s="184"/>
      <c r="AS71" s="519"/>
      <c r="AT71" s="519"/>
      <c r="AU71" s="519"/>
    </row>
    <row r="72" spans="1:47" x14ac:dyDescent="0.2">
      <c r="A72" s="523"/>
      <c r="B72" s="515"/>
      <c r="C72" s="515"/>
      <c r="D72" s="515"/>
      <c r="E72" s="515"/>
      <c r="F72" s="520"/>
      <c r="G72" s="515"/>
      <c r="H72" s="518"/>
      <c r="I72" s="208"/>
      <c r="J72" s="208"/>
      <c r="K72" s="208"/>
      <c r="L72" s="518"/>
      <c r="M72" s="518"/>
      <c r="N72" s="519"/>
      <c r="O72" s="514"/>
      <c r="P72" s="512"/>
      <c r="Q72" s="513"/>
      <c r="R72" s="512"/>
      <c r="S72" s="514"/>
      <c r="T72" s="512"/>
      <c r="U72" s="511"/>
      <c r="V72" s="199">
        <v>6</v>
      </c>
      <c r="W72" s="199"/>
      <c r="X72" s="199"/>
      <c r="Y72" s="199"/>
      <c r="Z72" s="224" t="str">
        <f t="shared" si="1"/>
        <v xml:space="preserve">  </v>
      </c>
      <c r="AA72" s="176" t="str">
        <f t="shared" si="94"/>
        <v/>
      </c>
      <c r="AB72" s="177"/>
      <c r="AC72" s="177"/>
      <c r="AD72" s="178" t="str">
        <f t="shared" si="89"/>
        <v/>
      </c>
      <c r="AE72" s="177"/>
      <c r="AF72" s="177"/>
      <c r="AG72" s="177"/>
      <c r="AH72" s="179" t="str">
        <f t="shared" si="95"/>
        <v/>
      </c>
      <c r="AI72" s="180" t="str">
        <f t="shared" si="3"/>
        <v/>
      </c>
      <c r="AJ72" s="178" t="str">
        <f t="shared" si="90"/>
        <v/>
      </c>
      <c r="AK72" s="180" t="str">
        <f t="shared" si="5"/>
        <v/>
      </c>
      <c r="AL72" s="178" t="str">
        <f t="shared" si="14"/>
        <v/>
      </c>
      <c r="AM72" s="181" t="str">
        <f t="shared" si="96"/>
        <v/>
      </c>
      <c r="AN72" s="182"/>
      <c r="AO72" s="175"/>
      <c r="AP72" s="183"/>
      <c r="AQ72" s="183"/>
      <c r="AR72" s="184"/>
      <c r="AS72" s="519"/>
      <c r="AT72" s="519"/>
      <c r="AU72" s="519"/>
    </row>
    <row r="73" spans="1:47" x14ac:dyDescent="0.2">
      <c r="A73" s="201"/>
      <c r="B73" s="521"/>
      <c r="C73" s="522"/>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c r="AS73" s="522"/>
    </row>
    <row r="75" spans="1:47" ht="15.75" x14ac:dyDescent="0.2">
      <c r="A75" s="185"/>
      <c r="B75" s="192"/>
      <c r="C75" s="185"/>
      <c r="D75" s="185"/>
      <c r="E75" s="185"/>
      <c r="F75" s="185"/>
      <c r="N75" s="185"/>
    </row>
    <row r="76" spans="1:47" s="241" customFormat="1" x14ac:dyDescent="0.2">
      <c r="A76" s="240"/>
      <c r="B76" s="240"/>
      <c r="C76" s="240"/>
      <c r="D76" s="240"/>
      <c r="E76" s="240"/>
      <c r="F76" s="240"/>
      <c r="N76" s="242"/>
      <c r="AO76" s="243"/>
    </row>
  </sheetData>
  <dataConsolidate/>
  <mergeCells count="299">
    <mergeCell ref="A6:B6"/>
    <mergeCell ref="C6:T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E11:E12"/>
    <mergeCell ref="F11:F12"/>
    <mergeCell ref="G11:G12"/>
    <mergeCell ref="H11:H12"/>
    <mergeCell ref="I11:I12"/>
    <mergeCell ref="AU11:AU12"/>
    <mergeCell ref="AO11:AO12"/>
    <mergeCell ref="AP11:AP12"/>
    <mergeCell ref="AQ11:AQ12"/>
    <mergeCell ref="A13:A18"/>
    <mergeCell ref="B13:B18"/>
    <mergeCell ref="C13:C18"/>
    <mergeCell ref="D13:D18"/>
    <mergeCell ref="E13:E18"/>
    <mergeCell ref="F13:F18"/>
    <mergeCell ref="AL11:AL12"/>
    <mergeCell ref="AM11:AM12"/>
    <mergeCell ref="AN11:AN12"/>
    <mergeCell ref="AA11:AA12"/>
    <mergeCell ref="AB11:AG11"/>
    <mergeCell ref="AH11:AH12"/>
    <mergeCell ref="AI11:AI12"/>
    <mergeCell ref="AJ11:AJ12"/>
    <mergeCell ref="AK11:AK12"/>
    <mergeCell ref="R11:R12"/>
    <mergeCell ref="S11:S12"/>
    <mergeCell ref="T11:T12"/>
    <mergeCell ref="U11:U12"/>
    <mergeCell ref="V11:V12"/>
    <mergeCell ref="G13:G18"/>
    <mergeCell ref="H13:H18"/>
    <mergeCell ref="I13:I18"/>
    <mergeCell ref="J13:J18"/>
    <mergeCell ref="AR11:AR12"/>
    <mergeCell ref="AS11:AS12"/>
    <mergeCell ref="AT11:AT12"/>
    <mergeCell ref="Z11:Z12"/>
    <mergeCell ref="J11:J12"/>
    <mergeCell ref="K11:K12"/>
    <mergeCell ref="N11:N12"/>
    <mergeCell ref="O11:O12"/>
    <mergeCell ref="P11:P12"/>
    <mergeCell ref="Q11:Q12"/>
    <mergeCell ref="AU13:AU18"/>
    <mergeCell ref="M13:M18"/>
    <mergeCell ref="N13:N18"/>
    <mergeCell ref="O13:O18"/>
    <mergeCell ref="P13:P18"/>
    <mergeCell ref="Q13:Q18"/>
    <mergeCell ref="R13:R18"/>
    <mergeCell ref="G19:G24"/>
    <mergeCell ref="H19:H24"/>
    <mergeCell ref="I19:I24"/>
    <mergeCell ref="J19:J24"/>
    <mergeCell ref="K19:K24"/>
    <mergeCell ref="L19:L24"/>
    <mergeCell ref="AS19:AS24"/>
    <mergeCell ref="AT19:AT24"/>
    <mergeCell ref="AU19:AU24"/>
    <mergeCell ref="K13:K18"/>
    <mergeCell ref="L13:L18"/>
    <mergeCell ref="S13:S18"/>
    <mergeCell ref="T13:T18"/>
    <mergeCell ref="U13:U18"/>
    <mergeCell ref="AS13:AS18"/>
    <mergeCell ref="AT13:A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S25:AS30"/>
    <mergeCell ref="AT25:AT30"/>
    <mergeCell ref="AU25:AU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S31:AS36"/>
    <mergeCell ref="AT31:AT36"/>
    <mergeCell ref="AU31:AU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S37:AS42"/>
    <mergeCell ref="AT37:AT42"/>
    <mergeCell ref="AU37:AU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S43:AS48"/>
    <mergeCell ref="AT43:AT48"/>
    <mergeCell ref="AU43:AU48"/>
    <mergeCell ref="M43:M48"/>
    <mergeCell ref="N43:N48"/>
    <mergeCell ref="O43:O48"/>
    <mergeCell ref="P43:P48"/>
    <mergeCell ref="Q43:Q48"/>
    <mergeCell ref="R43:R48"/>
    <mergeCell ref="AS49:AS54"/>
    <mergeCell ref="AT49:AT54"/>
    <mergeCell ref="AU49:AU54"/>
    <mergeCell ref="M49:M54"/>
    <mergeCell ref="N49:N54"/>
    <mergeCell ref="O49:O54"/>
    <mergeCell ref="P49:P54"/>
    <mergeCell ref="Q49:Q54"/>
    <mergeCell ref="R49:R54"/>
    <mergeCell ref="A55:A60"/>
    <mergeCell ref="B55:B60"/>
    <mergeCell ref="C55:C60"/>
    <mergeCell ref="D55:D60"/>
    <mergeCell ref="E55:E60"/>
    <mergeCell ref="F55:F60"/>
    <mergeCell ref="S49:S54"/>
    <mergeCell ref="T49:T54"/>
    <mergeCell ref="U49:U54"/>
    <mergeCell ref="G49:G54"/>
    <mergeCell ref="H49:H54"/>
    <mergeCell ref="I49:I54"/>
    <mergeCell ref="J49:J54"/>
    <mergeCell ref="K49:K54"/>
    <mergeCell ref="L49:L54"/>
    <mergeCell ref="A49:A54"/>
    <mergeCell ref="B49:B54"/>
    <mergeCell ref="C49:C54"/>
    <mergeCell ref="D49:D54"/>
    <mergeCell ref="E49:E54"/>
    <mergeCell ref="F49:F54"/>
    <mergeCell ref="AU55:AU60"/>
    <mergeCell ref="M55:M60"/>
    <mergeCell ref="N55:N60"/>
    <mergeCell ref="O55:O60"/>
    <mergeCell ref="P55:P60"/>
    <mergeCell ref="Q55:Q60"/>
    <mergeCell ref="R55:R60"/>
    <mergeCell ref="G55:G60"/>
    <mergeCell ref="H55:H60"/>
    <mergeCell ref="I55:I60"/>
    <mergeCell ref="J55:J60"/>
    <mergeCell ref="K55:K60"/>
    <mergeCell ref="L55:L60"/>
    <mergeCell ref="C61:C66"/>
    <mergeCell ref="D61:D66"/>
    <mergeCell ref="E61:E66"/>
    <mergeCell ref="F61:F66"/>
    <mergeCell ref="S55:S60"/>
    <mergeCell ref="T55:T60"/>
    <mergeCell ref="U55:U60"/>
    <mergeCell ref="AS55:AS60"/>
    <mergeCell ref="AT55:AT60"/>
    <mergeCell ref="AS61:AS66"/>
    <mergeCell ref="AT61:AT66"/>
    <mergeCell ref="AU61:AU66"/>
    <mergeCell ref="A67:A72"/>
    <mergeCell ref="B67:B72"/>
    <mergeCell ref="C67:C72"/>
    <mergeCell ref="D67:D72"/>
    <mergeCell ref="E67:E72"/>
    <mergeCell ref="F67:F72"/>
    <mergeCell ref="G67:G72"/>
    <mergeCell ref="P61:P66"/>
    <mergeCell ref="Q61:Q66"/>
    <mergeCell ref="R61:R66"/>
    <mergeCell ref="S61:S66"/>
    <mergeCell ref="T61:T66"/>
    <mergeCell ref="U61:U66"/>
    <mergeCell ref="G61:G66"/>
    <mergeCell ref="H61:H66"/>
    <mergeCell ref="L61:L66"/>
    <mergeCell ref="M61:M66"/>
    <mergeCell ref="N61:N66"/>
    <mergeCell ref="O61:O66"/>
    <mergeCell ref="A61:A66"/>
    <mergeCell ref="B61:B66"/>
    <mergeCell ref="AT67:AT72"/>
    <mergeCell ref="AU67:AU72"/>
    <mergeCell ref="B73:AS73"/>
    <mergeCell ref="Q67:Q72"/>
    <mergeCell ref="R67:R72"/>
    <mergeCell ref="S67:S72"/>
    <mergeCell ref="T67:T72"/>
    <mergeCell ref="U67:U72"/>
    <mergeCell ref="AS67:AS72"/>
    <mergeCell ref="H67:H72"/>
    <mergeCell ref="L67:L72"/>
    <mergeCell ref="M67:M72"/>
    <mergeCell ref="N67:N72"/>
    <mergeCell ref="O67:O72"/>
    <mergeCell ref="P67:P72"/>
  </mergeCells>
  <conditionalFormatting sqref="O13 O19">
    <cfRule type="cellIs" dxfId="104" priority="105" operator="equal">
      <formula>"Muy Baja"</formula>
    </cfRule>
    <cfRule type="cellIs" dxfId="103" priority="104" operator="equal">
      <formula>"Baja"</formula>
    </cfRule>
    <cfRule type="cellIs" dxfId="102" priority="103" operator="equal">
      <formula>"Media"</formula>
    </cfRule>
    <cfRule type="cellIs" dxfId="101" priority="102" operator="equal">
      <formula>"Alta"</formula>
    </cfRule>
    <cfRule type="cellIs" dxfId="100" priority="101" operator="equal">
      <formula>"Muy Alta"</formula>
    </cfRule>
  </conditionalFormatting>
  <conditionalFormatting sqref="O25">
    <cfRule type="cellIs" dxfId="99" priority="84" operator="equal">
      <formula>"Alta"</formula>
    </cfRule>
    <cfRule type="cellIs" dxfId="98" priority="83" operator="equal">
      <formula>"Muy Alta"</formula>
    </cfRule>
    <cfRule type="cellIs" dxfId="97" priority="87" operator="equal">
      <formula>"Muy Baja"</formula>
    </cfRule>
    <cfRule type="cellIs" dxfId="96" priority="86" operator="equal">
      <formula>"Baja"</formula>
    </cfRule>
    <cfRule type="cellIs" dxfId="95" priority="85" operator="equal">
      <formula>"Media"</formula>
    </cfRule>
  </conditionalFormatting>
  <conditionalFormatting sqref="O31">
    <cfRule type="cellIs" dxfId="94" priority="78" operator="equal">
      <formula>"Muy Baja"</formula>
    </cfRule>
    <cfRule type="cellIs" dxfId="93" priority="77" operator="equal">
      <formula>"Baja"</formula>
    </cfRule>
    <cfRule type="cellIs" dxfId="92" priority="74" operator="equal">
      <formula>"Muy Alta"</formula>
    </cfRule>
    <cfRule type="cellIs" dxfId="91" priority="75" operator="equal">
      <formula>"Alta"</formula>
    </cfRule>
    <cfRule type="cellIs" dxfId="90" priority="76" operator="equal">
      <formula>"Media"</formula>
    </cfRule>
  </conditionalFormatting>
  <conditionalFormatting sqref="O37">
    <cfRule type="cellIs" dxfId="89" priority="65" operator="equal">
      <formula>"Muy Alta"</formula>
    </cfRule>
    <cfRule type="cellIs" dxfId="88" priority="67" operator="equal">
      <formula>"Media"</formula>
    </cfRule>
    <cfRule type="cellIs" dxfId="87" priority="66" operator="equal">
      <formula>"Alta"</formula>
    </cfRule>
    <cfRule type="cellIs" dxfId="86" priority="68" operator="equal">
      <formula>"Baja"</formula>
    </cfRule>
    <cfRule type="cellIs" dxfId="85" priority="69" operator="equal">
      <formula>"Muy Baja"</formula>
    </cfRule>
  </conditionalFormatting>
  <conditionalFormatting sqref="O43">
    <cfRule type="cellIs" dxfId="84" priority="56" operator="equal">
      <formula>"Muy Alta"</formula>
    </cfRule>
    <cfRule type="cellIs" dxfId="83" priority="58" operator="equal">
      <formula>"Media"</formula>
    </cfRule>
    <cfRule type="cellIs" dxfId="82" priority="60" operator="equal">
      <formula>"Muy Baja"</formula>
    </cfRule>
    <cfRule type="cellIs" dxfId="81" priority="59" operator="equal">
      <formula>"Baja"</formula>
    </cfRule>
    <cfRule type="cellIs" dxfId="80" priority="57" operator="equal">
      <formula>"Alta"</formula>
    </cfRule>
  </conditionalFormatting>
  <conditionalFormatting sqref="O49">
    <cfRule type="cellIs" dxfId="79" priority="47" operator="equal">
      <formula>"Muy Alta"</formula>
    </cfRule>
    <cfRule type="cellIs" dxfId="78" priority="48" operator="equal">
      <formula>"Alta"</formula>
    </cfRule>
    <cfRule type="cellIs" dxfId="77" priority="49" operator="equal">
      <formula>"Media"</formula>
    </cfRule>
    <cfRule type="cellIs" dxfId="76" priority="50" operator="equal">
      <formula>"Baja"</formula>
    </cfRule>
    <cfRule type="cellIs" dxfId="75" priority="51" operator="equal">
      <formula>"Muy Baja"</formula>
    </cfRule>
  </conditionalFormatting>
  <conditionalFormatting sqref="O55">
    <cfRule type="cellIs" dxfId="74" priority="2" operator="equal">
      <formula>"Alta"</formula>
    </cfRule>
    <cfRule type="cellIs" dxfId="73" priority="3" operator="equal">
      <formula>"Media"</formula>
    </cfRule>
    <cfRule type="cellIs" dxfId="72" priority="4" operator="equal">
      <formula>"Baja"</formula>
    </cfRule>
    <cfRule type="cellIs" dxfId="71" priority="5" operator="equal">
      <formula>"Muy Baja"</formula>
    </cfRule>
    <cfRule type="cellIs" dxfId="70" priority="1" operator="equal">
      <formula>"Muy Alta"</formula>
    </cfRule>
  </conditionalFormatting>
  <conditionalFormatting sqref="O61">
    <cfRule type="cellIs" dxfId="69" priority="34" operator="equal">
      <formula>"Muy Alta"</formula>
    </cfRule>
    <cfRule type="cellIs" dxfId="68" priority="35" operator="equal">
      <formula>"Alta"</formula>
    </cfRule>
    <cfRule type="cellIs" dxfId="67" priority="36" operator="equal">
      <formula>"Media"</formula>
    </cfRule>
    <cfRule type="cellIs" dxfId="66" priority="37" operator="equal">
      <formula>"Baja"</formula>
    </cfRule>
    <cfRule type="cellIs" dxfId="65" priority="38" operator="equal">
      <formula>"Muy Baja"</formula>
    </cfRule>
  </conditionalFormatting>
  <conditionalFormatting sqref="O67">
    <cfRule type="cellIs" dxfId="64" priority="26" operator="equal">
      <formula>"Alta"</formula>
    </cfRule>
    <cfRule type="cellIs" dxfId="63" priority="27" operator="equal">
      <formula>"Media"</formula>
    </cfRule>
    <cfRule type="cellIs" dxfId="62" priority="25" operator="equal">
      <formula>"Muy Alta"</formula>
    </cfRule>
    <cfRule type="cellIs" dxfId="61" priority="28" operator="equal">
      <formula>"Baja"</formula>
    </cfRule>
    <cfRule type="cellIs" dxfId="60" priority="29" operator="equal">
      <formula>"Muy Baja"</formula>
    </cfRule>
  </conditionalFormatting>
  <conditionalFormatting sqref="R13:R72">
    <cfRule type="containsText" dxfId="59" priority="6" operator="containsText" text="❌">
      <formula>NOT(ISERROR(SEARCH("❌",R13)))</formula>
    </cfRule>
  </conditionalFormatting>
  <conditionalFormatting sqref="S13 S19 S25 S31 S37 S43 S49 S55 S61 S67">
    <cfRule type="cellIs" dxfId="58" priority="96" operator="equal">
      <formula>"Catastrófico"</formula>
    </cfRule>
    <cfRule type="cellIs" dxfId="57" priority="97" operator="equal">
      <formula>"Mayor"</formula>
    </cfRule>
    <cfRule type="cellIs" dxfId="56" priority="98" operator="equal">
      <formula>"Moderado"</formula>
    </cfRule>
    <cfRule type="cellIs" dxfId="55" priority="99" operator="equal">
      <formula>"Menor"</formula>
    </cfRule>
    <cfRule type="cellIs" dxfId="54" priority="100" operator="equal">
      <formula>"Leve"</formula>
    </cfRule>
  </conditionalFormatting>
  <conditionalFormatting sqref="U13">
    <cfRule type="cellIs" dxfId="53" priority="95" operator="equal">
      <formula>"Bajo"</formula>
    </cfRule>
    <cfRule type="cellIs" dxfId="52" priority="92" operator="equal">
      <formula>"Extremo"</formula>
    </cfRule>
    <cfRule type="cellIs" dxfId="51" priority="93" operator="equal">
      <formula>"Alto"</formula>
    </cfRule>
    <cfRule type="cellIs" dxfId="50" priority="94" operator="equal">
      <formula>"Moderado"</formula>
    </cfRule>
  </conditionalFormatting>
  <conditionalFormatting sqref="U19">
    <cfRule type="cellIs" dxfId="49" priority="88" operator="equal">
      <formula>"Extremo"</formula>
    </cfRule>
    <cfRule type="cellIs" dxfId="48" priority="91" operator="equal">
      <formula>"Bajo"</formula>
    </cfRule>
    <cfRule type="cellIs" dxfId="47" priority="90" operator="equal">
      <formula>"Moderado"</formula>
    </cfRule>
    <cfRule type="cellIs" dxfId="46" priority="89" operator="equal">
      <formula>"Alto"</formula>
    </cfRule>
  </conditionalFormatting>
  <conditionalFormatting sqref="U25">
    <cfRule type="cellIs" dxfId="45" priority="82" operator="equal">
      <formula>"Bajo"</formula>
    </cfRule>
    <cfRule type="cellIs" dxfId="44" priority="80" operator="equal">
      <formula>"Alto"</formula>
    </cfRule>
    <cfRule type="cellIs" dxfId="43" priority="79" operator="equal">
      <formula>"Extremo"</formula>
    </cfRule>
    <cfRule type="cellIs" dxfId="42" priority="81" operator="equal">
      <formula>"Moderado"</formula>
    </cfRule>
  </conditionalFormatting>
  <conditionalFormatting sqref="U31">
    <cfRule type="cellIs" dxfId="41" priority="70" operator="equal">
      <formula>"Extremo"</formula>
    </cfRule>
    <cfRule type="cellIs" dxfId="40" priority="71" operator="equal">
      <formula>"Alto"</formula>
    </cfRule>
    <cfRule type="cellIs" dxfId="39" priority="72" operator="equal">
      <formula>"Moderado"</formula>
    </cfRule>
    <cfRule type="cellIs" dxfId="38" priority="73" operator="equal">
      <formula>"Bajo"</formula>
    </cfRule>
  </conditionalFormatting>
  <conditionalFormatting sqref="U37">
    <cfRule type="cellIs" dxfId="37" priority="62" operator="equal">
      <formula>"Alto"</formula>
    </cfRule>
    <cfRule type="cellIs" dxfId="36" priority="61" operator="equal">
      <formula>"Extremo"</formula>
    </cfRule>
    <cfRule type="cellIs" dxfId="35" priority="63" operator="equal">
      <formula>"Moderado"</formula>
    </cfRule>
    <cfRule type="cellIs" dxfId="34" priority="64" operator="equal">
      <formula>"Bajo"</formula>
    </cfRule>
  </conditionalFormatting>
  <conditionalFormatting sqref="U43">
    <cfRule type="cellIs" dxfId="33" priority="54" operator="equal">
      <formula>"Moderado"</formula>
    </cfRule>
    <cfRule type="cellIs" dxfId="32" priority="53" operator="equal">
      <formula>"Alto"</formula>
    </cfRule>
    <cfRule type="cellIs" dxfId="31" priority="55" operator="equal">
      <formula>"Bajo"</formula>
    </cfRule>
    <cfRule type="cellIs" dxfId="30" priority="52" operator="equal">
      <formula>"Extremo"</formula>
    </cfRule>
  </conditionalFormatting>
  <conditionalFormatting sqref="U49">
    <cfRule type="cellIs" dxfId="29" priority="46" operator="equal">
      <formula>"Bajo"</formula>
    </cfRule>
    <cfRule type="cellIs" dxfId="28" priority="45" operator="equal">
      <formula>"Moderado"</formula>
    </cfRule>
    <cfRule type="cellIs" dxfId="27" priority="44" operator="equal">
      <formula>"Alto"</formula>
    </cfRule>
    <cfRule type="cellIs" dxfId="26" priority="43" operator="equal">
      <formula>"Extremo"</formula>
    </cfRule>
  </conditionalFormatting>
  <conditionalFormatting sqref="U55">
    <cfRule type="cellIs" dxfId="25" priority="41" operator="equal">
      <formula>"Moderado"</formula>
    </cfRule>
    <cfRule type="cellIs" dxfId="24" priority="39" operator="equal">
      <formula>"Extremo"</formula>
    </cfRule>
    <cfRule type="cellIs" dxfId="23" priority="42" operator="equal">
      <formula>"Bajo"</formula>
    </cfRule>
    <cfRule type="cellIs" dxfId="22" priority="40" operator="equal">
      <formula>"Alto"</formula>
    </cfRule>
  </conditionalFormatting>
  <conditionalFormatting sqref="U61">
    <cfRule type="cellIs" dxfId="21" priority="30" operator="equal">
      <formula>"Extremo"</formula>
    </cfRule>
    <cfRule type="cellIs" dxfId="20" priority="32" operator="equal">
      <formula>"Moderado"</formula>
    </cfRule>
    <cfRule type="cellIs" dxfId="19" priority="33" operator="equal">
      <formula>"Bajo"</formula>
    </cfRule>
    <cfRule type="cellIs" dxfId="18" priority="31" operator="equal">
      <formula>"Alto"</formula>
    </cfRule>
  </conditionalFormatting>
  <conditionalFormatting sqref="U67">
    <cfRule type="cellIs" dxfId="17" priority="21" operator="equal">
      <formula>"Extremo"</formula>
    </cfRule>
    <cfRule type="cellIs" dxfId="16" priority="24" operator="equal">
      <formula>"Bajo"</formula>
    </cfRule>
    <cfRule type="cellIs" dxfId="15" priority="23" operator="equal">
      <formula>"Moderado"</formula>
    </cfRule>
    <cfRule type="cellIs" dxfId="14" priority="22" operator="equal">
      <formula>"Alto"</formula>
    </cfRule>
  </conditionalFormatting>
  <conditionalFormatting sqref="AI13:AI72">
    <cfRule type="cellIs" dxfId="13" priority="20" operator="equal">
      <formula>"Muy Baja"</formula>
    </cfRule>
    <cfRule type="cellIs" dxfId="12" priority="19" operator="equal">
      <formula>"Baja"</formula>
    </cfRule>
    <cfRule type="cellIs" dxfId="11" priority="18" operator="equal">
      <formula>"Media"</formula>
    </cfRule>
    <cfRule type="cellIs" dxfId="10" priority="17" operator="equal">
      <formula>"Alta"</formula>
    </cfRule>
    <cfRule type="cellIs" dxfId="9" priority="16" operator="equal">
      <formula>"Muy Alta"</formula>
    </cfRule>
  </conditionalFormatting>
  <conditionalFormatting sqref="AK13:AK72">
    <cfRule type="cellIs" dxfId="8" priority="14" operator="equal">
      <formula>"Menor"</formula>
    </cfRule>
    <cfRule type="cellIs" dxfId="7" priority="15" operator="equal">
      <formula>"Leve"</formula>
    </cfRule>
    <cfRule type="cellIs" dxfId="6" priority="12" operator="equal">
      <formula>"Mayor"</formula>
    </cfRule>
    <cfRule type="cellIs" dxfId="5" priority="11" operator="equal">
      <formula>"Catastrófico"</formula>
    </cfRule>
    <cfRule type="cellIs" dxfId="4" priority="13" operator="equal">
      <formula>"Moderado"</formula>
    </cfRule>
  </conditionalFormatting>
  <conditionalFormatting sqref="AM13:AM72">
    <cfRule type="cellIs" dxfId="3" priority="7" operator="equal">
      <formula>"Extremo"</formula>
    </cfRule>
    <cfRule type="cellIs" dxfId="2" priority="10" operator="equal">
      <formula>"Bajo"</formula>
    </cfRule>
    <cfRule type="cellIs" dxfId="1" priority="9" operator="equal">
      <formula>"Moderado"</formula>
    </cfRule>
    <cfRule type="cellIs" dxfId="0"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97797A-0573-4123-8872-EAA50FA2DF86}">
          <x14:formula1>
            <xm:f>'Intructivo control cambio'!$C$294:$C$318</xm:f>
          </x14:formula1>
          <xm:sqref>C6:T6</xm:sqref>
        </x14:dataValidation>
        <x14:dataValidation type="list" allowBlank="1" showInputMessage="1" showErrorMessage="1" xr:uid="{0A9BD4E9-CA5B-4B71-B916-AF06CD1DFAF2}">
          <x14:formula1>
            <xm:f>'Intructivo control cambio'!$C$294:$C$308</xm:f>
          </x14:formula1>
          <xm:sqref>U6:Y6</xm:sqref>
        </x14:dataValidation>
        <x14:dataValidation type="list" allowBlank="1" showInputMessage="1" showErrorMessage="1" xr:uid="{839F5257-DB45-4755-BD42-10DCC1DD8F09}">
          <x14:formula1>
            <xm:f>Listas!$H$4:$H$8</xm:f>
          </x14:formula1>
          <xm:sqref>X13:X72</xm:sqref>
        </x14:dataValidation>
        <x14:dataValidation type="list" allowBlank="1" showInputMessage="1" showErrorMessage="1" xr:uid="{67CECE30-2C9B-460E-B115-C98F891C0039}">
          <x14:formula1>
            <xm:f>Listas!$H$11:$H$15</xm:f>
          </x14:formula1>
          <xm:sqref>L13:L72</xm:sqref>
        </x14:dataValidation>
        <x14:dataValidation type="list" allowBlank="1" showInputMessage="1" showErrorMessage="1" xr:uid="{2F7E6391-41A7-48AB-B44E-F0D2C88F0B04}">
          <x14:formula1>
            <xm:f>Listas!$F$11:$F$12</xm:f>
          </x14:formula1>
          <xm:sqref>H13:H72</xm:sqref>
        </x14:dataValidation>
        <x14:dataValidation type="list" allowBlank="1" showInputMessage="1" showErrorMessage="1" xr:uid="{72FDD2D9-BDDE-411C-A8C7-2AED6EE1CDD9}">
          <x14:formula1>
            <xm:f>Listas!$B$28:$B$31</xm:f>
          </x14:formula1>
          <xm:sqref>G13:G72</xm:sqref>
        </x14:dataValidation>
        <x14:dataValidation type="custom" allowBlank="1" showInputMessage="1" showErrorMessage="1" error="Recuerde que las acciones se generan bajo la medida de mitigar el riesgo" xr:uid="{AB5DE1C2-DFB7-491E-9C4C-3A1A4FFAA305}">
          <x14:formula1>
            <xm:f>IF(OR(#REF!=Listas!$B$4,#REF!=Listas!$B$5,#REF!=Listas!$B$6),ISBLANK(#REF!),ISTEXT(#REF!))</xm:f>
          </x14:formula1>
          <xm:sqref>AS19:AU19 AS67:AU67 AS61:AU61 AS55:AU55 AS49:AU49 AS43:AU43 AS37:AU37 AS31:AU31 AS25:AU25</xm:sqref>
        </x14:dataValidation>
        <x14:dataValidation type="list" allowBlank="1" showInputMessage="1" showErrorMessage="1" xr:uid="{66C08420-E30D-4D4D-A584-8BC211E2A817}">
          <x14:formula1>
            <xm:f>Listas!$E$4:$E$6</xm:f>
          </x14:formula1>
          <xm:sqref>B13:B72</xm:sqref>
        </x14:dataValidation>
        <x14:dataValidation type="list" allowBlank="1" showInputMessage="1" showErrorMessage="1" xr:uid="{09D7324A-66AD-4FD5-B9E8-75872C838B35}">
          <x14:formula1>
            <xm:f>'Tabla Valoración controles'!$D$13:$D$14</xm:f>
          </x14:formula1>
          <xm:sqref>AG13:AG72</xm:sqref>
        </x14:dataValidation>
        <x14:dataValidation type="list" allowBlank="1" showInputMessage="1" showErrorMessage="1" xr:uid="{8E1C248B-7A3E-40DB-882A-E2495D5CC5E3}">
          <x14:formula1>
            <xm:f>'Tabla Valoración controles'!$D$11:$D$12</xm:f>
          </x14:formula1>
          <xm:sqref>AF13:AF72</xm:sqref>
        </x14:dataValidation>
        <x14:dataValidation type="list" allowBlank="1" showInputMessage="1" showErrorMessage="1" xr:uid="{61D29A1B-39E3-4F1E-96C8-BD2245E7263B}">
          <x14:formula1>
            <xm:f>'Tabla Valoración controles'!$D$9:$D$10</xm:f>
          </x14:formula1>
          <xm:sqref>AE13:AE72</xm:sqref>
        </x14:dataValidation>
        <x14:dataValidation type="list" allowBlank="1" showInputMessage="1" showErrorMessage="1" xr:uid="{3C1B74CE-8CDD-4341-B480-94C9B1C0AD67}">
          <x14:formula1>
            <xm:f>'Tabla Valoración controles'!$D$7:$D$8</xm:f>
          </x14:formula1>
          <xm:sqref>AC13:AC72</xm:sqref>
        </x14:dataValidation>
        <x14:dataValidation type="list" allowBlank="1" showInputMessage="1" showErrorMessage="1" xr:uid="{703F2BE8-526E-419D-AFAC-F9C3A39CC14E}">
          <x14:formula1>
            <xm:f>'Tabla Valoración controles'!$D$4:$D$6</xm:f>
          </x14:formula1>
          <xm:sqref>AB13:AB72</xm:sqref>
        </x14:dataValidation>
        <x14:dataValidation type="list" allowBlank="1" showInputMessage="1" showErrorMessage="1" xr:uid="{6B297787-6AC2-4832-AB53-5B0B435C484C}">
          <x14:formula1>
            <xm:f>'Tabla Impacto'!$F$240:$F$263</xm:f>
          </x14:formula1>
          <xm:sqref>Q13:Q72</xm:sqref>
        </x14:dataValidation>
        <x14:dataValidation type="list" allowBlank="1" showInputMessage="1" showErrorMessage="1" xr:uid="{2E8A096C-CDC6-415F-A646-066D88D26495}">
          <x14:formula1>
            <xm:f>Listas!$L$5:$L$9</xm:f>
          </x14:formula1>
          <xm:sqref>M19:M72</xm:sqref>
        </x14:dataValidation>
        <x14:dataValidation type="list" allowBlank="1" showInputMessage="1" showErrorMessage="1" xr:uid="{5424EB3B-0454-48A5-9AD9-D0EE37EE66F4}">
          <x14:formula1>
            <xm:f>Listas!$L$4:$L$9</xm:f>
          </x14:formula1>
          <xm:sqref>M13:M18</xm:sqref>
        </x14:dataValidation>
        <x14:dataValidation type="list" allowBlank="1" showInputMessage="1" showErrorMessage="1" xr:uid="{31221A62-EEBA-410B-A91A-19014FA6860A}">
          <x14:formula1>
            <xm:f>Listas!$B$4:$B$7</xm:f>
          </x14:formula1>
          <xm:sqref>AN13:AN72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42C6-347D-49AE-A709-DC063B46F950}">
  <sheetPr>
    <tabColor theme="9" tint="-0.249977111117893"/>
  </sheetPr>
  <dimension ref="B2:F9"/>
  <sheetViews>
    <sheetView topLeftCell="A2" workbookViewId="0">
      <selection activeCell="B3" sqref="B3"/>
    </sheetView>
  </sheetViews>
  <sheetFormatPr baseColWidth="10" defaultColWidth="11.42578125" defaultRowHeight="12.75" x14ac:dyDescent="0.2"/>
  <cols>
    <col min="1" max="1" width="3.5703125" style="264" customWidth="1"/>
    <col min="2" max="2" width="14.28515625" style="1" customWidth="1"/>
    <col min="3" max="6" width="19.85546875" style="1" customWidth="1"/>
    <col min="7" max="16384" width="11.42578125" style="264"/>
  </cols>
  <sheetData>
    <row r="2" spans="2:6" x14ac:dyDescent="0.2">
      <c r="B2" s="783"/>
      <c r="C2" s="783"/>
      <c r="D2" s="783"/>
      <c r="E2" s="783"/>
      <c r="F2" s="783"/>
    </row>
    <row r="3" spans="2:6" x14ac:dyDescent="0.2">
      <c r="B3" s="287"/>
      <c r="C3" s="288"/>
      <c r="D3" s="288"/>
      <c r="E3" s="288"/>
      <c r="F3" s="288"/>
    </row>
    <row r="4" spans="2:6" ht="22.5" customHeight="1" x14ac:dyDescent="0.2">
      <c r="B4" s="289" t="s">
        <v>572</v>
      </c>
      <c r="C4" s="289" t="s">
        <v>573</v>
      </c>
      <c r="D4" s="290" t="s">
        <v>574</v>
      </c>
      <c r="E4" s="290" t="s">
        <v>575</v>
      </c>
      <c r="F4" s="290" t="s">
        <v>576</v>
      </c>
    </row>
    <row r="5" spans="2:6" ht="51" x14ac:dyDescent="0.2">
      <c r="B5" s="291" t="s">
        <v>577</v>
      </c>
      <c r="C5" s="292" t="s">
        <v>578</v>
      </c>
      <c r="D5" s="293" t="s">
        <v>579</v>
      </c>
      <c r="E5" s="294" t="s">
        <v>580</v>
      </c>
      <c r="F5" s="295" t="s">
        <v>581</v>
      </c>
    </row>
    <row r="6" spans="2:6" ht="76.5" x14ac:dyDescent="0.2">
      <c r="B6" s="296" t="s">
        <v>582</v>
      </c>
      <c r="C6" s="292" t="s">
        <v>583</v>
      </c>
      <c r="D6" s="293" t="s">
        <v>584</v>
      </c>
      <c r="E6" s="294" t="s">
        <v>585</v>
      </c>
      <c r="F6" s="295" t="s">
        <v>586</v>
      </c>
    </row>
    <row r="7" spans="2:6" ht="63.75" x14ac:dyDescent="0.2">
      <c r="B7" s="297" t="s">
        <v>587</v>
      </c>
      <c r="C7" s="292" t="s">
        <v>588</v>
      </c>
      <c r="D7" s="293" t="s">
        <v>589</v>
      </c>
      <c r="E7" s="294" t="s">
        <v>590</v>
      </c>
      <c r="F7" s="295" t="s">
        <v>591</v>
      </c>
    </row>
    <row r="8" spans="2:6" ht="51" x14ac:dyDescent="0.2">
      <c r="B8" s="298" t="s">
        <v>592</v>
      </c>
      <c r="C8" s="292" t="s">
        <v>593</v>
      </c>
      <c r="D8" s="293" t="s">
        <v>594</v>
      </c>
      <c r="E8" s="294" t="s">
        <v>595</v>
      </c>
      <c r="F8" s="295" t="s">
        <v>596</v>
      </c>
    </row>
    <row r="9" spans="2:6" ht="63.75" x14ac:dyDescent="0.2">
      <c r="B9" s="299" t="s">
        <v>597</v>
      </c>
      <c r="C9" s="292" t="s">
        <v>598</v>
      </c>
      <c r="D9" s="293" t="s">
        <v>599</v>
      </c>
      <c r="E9" s="294" t="s">
        <v>600</v>
      </c>
      <c r="F9" s="295" t="s">
        <v>601</v>
      </c>
    </row>
  </sheetData>
  <mergeCells count="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63"/>
  <sheetViews>
    <sheetView topLeftCell="B208" zoomScale="60" zoomScaleNormal="60" workbookViewId="0">
      <selection activeCell="C216" sqref="C216:C220"/>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98.5703125" style="277" customWidth="1"/>
    <col min="7" max="7" width="26.85546875" customWidth="1"/>
    <col min="11" max="11" width="48.28515625" customWidth="1"/>
  </cols>
  <sheetData>
    <row r="2" spans="1:21" s="173" customFormat="1" ht="45.75" customHeight="1" x14ac:dyDescent="0.25">
      <c r="A2" s="172"/>
      <c r="B2" s="784" t="s">
        <v>602</v>
      </c>
      <c r="C2" s="784"/>
      <c r="D2" s="784"/>
      <c r="E2" s="784"/>
      <c r="F2" s="273"/>
      <c r="G2" s="172"/>
      <c r="H2" s="172"/>
      <c r="I2" s="172"/>
      <c r="J2" s="172"/>
      <c r="K2" s="172"/>
      <c r="L2" s="172"/>
      <c r="M2" s="172"/>
      <c r="N2" s="172"/>
      <c r="O2" s="172"/>
      <c r="P2" s="172"/>
      <c r="Q2" s="172"/>
      <c r="R2" s="172"/>
      <c r="S2" s="172"/>
      <c r="T2" s="172"/>
      <c r="U2" s="172"/>
    </row>
    <row r="3" spans="1:21" s="173" customFormat="1" ht="18.75" customHeight="1" x14ac:dyDescent="0.25">
      <c r="A3" s="172"/>
      <c r="B3" s="174"/>
      <c r="C3" s="172"/>
      <c r="D3" s="172"/>
      <c r="E3" s="172"/>
      <c r="F3" s="273"/>
      <c r="G3" s="172"/>
      <c r="H3" s="172"/>
      <c r="I3" s="172"/>
      <c r="J3" s="172"/>
      <c r="K3" s="172"/>
      <c r="L3" s="172"/>
      <c r="M3" s="172"/>
      <c r="N3" s="172"/>
      <c r="O3" s="172"/>
      <c r="P3" s="172"/>
      <c r="Q3" s="172"/>
      <c r="R3" s="172"/>
      <c r="S3" s="172"/>
      <c r="T3" s="172"/>
      <c r="U3" s="172"/>
    </row>
    <row r="4" spans="1:21" ht="67.5" customHeight="1" x14ac:dyDescent="0.25">
      <c r="A4" s="66"/>
      <c r="B4" s="106"/>
      <c r="C4" s="21" t="s">
        <v>603</v>
      </c>
      <c r="D4" s="21" t="s">
        <v>604</v>
      </c>
      <c r="E4" s="21" t="s">
        <v>605</v>
      </c>
      <c r="F4" s="274"/>
      <c r="G4" s="66"/>
      <c r="H4" s="66"/>
      <c r="I4" s="66"/>
      <c r="J4" s="66"/>
      <c r="K4" s="66"/>
      <c r="L4" s="66"/>
      <c r="M4" s="66"/>
      <c r="N4" s="66"/>
      <c r="O4" s="66"/>
      <c r="P4" s="66"/>
      <c r="Q4" s="66"/>
      <c r="R4" s="66"/>
      <c r="S4" s="66"/>
      <c r="T4" s="66"/>
      <c r="U4" s="66"/>
    </row>
    <row r="5" spans="1:21" ht="67.5" customHeight="1" x14ac:dyDescent="0.25">
      <c r="A5" s="86" t="s">
        <v>606</v>
      </c>
      <c r="B5" s="22" t="s">
        <v>577</v>
      </c>
      <c r="C5" s="27" t="s">
        <v>607</v>
      </c>
      <c r="D5" s="104" t="s">
        <v>566</v>
      </c>
      <c r="E5" s="205">
        <f>908526*130</f>
        <v>118108380</v>
      </c>
      <c r="F5" s="275"/>
      <c r="G5" s="66"/>
      <c r="H5" s="66"/>
      <c r="I5" s="66"/>
      <c r="J5" s="66"/>
      <c r="K5" s="66"/>
      <c r="L5" s="66"/>
      <c r="M5" s="66"/>
      <c r="N5" s="66"/>
      <c r="O5" s="66"/>
      <c r="P5" s="66"/>
      <c r="Q5" s="66"/>
      <c r="R5" s="66"/>
      <c r="S5" s="66"/>
      <c r="T5" s="66"/>
      <c r="U5" s="66"/>
    </row>
    <row r="6" spans="1:21" ht="129" customHeight="1" x14ac:dyDescent="0.25">
      <c r="A6" s="86" t="s">
        <v>608</v>
      </c>
      <c r="B6" s="23" t="s">
        <v>582</v>
      </c>
      <c r="C6" s="28" t="s">
        <v>609</v>
      </c>
      <c r="D6" s="105" t="s">
        <v>610</v>
      </c>
      <c r="E6" s="205">
        <f>908526*650</f>
        <v>590541900</v>
      </c>
      <c r="F6" s="275"/>
      <c r="G6" s="66"/>
      <c r="H6" s="66"/>
      <c r="I6" s="66"/>
      <c r="J6" s="66"/>
      <c r="K6" s="66"/>
      <c r="L6" s="66"/>
      <c r="M6" s="66"/>
      <c r="N6" s="66"/>
      <c r="O6" s="66"/>
      <c r="P6" s="66"/>
      <c r="Q6" s="66"/>
      <c r="R6" s="66"/>
      <c r="S6" s="66"/>
      <c r="T6" s="66"/>
      <c r="U6" s="66"/>
    </row>
    <row r="7" spans="1:21" ht="101.25" x14ac:dyDescent="0.25">
      <c r="A7" s="86" t="s">
        <v>492</v>
      </c>
      <c r="B7" s="24" t="s">
        <v>587</v>
      </c>
      <c r="C7" s="28" t="s">
        <v>611</v>
      </c>
      <c r="D7" s="105" t="s">
        <v>612</v>
      </c>
      <c r="E7" s="205">
        <f>908526*1300</f>
        <v>1181083800</v>
      </c>
      <c r="F7" s="275"/>
      <c r="G7" s="66"/>
      <c r="H7" s="66"/>
      <c r="I7" s="66"/>
      <c r="J7" s="66"/>
      <c r="K7" s="66"/>
      <c r="L7" s="66"/>
      <c r="M7" s="66"/>
      <c r="N7" s="66"/>
      <c r="O7" s="66"/>
      <c r="P7" s="66"/>
      <c r="Q7" s="66"/>
      <c r="R7" s="66"/>
      <c r="S7" s="66"/>
      <c r="T7" s="66"/>
      <c r="U7" s="66"/>
    </row>
    <row r="8" spans="1:21" ht="135" x14ac:dyDescent="0.25">
      <c r="A8" s="86" t="s">
        <v>613</v>
      </c>
      <c r="B8" s="25" t="s">
        <v>592</v>
      </c>
      <c r="C8" s="28" t="s">
        <v>614</v>
      </c>
      <c r="D8" s="105" t="s">
        <v>615</v>
      </c>
      <c r="E8" s="205">
        <f>908526*6500</f>
        <v>5905419000</v>
      </c>
      <c r="F8" s="275"/>
      <c r="G8" s="66"/>
      <c r="H8" s="66"/>
      <c r="I8" s="66"/>
      <c r="J8" s="66"/>
      <c r="K8" s="66"/>
      <c r="L8" s="66"/>
      <c r="M8" s="66"/>
      <c r="N8" s="66"/>
      <c r="O8" s="66"/>
      <c r="P8" s="66"/>
      <c r="Q8" s="66"/>
      <c r="R8" s="66"/>
      <c r="S8" s="66"/>
      <c r="T8" s="66"/>
      <c r="U8" s="66"/>
    </row>
    <row r="9" spans="1:21" ht="101.25" x14ac:dyDescent="0.25">
      <c r="A9" s="86" t="s">
        <v>616</v>
      </c>
      <c r="B9" s="26" t="s">
        <v>597</v>
      </c>
      <c r="C9" s="28" t="s">
        <v>617</v>
      </c>
      <c r="D9" s="105" t="s">
        <v>618</v>
      </c>
      <c r="E9" s="205"/>
      <c r="F9" s="276"/>
      <c r="G9" s="107"/>
      <c r="H9" s="66"/>
      <c r="I9" s="66"/>
      <c r="J9" s="66"/>
      <c r="K9" s="66"/>
      <c r="L9" s="66"/>
      <c r="M9" s="66"/>
      <c r="N9" s="66"/>
      <c r="O9" s="66"/>
      <c r="P9" s="66"/>
      <c r="Q9" s="66"/>
      <c r="R9" s="66"/>
      <c r="S9" s="66"/>
      <c r="T9" s="66"/>
      <c r="U9" s="66"/>
    </row>
    <row r="10" spans="1:21" s="110" customFormat="1" ht="20.25" x14ac:dyDescent="0.25">
      <c r="A10" s="108"/>
      <c r="B10" s="108"/>
      <c r="C10" s="109"/>
      <c r="D10" s="109"/>
      <c r="E10" s="108"/>
      <c r="F10" s="270"/>
      <c r="G10" s="108"/>
      <c r="H10" s="108"/>
      <c r="I10" s="108"/>
      <c r="J10" s="108"/>
      <c r="K10" s="108"/>
      <c r="L10" s="108"/>
      <c r="M10" s="108"/>
      <c r="N10" s="108"/>
      <c r="O10" s="108"/>
      <c r="P10" s="108"/>
      <c r="Q10" s="108"/>
      <c r="R10" s="108"/>
      <c r="S10" s="108"/>
      <c r="T10" s="108"/>
      <c r="U10" s="108"/>
    </row>
    <row r="11" spans="1:21" s="110" customFormat="1" ht="16.5" x14ac:dyDescent="0.25">
      <c r="A11" s="108"/>
      <c r="B11" s="111"/>
      <c r="C11" s="111"/>
      <c r="D11" s="111"/>
      <c r="E11" s="108"/>
      <c r="F11" s="270"/>
      <c r="G11" s="108"/>
      <c r="H11" s="108"/>
      <c r="I11" s="108"/>
      <c r="J11" s="108"/>
      <c r="K11" s="108"/>
      <c r="L11" s="108"/>
      <c r="M11" s="108"/>
      <c r="N11" s="108"/>
      <c r="O11" s="108"/>
      <c r="P11" s="108"/>
      <c r="Q11" s="108"/>
      <c r="R11" s="108"/>
      <c r="S11" s="108"/>
      <c r="T11" s="108"/>
      <c r="U11" s="108"/>
    </row>
    <row r="12" spans="1:21" s="110" customFormat="1" x14ac:dyDescent="0.25">
      <c r="A12" s="108"/>
      <c r="B12" s="108" t="s">
        <v>619</v>
      </c>
      <c r="C12" s="108" t="s">
        <v>570</v>
      </c>
      <c r="D12" s="108" t="s">
        <v>620</v>
      </c>
      <c r="E12" s="108"/>
      <c r="F12" s="270"/>
      <c r="G12" s="108"/>
      <c r="H12" s="108"/>
      <c r="I12" s="108"/>
      <c r="J12" s="108"/>
      <c r="K12" s="108"/>
      <c r="L12" s="108"/>
      <c r="M12" s="108"/>
      <c r="N12" s="108"/>
      <c r="O12" s="108"/>
      <c r="P12" s="108"/>
      <c r="Q12" s="108"/>
      <c r="R12" s="108"/>
      <c r="S12" s="108"/>
      <c r="T12" s="108"/>
      <c r="U12" s="108"/>
    </row>
    <row r="13" spans="1:21" s="110" customFormat="1" x14ac:dyDescent="0.25">
      <c r="A13" s="108"/>
      <c r="B13" s="108" t="s">
        <v>621</v>
      </c>
      <c r="C13" s="108" t="s">
        <v>507</v>
      </c>
      <c r="D13" s="108" t="s">
        <v>622</v>
      </c>
      <c r="E13" s="108"/>
      <c r="F13" s="270"/>
      <c r="G13" s="108"/>
      <c r="H13" s="108"/>
      <c r="I13" s="108"/>
      <c r="J13" s="108"/>
      <c r="K13" s="108"/>
      <c r="L13" s="108"/>
      <c r="M13" s="108"/>
      <c r="N13" s="108"/>
      <c r="O13" s="108"/>
      <c r="P13" s="108"/>
      <c r="Q13" s="108"/>
      <c r="R13" s="108"/>
      <c r="S13" s="108"/>
      <c r="T13" s="108"/>
      <c r="U13" s="108"/>
    </row>
    <row r="14" spans="1:21" s="110" customFormat="1" x14ac:dyDescent="0.25">
      <c r="A14" s="108"/>
      <c r="B14" s="108"/>
      <c r="C14" s="108" t="s">
        <v>504</v>
      </c>
      <c r="D14" s="108" t="s">
        <v>476</v>
      </c>
      <c r="E14" s="108"/>
      <c r="F14" s="270"/>
      <c r="G14" s="108"/>
      <c r="H14" s="108"/>
      <c r="I14" s="108"/>
      <c r="J14" s="108"/>
      <c r="K14" s="108"/>
      <c r="L14" s="108"/>
      <c r="M14" s="108"/>
      <c r="N14" s="108"/>
      <c r="O14" s="108"/>
      <c r="P14" s="108"/>
      <c r="Q14" s="108"/>
      <c r="R14" s="108"/>
      <c r="S14" s="108"/>
      <c r="T14" s="108"/>
      <c r="U14" s="108"/>
    </row>
    <row r="15" spans="1:21" s="110" customFormat="1" x14ac:dyDescent="0.25">
      <c r="A15" s="108"/>
      <c r="B15" s="108"/>
      <c r="C15" s="108" t="s">
        <v>623</v>
      </c>
      <c r="D15" s="108" t="s">
        <v>512</v>
      </c>
      <c r="E15" s="108"/>
      <c r="F15" s="270"/>
      <c r="G15" s="108"/>
      <c r="H15" s="108"/>
      <c r="I15" s="108"/>
      <c r="J15" s="108"/>
      <c r="K15" s="108"/>
      <c r="L15" s="108"/>
      <c r="M15" s="108"/>
      <c r="N15" s="108"/>
      <c r="O15" s="108"/>
      <c r="P15" s="108"/>
      <c r="Q15" s="108"/>
      <c r="R15" s="108"/>
      <c r="S15" s="108"/>
      <c r="T15" s="108"/>
      <c r="U15" s="108"/>
    </row>
    <row r="16" spans="1:21" s="110" customFormat="1" x14ac:dyDescent="0.25">
      <c r="A16" s="108"/>
      <c r="B16" s="108"/>
      <c r="C16" s="108" t="s">
        <v>624</v>
      </c>
      <c r="D16" s="108" t="s">
        <v>543</v>
      </c>
      <c r="E16" s="108"/>
      <c r="F16" s="270"/>
      <c r="G16" s="108"/>
      <c r="H16" s="108"/>
      <c r="I16" s="108"/>
      <c r="J16" s="108"/>
      <c r="K16" s="108"/>
      <c r="L16" s="108"/>
      <c r="M16" s="108"/>
      <c r="N16" s="108"/>
      <c r="O16" s="108"/>
      <c r="P16" s="108"/>
      <c r="Q16" s="108"/>
      <c r="R16" s="108"/>
      <c r="S16" s="108"/>
      <c r="T16" s="108"/>
      <c r="U16" s="108"/>
    </row>
    <row r="17" spans="1:15" s="110" customFormat="1" x14ac:dyDescent="0.25">
      <c r="A17" s="108"/>
      <c r="B17" s="108"/>
      <c r="C17" s="108"/>
      <c r="D17" s="108"/>
      <c r="E17" s="108"/>
      <c r="F17" s="270"/>
      <c r="G17" s="108"/>
      <c r="H17" s="108"/>
      <c r="I17" s="108"/>
      <c r="J17" s="108"/>
      <c r="K17" s="108"/>
      <c r="L17" s="108"/>
      <c r="M17" s="108"/>
      <c r="N17" s="108"/>
      <c r="O17" s="108"/>
    </row>
    <row r="18" spans="1:15" s="110" customFormat="1" x14ac:dyDescent="0.25">
      <c r="A18" s="108"/>
      <c r="B18" s="108"/>
      <c r="C18" s="108"/>
      <c r="D18" s="108"/>
      <c r="E18" s="108"/>
      <c r="F18" s="270"/>
      <c r="G18" s="108"/>
      <c r="H18" s="108"/>
      <c r="I18" s="108"/>
      <c r="J18" s="108"/>
      <c r="K18" s="108"/>
      <c r="L18" s="108"/>
      <c r="M18" s="108"/>
      <c r="N18" s="108"/>
      <c r="O18" s="108"/>
    </row>
    <row r="19" spans="1:15" s="110" customFormat="1" x14ac:dyDescent="0.25">
      <c r="A19" s="108"/>
      <c r="B19" s="108"/>
      <c r="C19" s="108"/>
      <c r="D19" s="108"/>
      <c r="E19" s="108"/>
      <c r="F19" s="270"/>
      <c r="G19" s="108"/>
      <c r="H19" s="108"/>
      <c r="I19" s="108"/>
      <c r="J19" s="108"/>
      <c r="K19" s="108"/>
      <c r="L19" s="108"/>
      <c r="M19" s="108"/>
      <c r="N19" s="108"/>
      <c r="O19" s="108"/>
    </row>
    <row r="20" spans="1:15" s="110" customFormat="1" x14ac:dyDescent="0.25">
      <c r="A20" s="108"/>
      <c r="B20" s="108"/>
      <c r="C20" s="108"/>
      <c r="D20" s="108"/>
      <c r="E20" s="108"/>
      <c r="F20" s="270"/>
      <c r="G20" s="108"/>
      <c r="H20" s="108"/>
      <c r="I20" s="108"/>
      <c r="J20" s="108"/>
      <c r="K20" s="108"/>
      <c r="L20" s="108"/>
      <c r="M20" s="108"/>
      <c r="N20" s="108"/>
      <c r="O20" s="108"/>
    </row>
    <row r="21" spans="1:15" s="110" customFormat="1" x14ac:dyDescent="0.25">
      <c r="A21" s="108"/>
      <c r="B21" s="108"/>
      <c r="C21" s="108"/>
      <c r="D21" s="108"/>
      <c r="E21" s="108"/>
      <c r="F21" s="271"/>
      <c r="G21" s="108"/>
      <c r="H21" s="108"/>
      <c r="I21" s="108"/>
      <c r="J21" s="108"/>
      <c r="K21" s="108"/>
      <c r="L21" s="108"/>
      <c r="M21" s="108"/>
      <c r="N21" s="108"/>
      <c r="O21" s="108"/>
    </row>
    <row r="22" spans="1:15" s="110" customFormat="1" x14ac:dyDescent="0.25">
      <c r="A22" s="108"/>
      <c r="B22" s="108"/>
      <c r="C22" s="108"/>
      <c r="D22" s="108"/>
      <c r="E22" s="108"/>
      <c r="F22" s="271"/>
      <c r="G22" s="108"/>
      <c r="H22" s="108"/>
      <c r="I22" s="108"/>
      <c r="J22" s="108"/>
      <c r="K22" s="108"/>
      <c r="L22" s="108"/>
      <c r="M22" s="108"/>
      <c r="N22" s="108"/>
      <c r="O22" s="108"/>
    </row>
    <row r="23" spans="1:15" s="110" customFormat="1" ht="20.25" x14ac:dyDescent="0.25">
      <c r="A23" s="108"/>
      <c r="B23" s="108"/>
      <c r="C23" s="109"/>
      <c r="D23" s="109"/>
      <c r="E23" s="108"/>
      <c r="F23" s="271"/>
      <c r="G23" s="108"/>
      <c r="H23" s="108"/>
      <c r="I23" s="108"/>
      <c r="J23" s="108"/>
      <c r="K23" s="108"/>
      <c r="L23" s="108"/>
      <c r="M23" s="108"/>
      <c r="N23" s="108"/>
      <c r="O23" s="108"/>
    </row>
    <row r="24" spans="1:15" s="110" customFormat="1" ht="20.25" x14ac:dyDescent="0.25">
      <c r="A24" s="108"/>
      <c r="B24" s="108"/>
      <c r="C24" s="109"/>
      <c r="D24" s="109"/>
      <c r="E24" s="108"/>
      <c r="F24" s="271"/>
      <c r="G24" s="108"/>
      <c r="H24" s="108"/>
      <c r="I24" s="108"/>
      <c r="J24" s="108"/>
      <c r="K24" s="108"/>
      <c r="L24" s="108"/>
      <c r="M24" s="108"/>
      <c r="N24" s="108"/>
      <c r="O24" s="108"/>
    </row>
    <row r="25" spans="1:15" s="110" customFormat="1" ht="20.25" x14ac:dyDescent="0.25">
      <c r="A25" s="108"/>
      <c r="B25" s="108"/>
      <c r="C25" s="109"/>
      <c r="D25" s="109"/>
      <c r="E25" s="108"/>
      <c r="F25" s="271"/>
      <c r="G25" s="108"/>
      <c r="H25" s="108"/>
      <c r="I25" s="108"/>
      <c r="J25" s="108"/>
      <c r="K25" s="108"/>
      <c r="L25" s="108"/>
      <c r="M25" s="108"/>
      <c r="N25" s="108"/>
      <c r="O25" s="108"/>
    </row>
    <row r="26" spans="1:15" s="110" customFormat="1" ht="20.25" x14ac:dyDescent="0.25">
      <c r="A26" s="108"/>
      <c r="B26" s="108"/>
      <c r="C26" s="109"/>
      <c r="D26" s="109"/>
      <c r="E26" s="108"/>
      <c r="F26" s="271"/>
      <c r="G26" s="108"/>
      <c r="H26" s="108"/>
      <c r="I26" s="108"/>
      <c r="J26" s="108"/>
      <c r="K26" s="108"/>
      <c r="L26" s="108"/>
      <c r="M26" s="108"/>
      <c r="N26" s="108"/>
      <c r="O26" s="108"/>
    </row>
    <row r="27" spans="1:15" s="110" customFormat="1" ht="20.25" x14ac:dyDescent="0.25">
      <c r="A27" s="108"/>
      <c r="B27" s="108"/>
      <c r="C27" s="109"/>
      <c r="D27" s="109"/>
      <c r="E27" s="108"/>
      <c r="F27" s="271"/>
      <c r="G27" s="108"/>
      <c r="H27" s="108"/>
      <c r="I27" s="108"/>
      <c r="J27" s="108"/>
      <c r="K27" s="108"/>
      <c r="L27" s="108"/>
      <c r="M27" s="108"/>
      <c r="N27" s="108"/>
      <c r="O27" s="108"/>
    </row>
    <row r="28" spans="1:15" s="110" customFormat="1" ht="20.25" x14ac:dyDescent="0.25">
      <c r="A28" s="108"/>
      <c r="B28" s="108"/>
      <c r="C28" s="109"/>
      <c r="D28" s="109"/>
      <c r="E28" s="108"/>
      <c r="F28" s="271"/>
      <c r="G28" s="108"/>
      <c r="H28" s="108"/>
      <c r="I28" s="108"/>
      <c r="J28" s="108"/>
      <c r="K28" s="108"/>
      <c r="L28" s="108"/>
      <c r="M28" s="108"/>
      <c r="N28" s="108"/>
      <c r="O28" s="108"/>
    </row>
    <row r="29" spans="1:15" s="110" customFormat="1" ht="20.25" x14ac:dyDescent="0.25">
      <c r="A29" s="108"/>
      <c r="B29" s="108"/>
      <c r="C29" s="109"/>
      <c r="D29" s="109"/>
      <c r="E29" s="108"/>
      <c r="F29" s="271"/>
      <c r="G29" s="108"/>
      <c r="H29" s="108"/>
      <c r="I29" s="108"/>
      <c r="J29" s="108"/>
      <c r="K29" s="108"/>
      <c r="L29" s="108"/>
      <c r="M29" s="108"/>
      <c r="N29" s="108"/>
      <c r="O29" s="108"/>
    </row>
    <row r="30" spans="1:15" s="110" customFormat="1" ht="20.25" x14ac:dyDescent="0.25">
      <c r="A30" s="108"/>
      <c r="B30" s="108"/>
      <c r="C30" s="109"/>
      <c r="D30" s="109"/>
      <c r="E30" s="108"/>
      <c r="F30" s="271"/>
      <c r="G30" s="108"/>
      <c r="H30" s="108"/>
      <c r="I30" s="108"/>
      <c r="J30" s="108"/>
      <c r="K30" s="108"/>
      <c r="L30" s="108"/>
      <c r="M30" s="108"/>
      <c r="N30" s="108"/>
      <c r="O30" s="108"/>
    </row>
    <row r="31" spans="1:15" s="110" customFormat="1" ht="20.25" x14ac:dyDescent="0.25">
      <c r="A31" s="108"/>
      <c r="B31" s="108"/>
      <c r="C31" s="109"/>
      <c r="D31" s="109"/>
      <c r="E31" s="108"/>
      <c r="F31" s="271"/>
      <c r="G31" s="108"/>
      <c r="H31" s="108"/>
      <c r="I31" s="108"/>
      <c r="J31" s="108"/>
      <c r="K31" s="108"/>
      <c r="L31" s="108"/>
      <c r="M31" s="108"/>
      <c r="N31" s="108"/>
      <c r="O31" s="108"/>
    </row>
    <row r="32" spans="1:15" s="110" customFormat="1" ht="20.25" x14ac:dyDescent="0.25">
      <c r="A32" s="108"/>
      <c r="B32" s="108"/>
      <c r="C32" s="109"/>
      <c r="D32" s="109"/>
      <c r="E32" s="108"/>
      <c r="F32" s="271"/>
      <c r="G32" s="108"/>
      <c r="H32" s="108"/>
      <c r="I32" s="108"/>
      <c r="J32" s="108"/>
      <c r="K32" s="108"/>
      <c r="L32" s="108"/>
      <c r="M32" s="108"/>
      <c r="N32" s="108"/>
      <c r="O32" s="108"/>
    </row>
    <row r="33" spans="1:15" s="110" customFormat="1" ht="20.25" x14ac:dyDescent="0.25">
      <c r="A33" s="108"/>
      <c r="B33" s="108"/>
      <c r="C33" s="109"/>
      <c r="D33" s="109"/>
      <c r="E33" s="108"/>
      <c r="F33" s="271"/>
      <c r="G33" s="108"/>
      <c r="H33" s="108"/>
      <c r="I33" s="108"/>
      <c r="J33" s="108"/>
      <c r="K33" s="108"/>
      <c r="L33" s="108"/>
      <c r="M33" s="108"/>
      <c r="N33" s="108"/>
      <c r="O33" s="108"/>
    </row>
    <row r="34" spans="1:15" s="110" customFormat="1" ht="20.25" x14ac:dyDescent="0.25">
      <c r="A34" s="108"/>
      <c r="B34" s="108"/>
      <c r="C34" s="109"/>
      <c r="D34" s="109"/>
      <c r="E34" s="108"/>
      <c r="F34" s="271"/>
      <c r="G34" s="108"/>
      <c r="H34" s="108"/>
      <c r="I34" s="108"/>
      <c r="J34" s="108"/>
      <c r="K34" s="108"/>
      <c r="L34" s="108"/>
      <c r="M34" s="108"/>
      <c r="N34" s="108"/>
      <c r="O34" s="108"/>
    </row>
    <row r="35" spans="1:15" s="110" customFormat="1" ht="20.25" x14ac:dyDescent="0.25">
      <c r="A35" s="108"/>
      <c r="B35" s="108"/>
      <c r="C35" s="109"/>
      <c r="D35" s="109"/>
      <c r="E35" s="108"/>
      <c r="F35" s="271"/>
      <c r="G35" s="108"/>
      <c r="H35" s="108"/>
      <c r="I35" s="108"/>
      <c r="J35" s="108"/>
      <c r="K35" s="108"/>
      <c r="L35" s="108"/>
      <c r="M35" s="108"/>
      <c r="N35" s="108"/>
      <c r="O35" s="108"/>
    </row>
    <row r="36" spans="1:15" s="110" customFormat="1" ht="20.25" x14ac:dyDescent="0.25">
      <c r="A36" s="108"/>
      <c r="B36" s="108"/>
      <c r="C36" s="109"/>
      <c r="D36" s="109"/>
      <c r="E36" s="108"/>
      <c r="F36" s="271"/>
      <c r="G36" s="108"/>
      <c r="H36" s="108"/>
      <c r="I36" s="108"/>
      <c r="J36" s="108"/>
      <c r="K36" s="108"/>
      <c r="L36" s="108"/>
      <c r="M36" s="108"/>
      <c r="N36" s="108"/>
      <c r="O36" s="108"/>
    </row>
    <row r="37" spans="1:15" s="110" customFormat="1" ht="20.25" x14ac:dyDescent="0.25">
      <c r="A37" s="108"/>
      <c r="B37" s="108"/>
      <c r="C37" s="109"/>
      <c r="D37" s="109"/>
      <c r="E37" s="108"/>
      <c r="F37" s="271"/>
      <c r="G37" s="108"/>
      <c r="H37" s="108"/>
      <c r="I37" s="108"/>
      <c r="J37" s="108"/>
      <c r="K37" s="108"/>
      <c r="L37" s="108"/>
      <c r="M37" s="108"/>
      <c r="N37" s="108"/>
      <c r="O37" s="108"/>
    </row>
    <row r="38" spans="1:15" s="110" customFormat="1" ht="20.25" x14ac:dyDescent="0.25">
      <c r="A38" s="108"/>
      <c r="B38" s="108"/>
      <c r="C38" s="109"/>
      <c r="D38" s="109"/>
      <c r="E38" s="108"/>
      <c r="F38" s="271"/>
      <c r="G38" s="108"/>
      <c r="H38" s="108"/>
      <c r="I38" s="108"/>
      <c r="J38" s="108"/>
      <c r="K38" s="108"/>
      <c r="L38" s="108"/>
      <c r="M38" s="108"/>
      <c r="N38" s="108"/>
      <c r="O38" s="108"/>
    </row>
    <row r="39" spans="1:15" s="110" customFormat="1" ht="20.25" x14ac:dyDescent="0.25">
      <c r="A39" s="108"/>
      <c r="B39" s="108"/>
      <c r="C39" s="109"/>
      <c r="D39" s="109"/>
      <c r="E39" s="108"/>
      <c r="F39" s="271"/>
      <c r="G39" s="108"/>
      <c r="H39" s="108"/>
      <c r="I39" s="108"/>
      <c r="J39" s="108"/>
      <c r="K39" s="108"/>
      <c r="L39" s="108"/>
      <c r="M39" s="108"/>
      <c r="N39" s="108"/>
      <c r="O39" s="108"/>
    </row>
    <row r="40" spans="1:15" s="110" customFormat="1" ht="20.25" x14ac:dyDescent="0.25">
      <c r="A40" s="108"/>
      <c r="B40" s="108"/>
      <c r="C40" s="109"/>
      <c r="D40" s="109"/>
      <c r="E40" s="108"/>
      <c r="F40" s="271"/>
      <c r="G40" s="108"/>
      <c r="H40" s="108"/>
      <c r="I40" s="108"/>
      <c r="J40" s="108"/>
      <c r="K40" s="108"/>
      <c r="L40" s="108"/>
      <c r="M40" s="108"/>
      <c r="N40" s="108"/>
      <c r="O40" s="108"/>
    </row>
    <row r="41" spans="1:15" s="110" customFormat="1" ht="20.25" x14ac:dyDescent="0.25">
      <c r="A41" s="108"/>
      <c r="B41" s="108"/>
      <c r="C41" s="109"/>
      <c r="D41" s="109"/>
      <c r="E41" s="108"/>
      <c r="F41" s="271"/>
      <c r="G41" s="108"/>
      <c r="H41" s="108"/>
      <c r="I41" s="108"/>
      <c r="J41" s="108"/>
      <c r="K41" s="108"/>
      <c r="L41" s="108"/>
      <c r="M41" s="108"/>
      <c r="N41" s="108"/>
      <c r="O41" s="108"/>
    </row>
    <row r="42" spans="1:15" s="110" customFormat="1" ht="20.25" x14ac:dyDescent="0.25">
      <c r="A42" s="108"/>
      <c r="B42" s="108"/>
      <c r="C42" s="109"/>
      <c r="D42" s="109"/>
      <c r="E42" s="108"/>
      <c r="F42" s="271"/>
      <c r="G42" s="108"/>
      <c r="H42" s="108"/>
      <c r="I42" s="108"/>
      <c r="J42" s="108"/>
      <c r="K42" s="108"/>
      <c r="L42" s="108"/>
      <c r="M42" s="108"/>
      <c r="N42" s="108"/>
      <c r="O42" s="108"/>
    </row>
    <row r="43" spans="1:15" s="110" customFormat="1" ht="20.25" x14ac:dyDescent="0.25">
      <c r="A43" s="108"/>
      <c r="B43" s="108"/>
      <c r="C43" s="109"/>
      <c r="D43" s="109"/>
      <c r="E43" s="108"/>
      <c r="F43" s="271"/>
      <c r="G43" s="108"/>
      <c r="H43" s="108"/>
      <c r="I43" s="108"/>
      <c r="J43" s="108"/>
      <c r="K43" s="108"/>
      <c r="L43" s="108"/>
      <c r="M43" s="108"/>
      <c r="N43" s="108"/>
      <c r="O43" s="108"/>
    </row>
    <row r="44" spans="1:15" s="110" customFormat="1" ht="20.25" x14ac:dyDescent="0.25">
      <c r="A44" s="108"/>
      <c r="B44" s="108"/>
      <c r="C44" s="109"/>
      <c r="D44" s="109"/>
      <c r="E44" s="108"/>
      <c r="F44" s="271"/>
      <c r="G44" s="108"/>
      <c r="H44" s="108"/>
      <c r="I44" s="108"/>
      <c r="J44" s="108"/>
      <c r="K44" s="108"/>
      <c r="L44" s="108"/>
      <c r="M44" s="108"/>
      <c r="N44" s="108"/>
      <c r="O44" s="108"/>
    </row>
    <row r="45" spans="1:15" s="110" customFormat="1" ht="20.25" x14ac:dyDescent="0.25">
      <c r="A45" s="108"/>
      <c r="B45" s="108"/>
      <c r="C45" s="109"/>
      <c r="D45" s="109"/>
      <c r="E45" s="108"/>
      <c r="F45" s="271"/>
      <c r="G45" s="108"/>
      <c r="H45" s="108"/>
      <c r="I45" s="108"/>
      <c r="J45" s="108"/>
      <c r="K45" s="108"/>
      <c r="L45" s="108"/>
      <c r="M45" s="108"/>
      <c r="N45" s="108"/>
      <c r="O45" s="108"/>
    </row>
    <row r="46" spans="1:15" s="110" customFormat="1" ht="20.25" x14ac:dyDescent="0.25">
      <c r="A46" s="108"/>
      <c r="B46" s="108"/>
      <c r="C46" s="109"/>
      <c r="D46" s="109"/>
      <c r="E46" s="108"/>
      <c r="F46" s="271"/>
      <c r="G46" s="108"/>
      <c r="H46" s="108"/>
      <c r="I46" s="108"/>
      <c r="J46" s="108"/>
      <c r="K46" s="108"/>
      <c r="L46" s="108"/>
      <c r="M46" s="108"/>
      <c r="N46" s="108"/>
      <c r="O46" s="108"/>
    </row>
    <row r="47" spans="1:15" ht="20.25" x14ac:dyDescent="0.25">
      <c r="A47" s="86"/>
      <c r="B47" s="86"/>
      <c r="C47" s="87"/>
      <c r="D47" s="87"/>
      <c r="E47" s="66"/>
      <c r="F47" s="274"/>
      <c r="G47" s="66"/>
      <c r="H47" s="66"/>
      <c r="I47" s="66"/>
      <c r="J47" s="66"/>
      <c r="K47" s="66"/>
      <c r="L47" s="66"/>
      <c r="M47" s="66"/>
      <c r="N47" s="66"/>
      <c r="O47" s="66"/>
    </row>
    <row r="48" spans="1:15" ht="20.25" x14ac:dyDescent="0.25">
      <c r="A48" s="86"/>
      <c r="B48" s="86"/>
      <c r="C48" s="87"/>
      <c r="D48" s="87"/>
      <c r="E48" s="66"/>
      <c r="F48" s="274"/>
      <c r="G48" s="66"/>
      <c r="H48" s="66"/>
      <c r="I48" s="66"/>
      <c r="J48" s="66"/>
      <c r="K48" s="66"/>
      <c r="L48" s="66"/>
      <c r="M48" s="66"/>
      <c r="N48" s="66"/>
      <c r="O48" s="66"/>
    </row>
    <row r="49" spans="1:15" ht="20.25" x14ac:dyDescent="0.25">
      <c r="A49" s="86"/>
      <c r="B49" s="86"/>
      <c r="C49" s="87"/>
      <c r="D49" s="87"/>
      <c r="E49" s="66"/>
      <c r="F49" s="274"/>
      <c r="G49" s="66"/>
      <c r="H49" s="66"/>
      <c r="I49" s="66"/>
      <c r="J49" s="66"/>
      <c r="K49" s="66"/>
      <c r="L49" s="66"/>
      <c r="M49" s="66"/>
      <c r="N49" s="66"/>
      <c r="O49" s="66"/>
    </row>
    <row r="50" spans="1:15" ht="20.25" x14ac:dyDescent="0.25">
      <c r="A50" s="86"/>
      <c r="B50" s="86"/>
      <c r="C50" s="87"/>
      <c r="D50" s="87"/>
      <c r="E50" s="66"/>
      <c r="F50" s="274"/>
      <c r="G50" s="66"/>
      <c r="H50" s="66"/>
      <c r="I50" s="66"/>
      <c r="J50" s="66"/>
      <c r="K50" s="66"/>
      <c r="L50" s="66"/>
      <c r="M50" s="66"/>
      <c r="N50" s="66"/>
      <c r="O50" s="66"/>
    </row>
    <row r="51" spans="1:15" ht="20.25" x14ac:dyDescent="0.25">
      <c r="A51" s="86"/>
      <c r="B51" s="86"/>
      <c r="C51" s="87"/>
      <c r="D51" s="87"/>
      <c r="E51" s="66"/>
      <c r="F51" s="274"/>
      <c r="G51" s="66"/>
      <c r="H51" s="66"/>
      <c r="I51" s="66"/>
      <c r="J51" s="66"/>
      <c r="K51" s="66"/>
      <c r="L51" s="66"/>
      <c r="M51" s="66"/>
      <c r="N51" s="66"/>
      <c r="O51" s="66"/>
    </row>
    <row r="52" spans="1:15" ht="20.25" x14ac:dyDescent="0.25">
      <c r="A52" s="86"/>
      <c r="B52" s="86"/>
      <c r="C52" s="87"/>
      <c r="D52" s="87"/>
      <c r="E52" s="66"/>
      <c r="F52" s="274"/>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277" t="s">
        <v>492</v>
      </c>
    </row>
    <row r="209" spans="1:8" x14ac:dyDescent="0.25">
      <c r="A209" s="66"/>
      <c r="B209" s="15"/>
      <c r="C209" s="15"/>
      <c r="D209" s="15"/>
      <c r="F209" s="277" t="s">
        <v>613</v>
      </c>
    </row>
    <row r="210" spans="1:8" ht="20.25" x14ac:dyDescent="0.25">
      <c r="A210" s="66"/>
      <c r="B210" s="16" t="s">
        <v>625</v>
      </c>
      <c r="C210" s="16" t="s">
        <v>626</v>
      </c>
      <c r="D210" s="19" t="s">
        <v>625</v>
      </c>
      <c r="E210" s="19" t="s">
        <v>626</v>
      </c>
      <c r="F210" s="277" t="s">
        <v>627</v>
      </c>
    </row>
    <row r="211" spans="1:8" ht="21" x14ac:dyDescent="0.35">
      <c r="A211" s="66"/>
      <c r="B211" s="17" t="s">
        <v>628</v>
      </c>
      <c r="C211" s="114" t="s">
        <v>629</v>
      </c>
      <c r="D211" s="113" t="s">
        <v>628</v>
      </c>
      <c r="F211" s="277" t="str">
        <f>IF(NOT(ISBLANK(D211)),D211,IF(NOT(ISBLANK(E211)),"     "&amp;E211,FALSE))</f>
        <v>Afectación Económica o presupuestal</v>
      </c>
      <c r="G211" t="s">
        <v>628</v>
      </c>
      <c r="H211" t="str">
        <f>IF(NOT(ISERROR(MATCH(G211,_xlfn.ANCHORARRAY(B245),0))),F224&amp;"Por favor no seleccionar los criterios de impacto",G211)</f>
        <v>Afectación Económica o presupuestal</v>
      </c>
    </row>
    <row r="212" spans="1:8" ht="21" x14ac:dyDescent="0.35">
      <c r="A212" s="66"/>
      <c r="B212" s="17" t="s">
        <v>628</v>
      </c>
      <c r="C212" s="114" t="s">
        <v>609</v>
      </c>
      <c r="E212" t="s">
        <v>569</v>
      </c>
      <c r="F212" s="277" t="str">
        <f t="shared" ref="F212:F222" si="0">IF(NOT(ISBLANK(D212)),D212,IF(NOT(ISBLANK(E212)),"     "&amp;E212,FALSE))</f>
        <v xml:space="preserve">     Afectación menor a 130 SMLMV</v>
      </c>
    </row>
    <row r="213" spans="1:8" ht="21" x14ac:dyDescent="0.35">
      <c r="A213" s="66"/>
      <c r="B213" s="17" t="s">
        <v>628</v>
      </c>
      <c r="C213" s="114" t="s">
        <v>611</v>
      </c>
      <c r="E213" t="s">
        <v>630</v>
      </c>
      <c r="F213" s="277" t="str">
        <f t="shared" si="0"/>
        <v xml:space="preserve">     Entre 130 y 650 SMLMV</v>
      </c>
    </row>
    <row r="214" spans="1:8" ht="21" x14ac:dyDescent="0.35">
      <c r="A214" s="66"/>
      <c r="B214" s="17" t="s">
        <v>628</v>
      </c>
      <c r="C214" s="114" t="s">
        <v>614</v>
      </c>
      <c r="E214" t="s">
        <v>631</v>
      </c>
      <c r="F214" s="277" t="str">
        <f t="shared" si="0"/>
        <v xml:space="preserve">     Entre 650 y 1300 SMLMV</v>
      </c>
    </row>
    <row r="215" spans="1:8" ht="21" x14ac:dyDescent="0.35">
      <c r="A215" s="66"/>
      <c r="B215" s="17" t="s">
        <v>628</v>
      </c>
      <c r="C215" s="114" t="s">
        <v>617</v>
      </c>
      <c r="E215" t="s">
        <v>632</v>
      </c>
      <c r="F215" s="277" t="str">
        <f t="shared" si="0"/>
        <v xml:space="preserve">     Entre 1300 y 6500 SMLMV</v>
      </c>
    </row>
    <row r="216" spans="1:8" ht="21" x14ac:dyDescent="0.35">
      <c r="A216" s="66"/>
      <c r="B216" s="17" t="s">
        <v>604</v>
      </c>
      <c r="C216" s="114" t="s">
        <v>566</v>
      </c>
      <c r="E216" t="s">
        <v>565</v>
      </c>
      <c r="F216" s="277" t="str">
        <f t="shared" si="0"/>
        <v xml:space="preserve">     Mayor a 6500 SMLMV</v>
      </c>
    </row>
    <row r="217" spans="1:8" ht="63" x14ac:dyDescent="0.35">
      <c r="A217" s="66"/>
      <c r="B217" s="17" t="s">
        <v>604</v>
      </c>
      <c r="C217" s="114" t="s">
        <v>610</v>
      </c>
      <c r="D217" s="113" t="s">
        <v>604</v>
      </c>
      <c r="F217" s="277" t="str">
        <f t="shared" si="0"/>
        <v>Pérdida Reputacional</v>
      </c>
    </row>
    <row r="218" spans="1:8" ht="42" x14ac:dyDescent="0.35">
      <c r="A218" s="66"/>
      <c r="B218" s="17" t="s">
        <v>604</v>
      </c>
      <c r="C218" s="114" t="s">
        <v>612</v>
      </c>
      <c r="D218" s="113"/>
      <c r="E218" s="115" t="s">
        <v>566</v>
      </c>
      <c r="F218" s="277" t="str">
        <f t="shared" si="0"/>
        <v xml:space="preserve">     El riesgo afecta la imagen de alguna área de la organización</v>
      </c>
    </row>
    <row r="219" spans="1:8" ht="63" x14ac:dyDescent="0.35">
      <c r="A219" s="66"/>
      <c r="B219" s="17" t="s">
        <v>604</v>
      </c>
      <c r="C219" s="114" t="s">
        <v>633</v>
      </c>
      <c r="D219" s="113"/>
      <c r="E219" s="115" t="s">
        <v>610</v>
      </c>
      <c r="F219" s="277" t="str">
        <f t="shared" si="0"/>
        <v xml:space="preserve">     El riesgo afecta la imagen de la entidad internamente, de conocimiento general, nivel interno, de junta dircetiva y accionistas y/o de provedores</v>
      </c>
    </row>
    <row r="220" spans="1:8" ht="45" x14ac:dyDescent="0.35">
      <c r="A220" s="66"/>
      <c r="B220" s="17" t="s">
        <v>604</v>
      </c>
      <c r="C220" s="114" t="s">
        <v>618</v>
      </c>
      <c r="D220" s="113"/>
      <c r="E220" s="115" t="s">
        <v>612</v>
      </c>
      <c r="F220" s="277" t="str">
        <f t="shared" si="0"/>
        <v xml:space="preserve">     El riesgo afecta la imagen de la entidad con algunos usuarios de relevancia frente al logro de los objetivos</v>
      </c>
    </row>
    <row r="221" spans="1:8" ht="45" x14ac:dyDescent="0.25">
      <c r="A221" s="66"/>
      <c r="B221" s="18"/>
      <c r="C221" s="18"/>
      <c r="D221" s="113"/>
      <c r="E221" s="115" t="s">
        <v>633</v>
      </c>
      <c r="F221" s="277" t="str">
        <f t="shared" si="0"/>
        <v xml:space="preserve">     El riesgo afecta la imagen de de la entidad con efecto publicitario sostenido a nivel de sector administrativo, nivel departamental o municipal</v>
      </c>
    </row>
    <row r="222" spans="1:8" ht="58.5" customHeight="1" x14ac:dyDescent="0.25">
      <c r="A222" s="66"/>
      <c r="C222" s="18"/>
      <c r="D222" s="113"/>
      <c r="E222" s="115" t="s">
        <v>618</v>
      </c>
      <c r="F222" s="277" t="str">
        <f t="shared" si="0"/>
        <v xml:space="preserve">     El riesgo afecta la imagen de la entidad a nivel nacional, con efecto publicitarios sostenible a nivel país</v>
      </c>
    </row>
    <row r="223" spans="1:8" x14ac:dyDescent="0.25">
      <c r="A223" s="66"/>
      <c r="C223" s="18"/>
    </row>
    <row r="224" spans="1:8" x14ac:dyDescent="0.25">
      <c r="C224" s="18"/>
      <c r="F224" s="278" t="s">
        <v>634</v>
      </c>
    </row>
    <row r="225" spans="2:6" x14ac:dyDescent="0.25">
      <c r="B225" s="14"/>
      <c r="C225" s="14"/>
      <c r="F225" s="278" t="s">
        <v>635</v>
      </c>
    </row>
    <row r="226" spans="2:6" x14ac:dyDescent="0.25">
      <c r="B226" s="14"/>
      <c r="C226" s="14"/>
    </row>
    <row r="227" spans="2:6" x14ac:dyDescent="0.25">
      <c r="B227" s="14"/>
      <c r="C227" s="14"/>
    </row>
    <row r="228" spans="2:6" x14ac:dyDescent="0.25">
      <c r="B228" s="14"/>
      <c r="C228" s="14"/>
      <c r="D228" s="14"/>
      <c r="F228" s="272" t="s">
        <v>628</v>
      </c>
    </row>
    <row r="229" spans="2:6" ht="18" x14ac:dyDescent="0.25">
      <c r="B229" s="14"/>
      <c r="C229" s="14"/>
      <c r="D229" s="14"/>
      <c r="E229" s="265" t="s">
        <v>577</v>
      </c>
      <c r="F229" s="277" t="s">
        <v>570</v>
      </c>
    </row>
    <row r="230" spans="2:6" ht="18" x14ac:dyDescent="0.25">
      <c r="B230" s="14"/>
      <c r="C230" s="14"/>
      <c r="D230" s="14"/>
      <c r="E230" s="266" t="s">
        <v>582</v>
      </c>
      <c r="F230" s="277" t="s">
        <v>507</v>
      </c>
    </row>
    <row r="231" spans="2:6" ht="18" x14ac:dyDescent="0.25">
      <c r="B231" s="14"/>
      <c r="C231" s="14"/>
      <c r="D231" s="14"/>
      <c r="E231" s="267" t="s">
        <v>587</v>
      </c>
      <c r="F231" s="277" t="s">
        <v>504</v>
      </c>
    </row>
    <row r="232" spans="2:6" ht="18" x14ac:dyDescent="0.25">
      <c r="B232" s="14"/>
      <c r="C232" s="14"/>
      <c r="D232" s="14"/>
      <c r="E232" s="268" t="s">
        <v>592</v>
      </c>
      <c r="F232" s="277" t="s">
        <v>623</v>
      </c>
    </row>
    <row r="233" spans="2:6" ht="18" x14ac:dyDescent="0.25">
      <c r="B233" s="14"/>
      <c r="C233" s="14"/>
      <c r="D233" s="14"/>
      <c r="E233" s="269" t="s">
        <v>597</v>
      </c>
      <c r="F233" s="277" t="s">
        <v>624</v>
      </c>
    </row>
    <row r="234" spans="2:6" x14ac:dyDescent="0.25">
      <c r="F234" s="272" t="s">
        <v>604</v>
      </c>
    </row>
    <row r="235" spans="2:6" ht="30" x14ac:dyDescent="0.25">
      <c r="F235" s="279" t="s">
        <v>476</v>
      </c>
    </row>
    <row r="236" spans="2:6" ht="30" x14ac:dyDescent="0.25">
      <c r="F236" s="279" t="s">
        <v>512</v>
      </c>
    </row>
    <row r="237" spans="2:6" x14ac:dyDescent="0.25">
      <c r="F237" s="279" t="s">
        <v>543</v>
      </c>
    </row>
    <row r="240" spans="2:6" x14ac:dyDescent="0.25">
      <c r="F240" s="280" t="s">
        <v>573</v>
      </c>
    </row>
    <row r="241" spans="2:11" ht="18" x14ac:dyDescent="0.25">
      <c r="F241" s="281" t="s">
        <v>578</v>
      </c>
      <c r="G241" s="265" t="s">
        <v>636</v>
      </c>
      <c r="K241" s="265" t="s">
        <v>577</v>
      </c>
    </row>
    <row r="242" spans="2:11" ht="25.5" x14ac:dyDescent="0.25">
      <c r="F242" s="281" t="s">
        <v>583</v>
      </c>
      <c r="G242" s="266" t="s">
        <v>608</v>
      </c>
      <c r="K242" s="266" t="s">
        <v>582</v>
      </c>
    </row>
    <row r="243" spans="2:11" ht="18" x14ac:dyDescent="0.25">
      <c r="F243" s="281" t="s">
        <v>588</v>
      </c>
      <c r="G243" s="267" t="s">
        <v>492</v>
      </c>
      <c r="K243" s="267" t="s">
        <v>587</v>
      </c>
    </row>
    <row r="244" spans="2:11" ht="18" x14ac:dyDescent="0.25">
      <c r="F244" s="281" t="s">
        <v>593</v>
      </c>
      <c r="G244" s="268" t="s">
        <v>613</v>
      </c>
      <c r="K244" s="268" t="s">
        <v>592</v>
      </c>
    </row>
    <row r="245" spans="2:11" ht="18" x14ac:dyDescent="0.25">
      <c r="F245" s="281" t="s">
        <v>598</v>
      </c>
      <c r="G245" s="269" t="s">
        <v>616</v>
      </c>
      <c r="K245" s="269" t="s">
        <v>597</v>
      </c>
    </row>
    <row r="246" spans="2:11" x14ac:dyDescent="0.25">
      <c r="B246" t="s">
        <v>573</v>
      </c>
      <c r="F246" s="282" t="s">
        <v>574</v>
      </c>
    </row>
    <row r="247" spans="2:11" ht="18" x14ac:dyDescent="0.25">
      <c r="B247" t="s">
        <v>574</v>
      </c>
      <c r="F247" s="283" t="s">
        <v>579</v>
      </c>
      <c r="G247" s="265" t="s">
        <v>636</v>
      </c>
      <c r="K247" s="265" t="s">
        <v>577</v>
      </c>
    </row>
    <row r="248" spans="2:11" ht="18" x14ac:dyDescent="0.25">
      <c r="B248" t="s">
        <v>575</v>
      </c>
      <c r="F248" s="283" t="s">
        <v>584</v>
      </c>
      <c r="G248" s="266" t="s">
        <v>608</v>
      </c>
      <c r="K248" s="266" t="s">
        <v>582</v>
      </c>
    </row>
    <row r="249" spans="2:11" ht="18" x14ac:dyDescent="0.25">
      <c r="B249" t="s">
        <v>576</v>
      </c>
      <c r="F249" s="283" t="s">
        <v>589</v>
      </c>
      <c r="G249" s="267" t="s">
        <v>492</v>
      </c>
      <c r="K249" s="267" t="s">
        <v>587</v>
      </c>
    </row>
    <row r="250" spans="2:11" ht="18" x14ac:dyDescent="0.25">
      <c r="F250" s="283" t="s">
        <v>594</v>
      </c>
      <c r="G250" s="268" t="s">
        <v>613</v>
      </c>
      <c r="K250" s="268" t="s">
        <v>592</v>
      </c>
    </row>
    <row r="251" spans="2:11" ht="18" x14ac:dyDescent="0.25">
      <c r="F251" s="283" t="s">
        <v>599</v>
      </c>
      <c r="G251" s="269" t="s">
        <v>616</v>
      </c>
      <c r="K251" s="269" t="s">
        <v>597</v>
      </c>
    </row>
    <row r="252" spans="2:11" x14ac:dyDescent="0.25">
      <c r="F252" s="284" t="s">
        <v>575</v>
      </c>
    </row>
    <row r="253" spans="2:11" ht="18" x14ac:dyDescent="0.25">
      <c r="F253" s="285" t="s">
        <v>580</v>
      </c>
      <c r="G253" s="265" t="s">
        <v>636</v>
      </c>
      <c r="K253" s="265" t="s">
        <v>577</v>
      </c>
    </row>
    <row r="254" spans="2:11" ht="18" x14ac:dyDescent="0.25">
      <c r="F254" s="285" t="s">
        <v>585</v>
      </c>
      <c r="G254" s="266" t="s">
        <v>608</v>
      </c>
      <c r="K254" s="266" t="s">
        <v>582</v>
      </c>
    </row>
    <row r="255" spans="2:11" ht="18" x14ac:dyDescent="0.25">
      <c r="F255" s="285" t="s">
        <v>590</v>
      </c>
      <c r="G255" s="267" t="s">
        <v>492</v>
      </c>
      <c r="K255" s="267" t="s">
        <v>587</v>
      </c>
    </row>
    <row r="256" spans="2:11" ht="18" x14ac:dyDescent="0.25">
      <c r="F256" s="285" t="s">
        <v>595</v>
      </c>
      <c r="G256" s="268" t="s">
        <v>613</v>
      </c>
      <c r="K256" s="268" t="s">
        <v>592</v>
      </c>
    </row>
    <row r="257" spans="6:11" ht="18" x14ac:dyDescent="0.25">
      <c r="F257" s="285" t="s">
        <v>600</v>
      </c>
      <c r="G257" s="269" t="s">
        <v>616</v>
      </c>
      <c r="K257" s="269" t="s">
        <v>597</v>
      </c>
    </row>
    <row r="258" spans="6:11" x14ac:dyDescent="0.25">
      <c r="F258" s="284" t="s">
        <v>576</v>
      </c>
    </row>
    <row r="259" spans="6:11" ht="18" x14ac:dyDescent="0.25">
      <c r="F259" s="286" t="s">
        <v>581</v>
      </c>
      <c r="G259" s="265" t="s">
        <v>636</v>
      </c>
      <c r="K259" s="265" t="s">
        <v>577</v>
      </c>
    </row>
    <row r="260" spans="6:11" ht="18" x14ac:dyDescent="0.25">
      <c r="F260" s="286" t="s">
        <v>586</v>
      </c>
      <c r="G260" s="266" t="s">
        <v>608</v>
      </c>
      <c r="K260" s="266" t="s">
        <v>582</v>
      </c>
    </row>
    <row r="261" spans="6:11" ht="18" x14ac:dyDescent="0.25">
      <c r="F261" s="286" t="s">
        <v>591</v>
      </c>
      <c r="G261" s="267" t="s">
        <v>492</v>
      </c>
      <c r="K261" s="267" t="s">
        <v>587</v>
      </c>
    </row>
    <row r="262" spans="6:11" ht="18" x14ac:dyDescent="0.25">
      <c r="F262" s="286" t="s">
        <v>596</v>
      </c>
      <c r="G262" s="268" t="s">
        <v>613</v>
      </c>
      <c r="K262" s="268" t="s">
        <v>592</v>
      </c>
    </row>
    <row r="263" spans="6:11" ht="18" x14ac:dyDescent="0.25">
      <c r="F263" s="286" t="s">
        <v>601</v>
      </c>
      <c r="G263" s="269" t="s">
        <v>616</v>
      </c>
      <c r="K263" s="269" t="s">
        <v>597</v>
      </c>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785" t="s">
        <v>637</v>
      </c>
      <c r="C1" s="785"/>
      <c r="D1" s="78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638</v>
      </c>
      <c r="D3" s="4" t="s">
        <v>486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639</v>
      </c>
      <c r="C4" s="6" t="s">
        <v>640</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641</v>
      </c>
      <c r="C5" s="9" t="s">
        <v>642</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643</v>
      </c>
      <c r="C6" s="9" t="s">
        <v>644</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645</v>
      </c>
      <c r="C7" s="9" t="s">
        <v>646</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647</v>
      </c>
      <c r="C8" s="9" t="s">
        <v>648</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X19"/>
  <sheetViews>
    <sheetView zoomScaleNormal="100" workbookViewId="0">
      <pane xSplit="4" ySplit="2" topLeftCell="E3" activePane="bottomRight" state="frozen"/>
      <selection pane="topRight" activeCell="E1" sqref="E1"/>
      <selection pane="bottomLeft" activeCell="A3" sqref="A3"/>
      <selection pane="bottomRight" activeCell="I18" sqref="I18"/>
    </sheetView>
  </sheetViews>
  <sheetFormatPr baseColWidth="10" defaultColWidth="11.42578125" defaultRowHeight="14.25" x14ac:dyDescent="0.2"/>
  <cols>
    <col min="1" max="1" width="11.42578125" style="256"/>
    <col min="2" max="2" width="18" style="257" customWidth="1"/>
    <col min="3" max="3" width="17.85546875" style="257" customWidth="1"/>
    <col min="4" max="4" width="46.85546875" style="257" customWidth="1"/>
    <col min="5" max="49" width="11.42578125" style="256"/>
    <col min="50" max="50" width="15.42578125" style="256" customWidth="1"/>
    <col min="51" max="16384" width="11.42578125" style="256"/>
  </cols>
  <sheetData>
    <row r="3" spans="2:50" ht="17.25" customHeight="1" x14ac:dyDescent="0.2">
      <c r="B3" s="260" t="s">
        <v>649</v>
      </c>
      <c r="C3" s="260" t="s">
        <v>650</v>
      </c>
      <c r="D3" s="260" t="s">
        <v>651</v>
      </c>
      <c r="AX3" s="256" t="s">
        <v>652</v>
      </c>
    </row>
    <row r="4" spans="2:50" ht="36" x14ac:dyDescent="0.2">
      <c r="B4" s="261" t="s">
        <v>653</v>
      </c>
      <c r="C4" s="261" t="s">
        <v>654</v>
      </c>
      <c r="D4" s="259" t="s">
        <v>655</v>
      </c>
      <c r="AX4" s="256" t="s">
        <v>165</v>
      </c>
    </row>
    <row r="5" spans="2:50" ht="30" customHeight="1" x14ac:dyDescent="0.2">
      <c r="B5" s="261" t="s">
        <v>653</v>
      </c>
      <c r="C5" s="261" t="s">
        <v>656</v>
      </c>
      <c r="D5" s="259" t="s">
        <v>657</v>
      </c>
      <c r="AX5" s="256" t="s">
        <v>658</v>
      </c>
    </row>
    <row r="6" spans="2:50" ht="36" x14ac:dyDescent="0.2">
      <c r="B6" s="261" t="s">
        <v>653</v>
      </c>
      <c r="C6" s="261" t="s">
        <v>659</v>
      </c>
      <c r="D6" s="259" t="s">
        <v>660</v>
      </c>
    </row>
    <row r="7" spans="2:50" ht="36" x14ac:dyDescent="0.2">
      <c r="B7" s="261" t="s">
        <v>653</v>
      </c>
      <c r="C7" s="261" t="s">
        <v>661</v>
      </c>
      <c r="D7" s="259" t="s">
        <v>662</v>
      </c>
    </row>
    <row r="8" spans="2:50" ht="36" x14ac:dyDescent="0.2">
      <c r="B8" s="261" t="s">
        <v>653</v>
      </c>
      <c r="C8" s="261" t="s">
        <v>663</v>
      </c>
      <c r="D8" s="259" t="s">
        <v>664</v>
      </c>
    </row>
    <row r="9" spans="2:50" ht="36" x14ac:dyDescent="0.2">
      <c r="B9" s="261" t="s">
        <v>653</v>
      </c>
      <c r="C9" s="261" t="s">
        <v>163</v>
      </c>
      <c r="D9" s="259" t="s">
        <v>665</v>
      </c>
    </row>
    <row r="10" spans="2:50" ht="36" x14ac:dyDescent="0.2">
      <c r="B10" s="258" t="s">
        <v>165</v>
      </c>
      <c r="C10" s="258" t="s">
        <v>666</v>
      </c>
      <c r="D10" s="259" t="s">
        <v>667</v>
      </c>
    </row>
    <row r="11" spans="2:50" ht="96" x14ac:dyDescent="0.2">
      <c r="B11" s="258" t="s">
        <v>165</v>
      </c>
      <c r="C11" s="258" t="s">
        <v>668</v>
      </c>
      <c r="D11" s="259" t="s">
        <v>669</v>
      </c>
    </row>
    <row r="12" spans="2:50" ht="48" x14ac:dyDescent="0.2">
      <c r="B12" s="258" t="s">
        <v>165</v>
      </c>
      <c r="C12" s="258" t="s">
        <v>168</v>
      </c>
      <c r="D12" s="259" t="s">
        <v>670</v>
      </c>
    </row>
    <row r="13" spans="2:50" ht="60" x14ac:dyDescent="0.2">
      <c r="B13" s="258" t="s">
        <v>173</v>
      </c>
      <c r="C13" s="258" t="s">
        <v>174</v>
      </c>
      <c r="D13" s="259" t="s">
        <v>671</v>
      </c>
    </row>
    <row r="14" spans="2:50" ht="72" x14ac:dyDescent="0.2">
      <c r="B14" s="258" t="s">
        <v>173</v>
      </c>
      <c r="C14" s="258" t="s">
        <v>672</v>
      </c>
      <c r="D14" s="259" t="s">
        <v>673</v>
      </c>
    </row>
    <row r="15" spans="2:50" ht="48" x14ac:dyDescent="0.2">
      <c r="B15" s="258" t="s">
        <v>173</v>
      </c>
      <c r="C15" s="258" t="s">
        <v>674</v>
      </c>
      <c r="D15" s="259" t="s">
        <v>675</v>
      </c>
    </row>
    <row r="16" spans="2:50" ht="60" x14ac:dyDescent="0.2">
      <c r="B16" s="258" t="s">
        <v>173</v>
      </c>
      <c r="C16" s="258" t="s">
        <v>676</v>
      </c>
      <c r="D16" s="259" t="s">
        <v>677</v>
      </c>
    </row>
    <row r="17" spans="2:4" ht="36" x14ac:dyDescent="0.2">
      <c r="B17" s="258" t="s">
        <v>658</v>
      </c>
      <c r="C17" s="258" t="s">
        <v>678</v>
      </c>
      <c r="D17" s="259" t="s">
        <v>679</v>
      </c>
    </row>
    <row r="18" spans="2:4" ht="36" x14ac:dyDescent="0.2">
      <c r="B18" s="258" t="s">
        <v>658</v>
      </c>
      <c r="C18" s="258" t="s">
        <v>680</v>
      </c>
      <c r="D18" s="259" t="s">
        <v>681</v>
      </c>
    </row>
    <row r="19" spans="2:4" ht="60" x14ac:dyDescent="0.2">
      <c r="B19" s="258" t="s">
        <v>658</v>
      </c>
      <c r="C19" s="258" t="s">
        <v>682</v>
      </c>
      <c r="D19" s="259" t="s">
        <v>683</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C1:F48"/>
  <sheetViews>
    <sheetView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65" t="s">
        <v>684</v>
      </c>
    </row>
    <row r="2" spans="3:6" ht="15.75" thickBot="1" x14ac:dyDescent="0.3">
      <c r="C2" s="163" t="s">
        <v>685</v>
      </c>
      <c r="E2" s="166" t="s">
        <v>182</v>
      </c>
      <c r="F2" s="167" t="s">
        <v>183</v>
      </c>
    </row>
    <row r="3" spans="3:6" ht="15.75" thickBot="1" x14ac:dyDescent="0.3">
      <c r="C3" s="163" t="s">
        <v>564</v>
      </c>
      <c r="E3" s="461" t="s">
        <v>181</v>
      </c>
      <c r="F3" s="154" t="s">
        <v>185</v>
      </c>
    </row>
    <row r="4" spans="3:6" ht="15.75" thickBot="1" x14ac:dyDescent="0.3">
      <c r="C4" s="163" t="s">
        <v>686</v>
      </c>
      <c r="E4" s="459"/>
      <c r="F4" s="154" t="s">
        <v>187</v>
      </c>
    </row>
    <row r="5" spans="3:6" ht="15.75" thickBot="1" x14ac:dyDescent="0.3">
      <c r="C5" s="163" t="s">
        <v>687</v>
      </c>
      <c r="E5" s="459"/>
      <c r="F5" s="154" t="s">
        <v>189</v>
      </c>
    </row>
    <row r="6" spans="3:6" ht="15.75" thickBot="1" x14ac:dyDescent="0.3">
      <c r="C6" s="163" t="s">
        <v>688</v>
      </c>
      <c r="E6" s="459"/>
      <c r="F6" s="154" t="s">
        <v>191</v>
      </c>
    </row>
    <row r="7" spans="3:6" ht="15.75" thickBot="1" x14ac:dyDescent="0.3">
      <c r="C7" s="164" t="s">
        <v>689</v>
      </c>
      <c r="E7" s="459"/>
      <c r="F7" s="154" t="s">
        <v>192</v>
      </c>
    </row>
    <row r="8" spans="3:6" ht="15.75" thickBot="1" x14ac:dyDescent="0.3">
      <c r="C8" s="163" t="s">
        <v>568</v>
      </c>
      <c r="E8" s="460"/>
      <c r="F8" s="154" t="s">
        <v>193</v>
      </c>
    </row>
    <row r="9" spans="3:6" ht="15.75" thickBot="1" x14ac:dyDescent="0.3">
      <c r="C9" s="163" t="s">
        <v>690</v>
      </c>
      <c r="E9" s="458" t="s">
        <v>190</v>
      </c>
      <c r="F9" s="154" t="s">
        <v>194</v>
      </c>
    </row>
    <row r="10" spans="3:6" ht="15.75" thickBot="1" x14ac:dyDescent="0.3">
      <c r="C10" s="162" t="s">
        <v>691</v>
      </c>
      <c r="E10" s="459"/>
      <c r="F10" s="154" t="s">
        <v>195</v>
      </c>
    </row>
    <row r="11" spans="3:6" ht="15.75" thickBot="1" x14ac:dyDescent="0.3">
      <c r="C11" s="232" t="s">
        <v>692</v>
      </c>
      <c r="E11" s="459"/>
      <c r="F11" s="154" t="s">
        <v>196</v>
      </c>
    </row>
    <row r="12" spans="3:6" ht="15.75" thickBot="1" x14ac:dyDescent="0.3">
      <c r="E12" s="459"/>
      <c r="F12" s="154" t="s">
        <v>197</v>
      </c>
    </row>
    <row r="13" spans="3:6" ht="15.75" thickBot="1" x14ac:dyDescent="0.3">
      <c r="E13" s="460"/>
      <c r="F13" s="154" t="s">
        <v>198</v>
      </c>
    </row>
    <row r="14" spans="3:6" ht="24.75" thickBot="1" x14ac:dyDescent="0.3">
      <c r="E14" s="458" t="s">
        <v>186</v>
      </c>
      <c r="F14" s="154" t="s">
        <v>199</v>
      </c>
    </row>
    <row r="15" spans="3:6" ht="15.75" thickBot="1" x14ac:dyDescent="0.3">
      <c r="E15" s="459"/>
      <c r="F15" s="154" t="s">
        <v>200</v>
      </c>
    </row>
    <row r="16" spans="3:6" ht="15.75" thickBot="1" x14ac:dyDescent="0.3">
      <c r="E16" s="460"/>
      <c r="F16" s="154" t="s">
        <v>201</v>
      </c>
    </row>
    <row r="17" spans="5:6" ht="15.75" thickBot="1" x14ac:dyDescent="0.3">
      <c r="E17" s="458" t="s">
        <v>188</v>
      </c>
      <c r="F17" s="154" t="s">
        <v>202</v>
      </c>
    </row>
    <row r="18" spans="5:6" ht="15.75" thickBot="1" x14ac:dyDescent="0.3">
      <c r="E18" s="459"/>
      <c r="F18" s="154" t="s">
        <v>203</v>
      </c>
    </row>
    <row r="19" spans="5:6" ht="15.75" thickBot="1" x14ac:dyDescent="0.3">
      <c r="E19" s="460"/>
      <c r="F19" s="154" t="s">
        <v>204</v>
      </c>
    </row>
    <row r="20" spans="5:6" ht="24.75" thickBot="1" x14ac:dyDescent="0.3">
      <c r="E20" s="458" t="s">
        <v>179</v>
      </c>
      <c r="F20" s="154" t="s">
        <v>205</v>
      </c>
    </row>
    <row r="21" spans="5:6" ht="15.75" thickBot="1" x14ac:dyDescent="0.3">
      <c r="E21" s="459"/>
      <c r="F21" s="154" t="s">
        <v>206</v>
      </c>
    </row>
    <row r="22" spans="5:6" ht="15.75" thickBot="1" x14ac:dyDescent="0.3">
      <c r="E22" s="459"/>
      <c r="F22" s="154" t="s">
        <v>207</v>
      </c>
    </row>
    <row r="23" spans="5:6" ht="15.75" thickBot="1" x14ac:dyDescent="0.3">
      <c r="E23" s="459"/>
      <c r="F23" s="154" t="s">
        <v>208</v>
      </c>
    </row>
    <row r="24" spans="5:6" ht="15.75" thickBot="1" x14ac:dyDescent="0.3">
      <c r="E24" s="459"/>
      <c r="F24" s="154" t="s">
        <v>209</v>
      </c>
    </row>
    <row r="25" spans="5:6" ht="24.75" thickBot="1" x14ac:dyDescent="0.3">
      <c r="E25" s="459"/>
      <c r="F25" s="154" t="s">
        <v>210</v>
      </c>
    </row>
    <row r="26" spans="5:6" ht="15.75" thickBot="1" x14ac:dyDescent="0.3">
      <c r="E26" s="459"/>
      <c r="F26" s="154" t="s">
        <v>211</v>
      </c>
    </row>
    <row r="27" spans="5:6" ht="24.75" thickBot="1" x14ac:dyDescent="0.3">
      <c r="E27" s="459"/>
      <c r="F27" s="154" t="s">
        <v>212</v>
      </c>
    </row>
    <row r="28" spans="5:6" ht="15.75" thickBot="1" x14ac:dyDescent="0.3">
      <c r="E28" s="459"/>
      <c r="F28" s="154" t="s">
        <v>213</v>
      </c>
    </row>
    <row r="29" spans="5:6" ht="15.75" thickBot="1" x14ac:dyDescent="0.3">
      <c r="E29" s="459"/>
      <c r="F29" s="154" t="s">
        <v>214</v>
      </c>
    </row>
    <row r="30" spans="5:6" ht="15.75" thickBot="1" x14ac:dyDescent="0.3">
      <c r="E30" s="460"/>
      <c r="F30" s="154" t="s">
        <v>215</v>
      </c>
    </row>
    <row r="31" spans="5:6" ht="15.75" thickBot="1" x14ac:dyDescent="0.3">
      <c r="E31" s="458" t="s">
        <v>184</v>
      </c>
      <c r="F31" s="154" t="s">
        <v>216</v>
      </c>
    </row>
    <row r="32" spans="5:6" ht="15.75" thickBot="1" x14ac:dyDescent="0.3">
      <c r="E32" s="459"/>
      <c r="F32" s="154" t="s">
        <v>217</v>
      </c>
    </row>
    <row r="33" spans="5:6" ht="15.75" thickBot="1" x14ac:dyDescent="0.3">
      <c r="E33" s="459"/>
      <c r="F33" s="154" t="s">
        <v>218</v>
      </c>
    </row>
    <row r="34" spans="5:6" ht="15.75" thickBot="1" x14ac:dyDescent="0.3">
      <c r="E34" s="459"/>
      <c r="F34" s="154" t="s">
        <v>219</v>
      </c>
    </row>
    <row r="35" spans="5:6" ht="24.75" thickBot="1" x14ac:dyDescent="0.3">
      <c r="E35" s="460"/>
      <c r="F35" s="154" t="s">
        <v>220</v>
      </c>
    </row>
    <row r="36" spans="5:6" ht="15.75" thickBot="1" x14ac:dyDescent="0.3">
      <c r="E36" s="458" t="s">
        <v>178</v>
      </c>
      <c r="F36" s="154" t="s">
        <v>221</v>
      </c>
    </row>
    <row r="37" spans="5:6" ht="15.75" thickBot="1" x14ac:dyDescent="0.3">
      <c r="E37" s="459"/>
      <c r="F37" s="154" t="s">
        <v>222</v>
      </c>
    </row>
    <row r="38" spans="5:6" ht="15.75" thickBot="1" x14ac:dyDescent="0.3">
      <c r="E38" s="459"/>
      <c r="F38" s="154" t="s">
        <v>223</v>
      </c>
    </row>
    <row r="39" spans="5:6" ht="15.75" thickBot="1" x14ac:dyDescent="0.3">
      <c r="E39" s="459"/>
      <c r="F39" s="154" t="s">
        <v>224</v>
      </c>
    </row>
    <row r="40" spans="5:6" ht="15.75" thickBot="1" x14ac:dyDescent="0.3">
      <c r="E40" s="460"/>
      <c r="F40" s="154" t="s">
        <v>225</v>
      </c>
    </row>
    <row r="41" spans="5:6" ht="15.75" thickBot="1" x14ac:dyDescent="0.3">
      <c r="E41" s="458" t="s">
        <v>180</v>
      </c>
      <c r="F41" s="154" t="s">
        <v>226</v>
      </c>
    </row>
    <row r="42" spans="5:6" ht="15.75" thickBot="1" x14ac:dyDescent="0.3">
      <c r="E42" s="459"/>
      <c r="F42" s="154" t="s">
        <v>227</v>
      </c>
    </row>
    <row r="43" spans="5:6" ht="15.75" thickBot="1" x14ac:dyDescent="0.3">
      <c r="E43" s="459"/>
      <c r="F43" s="154" t="s">
        <v>228</v>
      </c>
    </row>
    <row r="44" spans="5:6" ht="15.75" thickBot="1" x14ac:dyDescent="0.3">
      <c r="E44" s="459"/>
      <c r="F44" s="154" t="s">
        <v>229</v>
      </c>
    </row>
    <row r="45" spans="5:6" ht="24.75" thickBot="1" x14ac:dyDescent="0.3">
      <c r="E45" s="460"/>
      <c r="F45" s="154" t="s">
        <v>231</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topLeftCell="A8"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786" t="s">
        <v>693</v>
      </c>
      <c r="C1" s="787"/>
      <c r="D1" s="787"/>
      <c r="E1" s="787"/>
      <c r="F1" s="788"/>
    </row>
    <row r="2" spans="2:6" ht="16.5" thickBot="1" x14ac:dyDescent="0.3">
      <c r="B2" s="72"/>
      <c r="C2" s="72"/>
      <c r="D2" s="72"/>
      <c r="E2" s="72"/>
      <c r="F2" s="72"/>
    </row>
    <row r="3" spans="2:6" ht="16.5" thickBot="1" x14ac:dyDescent="0.25">
      <c r="B3" s="790" t="s">
        <v>694</v>
      </c>
      <c r="C3" s="791"/>
      <c r="D3" s="791"/>
      <c r="E3" s="84" t="s">
        <v>695</v>
      </c>
      <c r="F3" s="85" t="s">
        <v>696</v>
      </c>
    </row>
    <row r="4" spans="2:6" ht="31.5" x14ac:dyDescent="0.2">
      <c r="B4" s="792" t="s">
        <v>697</v>
      </c>
      <c r="C4" s="794" t="s">
        <v>469</v>
      </c>
      <c r="D4" s="73" t="s">
        <v>477</v>
      </c>
      <c r="E4" s="74" t="s">
        <v>698</v>
      </c>
      <c r="F4" s="75">
        <v>0.25</v>
      </c>
    </row>
    <row r="5" spans="2:6" ht="47.25" x14ac:dyDescent="0.2">
      <c r="B5" s="793"/>
      <c r="C5" s="795"/>
      <c r="D5" s="76" t="s">
        <v>482</v>
      </c>
      <c r="E5" s="77" t="s">
        <v>699</v>
      </c>
      <c r="F5" s="78">
        <v>0.15</v>
      </c>
    </row>
    <row r="6" spans="2:6" ht="47.25" x14ac:dyDescent="0.2">
      <c r="B6" s="793"/>
      <c r="C6" s="795"/>
      <c r="D6" s="76" t="s">
        <v>567</v>
      </c>
      <c r="E6" s="77" t="s">
        <v>700</v>
      </c>
      <c r="F6" s="78">
        <v>0.1</v>
      </c>
    </row>
    <row r="7" spans="2:6" ht="63" x14ac:dyDescent="0.2">
      <c r="B7" s="793"/>
      <c r="C7" s="795" t="s">
        <v>470</v>
      </c>
      <c r="D7" s="76" t="s">
        <v>505</v>
      </c>
      <c r="E7" s="77" t="s">
        <v>701</v>
      </c>
      <c r="F7" s="78">
        <v>0.25</v>
      </c>
    </row>
    <row r="8" spans="2:6" ht="31.5" x14ac:dyDescent="0.2">
      <c r="B8" s="793"/>
      <c r="C8" s="795"/>
      <c r="D8" s="76" t="s">
        <v>478</v>
      </c>
      <c r="E8" s="77" t="s">
        <v>702</v>
      </c>
      <c r="F8" s="78">
        <v>0.15</v>
      </c>
    </row>
    <row r="9" spans="2:6" ht="47.25" x14ac:dyDescent="0.2">
      <c r="B9" s="793" t="s">
        <v>703</v>
      </c>
      <c r="C9" s="795" t="s">
        <v>472</v>
      </c>
      <c r="D9" s="76" t="s">
        <v>479</v>
      </c>
      <c r="E9" s="77" t="s">
        <v>704</v>
      </c>
      <c r="F9" s="79" t="s">
        <v>705</v>
      </c>
    </row>
    <row r="10" spans="2:6" ht="63" x14ac:dyDescent="0.2">
      <c r="B10" s="793"/>
      <c r="C10" s="795"/>
      <c r="D10" s="76" t="s">
        <v>506</v>
      </c>
      <c r="E10" s="77" t="s">
        <v>706</v>
      </c>
      <c r="F10" s="79" t="s">
        <v>705</v>
      </c>
    </row>
    <row r="11" spans="2:6" ht="47.25" x14ac:dyDescent="0.2">
      <c r="B11" s="793"/>
      <c r="C11" s="795" t="s">
        <v>473</v>
      </c>
      <c r="D11" s="76" t="s">
        <v>480</v>
      </c>
      <c r="E11" s="77" t="s">
        <v>707</v>
      </c>
      <c r="F11" s="79" t="s">
        <v>705</v>
      </c>
    </row>
    <row r="12" spans="2:6" ht="47.25" x14ac:dyDescent="0.2">
      <c r="B12" s="793"/>
      <c r="C12" s="795"/>
      <c r="D12" s="76" t="s">
        <v>483</v>
      </c>
      <c r="E12" s="77" t="s">
        <v>708</v>
      </c>
      <c r="F12" s="79" t="s">
        <v>705</v>
      </c>
    </row>
    <row r="13" spans="2:6" ht="31.5" x14ac:dyDescent="0.2">
      <c r="B13" s="793"/>
      <c r="C13" s="795" t="s">
        <v>474</v>
      </c>
      <c r="D13" s="76" t="s">
        <v>484</v>
      </c>
      <c r="E13" s="77" t="s">
        <v>709</v>
      </c>
      <c r="F13" s="79" t="s">
        <v>705</v>
      </c>
    </row>
    <row r="14" spans="2:6" ht="32.25" thickBot="1" x14ac:dyDescent="0.25">
      <c r="B14" s="796"/>
      <c r="C14" s="797"/>
      <c r="D14" s="80" t="s">
        <v>481</v>
      </c>
      <c r="E14" s="81" t="s">
        <v>710</v>
      </c>
      <c r="F14" s="82" t="s">
        <v>705</v>
      </c>
    </row>
    <row r="15" spans="2:6" ht="49.5" customHeight="1" x14ac:dyDescent="0.2">
      <c r="B15" s="789" t="s">
        <v>711</v>
      </c>
      <c r="C15" s="789"/>
      <c r="D15" s="789"/>
      <c r="E15" s="789"/>
      <c r="F15" s="789"/>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477</v>
      </c>
    </row>
    <row r="4" spans="1:1" x14ac:dyDescent="0.2">
      <c r="A4" s="2" t="s">
        <v>482</v>
      </c>
    </row>
    <row r="5" spans="1:1" x14ac:dyDescent="0.2">
      <c r="A5" s="2" t="s">
        <v>567</v>
      </c>
    </row>
    <row r="6" spans="1:1" x14ac:dyDescent="0.2">
      <c r="A6" s="2" t="s">
        <v>505</v>
      </c>
    </row>
    <row r="7" spans="1:1" x14ac:dyDescent="0.2">
      <c r="A7" s="2" t="s">
        <v>478</v>
      </c>
    </row>
    <row r="8" spans="1:1" x14ac:dyDescent="0.2">
      <c r="A8" s="2" t="s">
        <v>479</v>
      </c>
    </row>
    <row r="9" spans="1:1" x14ac:dyDescent="0.2">
      <c r="A9" s="2" t="s">
        <v>506</v>
      </c>
    </row>
    <row r="10" spans="1:1" x14ac:dyDescent="0.2">
      <c r="A10" s="2" t="s">
        <v>480</v>
      </c>
    </row>
    <row r="11" spans="1:1" x14ac:dyDescent="0.2">
      <c r="A11" s="2" t="s">
        <v>483</v>
      </c>
    </row>
    <row r="12" spans="1:1" x14ac:dyDescent="0.2">
      <c r="A12" s="2" t="s">
        <v>712</v>
      </c>
    </row>
    <row r="13" spans="1:1" x14ac:dyDescent="0.2">
      <c r="A13" s="2" t="s">
        <v>713</v>
      </c>
    </row>
    <row r="14" spans="1:1" x14ac:dyDescent="0.2">
      <c r="A14" s="2" t="s">
        <v>714</v>
      </c>
    </row>
    <row r="16" spans="1:1" x14ac:dyDescent="0.2">
      <c r="A16" s="2" t="s">
        <v>715</v>
      </c>
    </row>
    <row r="17" spans="1:1" x14ac:dyDescent="0.2">
      <c r="A17" s="2" t="s">
        <v>118</v>
      </c>
    </row>
    <row r="18" spans="1:1" x14ac:dyDescent="0.2">
      <c r="A18" s="2" t="s">
        <v>122</v>
      </c>
    </row>
    <row r="20" spans="1:1" x14ac:dyDescent="0.2">
      <c r="A20" s="2" t="s">
        <v>144</v>
      </c>
    </row>
    <row r="21" spans="1:1" x14ac:dyDescent="0.2">
      <c r="A21" s="2" t="s">
        <v>147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6" customWidth="1"/>
    <col min="2" max="2" width="7.42578125" style="117" customWidth="1"/>
    <col min="3" max="3" width="36.85546875" style="118" customWidth="1"/>
    <col min="4" max="4" width="150" style="144" customWidth="1"/>
    <col min="5" max="5" width="168" style="118" customWidth="1"/>
    <col min="6" max="6" width="51.7109375" style="116" customWidth="1"/>
    <col min="7" max="16384" width="11.42578125" style="116"/>
  </cols>
  <sheetData>
    <row r="1" spans="1:6" x14ac:dyDescent="0.35">
      <c r="D1" s="119"/>
      <c r="E1" s="120"/>
    </row>
    <row r="2" spans="1:6" ht="40.5" customHeight="1" thickBot="1" x14ac:dyDescent="0.3">
      <c r="A2" s="121"/>
      <c r="B2" s="451" t="s">
        <v>88</v>
      </c>
      <c r="C2" s="451"/>
      <c r="D2" s="451"/>
      <c r="E2" s="452"/>
      <c r="F2" s="456" t="s">
        <v>89</v>
      </c>
    </row>
    <row r="3" spans="1:6" s="126" customFormat="1" ht="40.5" customHeight="1" thickBot="1" x14ac:dyDescent="0.4">
      <c r="A3" s="122"/>
      <c r="B3" s="453" t="s">
        <v>90</v>
      </c>
      <c r="C3" s="123" t="s">
        <v>91</v>
      </c>
      <c r="D3" s="124" t="s">
        <v>92</v>
      </c>
      <c r="E3" s="125" t="s">
        <v>93</v>
      </c>
      <c r="F3" s="457"/>
    </row>
    <row r="4" spans="1:6" s="126" customFormat="1" ht="228.75" customHeight="1" thickBot="1" x14ac:dyDescent="0.4">
      <c r="A4" s="122"/>
      <c r="B4" s="454"/>
      <c r="C4" s="127" t="s">
        <v>94</v>
      </c>
      <c r="D4" s="128" t="s">
        <v>95</v>
      </c>
      <c r="E4" s="155" t="s">
        <v>96</v>
      </c>
      <c r="F4" s="160" t="s">
        <v>97</v>
      </c>
    </row>
    <row r="5" spans="1:6" s="126" customFormat="1" ht="289.5" thickBot="1" x14ac:dyDescent="0.4">
      <c r="A5" s="122"/>
      <c r="B5" s="454"/>
      <c r="C5" s="129" t="s">
        <v>98</v>
      </c>
      <c r="D5" s="130" t="s">
        <v>99</v>
      </c>
      <c r="E5" s="156" t="s">
        <v>100</v>
      </c>
      <c r="F5" s="159" t="s">
        <v>101</v>
      </c>
    </row>
    <row r="6" spans="1:6" s="126" customFormat="1" ht="237" thickBot="1" x14ac:dyDescent="0.4">
      <c r="A6" s="122"/>
      <c r="B6" s="454"/>
      <c r="C6" s="131" t="s">
        <v>102</v>
      </c>
      <c r="D6" s="132" t="s">
        <v>103</v>
      </c>
      <c r="E6" s="157" t="s">
        <v>104</v>
      </c>
      <c r="F6" s="159"/>
    </row>
    <row r="7" spans="1:6" s="126" customFormat="1" ht="154.5" customHeight="1" thickBot="1" x14ac:dyDescent="0.4">
      <c r="A7" s="122"/>
      <c r="B7" s="454"/>
      <c r="C7" s="133" t="s">
        <v>105</v>
      </c>
      <c r="D7" s="134"/>
      <c r="E7" s="156"/>
      <c r="F7" s="159"/>
    </row>
    <row r="8" spans="1:6" s="126" customFormat="1" ht="187.5" thickBot="1" x14ac:dyDescent="0.4">
      <c r="A8" s="122"/>
      <c r="B8" s="454"/>
      <c r="C8" s="135" t="s">
        <v>106</v>
      </c>
      <c r="D8" s="132" t="s">
        <v>107</v>
      </c>
      <c r="E8" s="158" t="s">
        <v>108</v>
      </c>
      <c r="F8" s="159"/>
    </row>
    <row r="9" spans="1:6" s="126" customFormat="1" ht="183" thickBot="1" x14ac:dyDescent="0.4">
      <c r="A9" s="122"/>
      <c r="B9" s="454"/>
      <c r="C9" s="133" t="s">
        <v>109</v>
      </c>
      <c r="D9" s="130" t="s">
        <v>110</v>
      </c>
      <c r="E9" s="158" t="s">
        <v>111</v>
      </c>
      <c r="F9" s="159"/>
    </row>
    <row r="10" spans="1:6" s="138" customFormat="1" ht="263.25" thickBot="1" x14ac:dyDescent="0.4">
      <c r="A10" s="136"/>
      <c r="B10" s="454"/>
      <c r="C10" s="137" t="s">
        <v>112</v>
      </c>
      <c r="D10" s="130" t="s">
        <v>113</v>
      </c>
      <c r="E10" s="157" t="s">
        <v>114</v>
      </c>
      <c r="F10" s="161"/>
    </row>
    <row r="11" spans="1:6" s="138" customFormat="1" ht="28.5" thickBot="1" x14ac:dyDescent="0.4">
      <c r="A11" s="136"/>
      <c r="B11" s="455"/>
      <c r="C11" s="139"/>
      <c r="D11" s="140"/>
      <c r="E11" s="141"/>
    </row>
    <row r="12" spans="1:6" ht="27" x14ac:dyDescent="0.35">
      <c r="D12" s="142"/>
      <c r="E12" s="143"/>
    </row>
    <row r="17" spans="4:4" x14ac:dyDescent="0.35">
      <c r="D17" s="119"/>
    </row>
    <row r="18" spans="4:4" x14ac:dyDescent="0.35">
      <c r="D18" s="119"/>
    </row>
    <row r="19" spans="4:4" x14ac:dyDescent="0.35">
      <c r="D19" s="119"/>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180"/>
  <sheetViews>
    <sheetView workbookViewId="0">
      <selection activeCell="G17" sqref="G17"/>
    </sheetView>
  </sheetViews>
  <sheetFormatPr baseColWidth="10" defaultColWidth="11.42578125" defaultRowHeight="15" x14ac:dyDescent="0.25"/>
  <cols>
    <col min="2" max="2" width="22.85546875" customWidth="1"/>
    <col min="6" max="6" width="17.140625" customWidth="1"/>
    <col min="7" max="7" width="29.28515625" customWidth="1"/>
  </cols>
  <sheetData>
    <row r="2" spans="1:13" x14ac:dyDescent="0.25">
      <c r="E2" s="306" t="s">
        <v>115</v>
      </c>
      <c r="F2" s="306"/>
      <c r="G2" s="306"/>
    </row>
    <row r="3" spans="1:13" x14ac:dyDescent="0.25">
      <c r="E3" s="306" t="s">
        <v>116</v>
      </c>
      <c r="F3" s="306"/>
      <c r="G3" s="306"/>
      <c r="L3" s="302" t="s">
        <v>117</v>
      </c>
      <c r="M3" s="302"/>
    </row>
    <row r="4" spans="1:13" x14ac:dyDescent="0.25">
      <c r="B4" t="s">
        <v>118</v>
      </c>
      <c r="E4" s="303" t="s">
        <v>119</v>
      </c>
      <c r="F4" s="303"/>
      <c r="G4" s="303"/>
      <c r="H4" t="s">
        <v>120</v>
      </c>
      <c r="L4" t="s">
        <v>121</v>
      </c>
    </row>
    <row r="5" spans="1:13" x14ac:dyDescent="0.25">
      <c r="B5" t="s">
        <v>122</v>
      </c>
      <c r="E5" s="303" t="s">
        <v>123</v>
      </c>
      <c r="F5" s="303"/>
      <c r="G5" s="303"/>
      <c r="H5" t="s">
        <v>124</v>
      </c>
      <c r="L5" t="s">
        <v>125</v>
      </c>
    </row>
    <row r="6" spans="1:13" x14ac:dyDescent="0.25">
      <c r="B6" t="s">
        <v>126</v>
      </c>
      <c r="E6" s="303" t="s">
        <v>127</v>
      </c>
      <c r="F6" s="303"/>
      <c r="G6" s="303"/>
      <c r="H6" t="s">
        <v>128</v>
      </c>
      <c r="L6" t="s">
        <v>129</v>
      </c>
    </row>
    <row r="7" spans="1:13" x14ac:dyDescent="0.25">
      <c r="B7" t="s">
        <v>130</v>
      </c>
      <c r="E7" s="215" t="s">
        <v>131</v>
      </c>
      <c r="F7" s="215"/>
      <c r="G7" s="215"/>
      <c r="H7" t="s">
        <v>132</v>
      </c>
      <c r="L7" t="s">
        <v>133</v>
      </c>
    </row>
    <row r="8" spans="1:13" x14ac:dyDescent="0.25">
      <c r="E8" s="215" t="s">
        <v>134</v>
      </c>
      <c r="F8" s="215"/>
      <c r="G8" s="215"/>
      <c r="H8" t="s">
        <v>135</v>
      </c>
      <c r="L8" t="s">
        <v>136</v>
      </c>
    </row>
    <row r="9" spans="1:13" x14ac:dyDescent="0.25">
      <c r="E9" s="215" t="s">
        <v>137</v>
      </c>
      <c r="F9" s="215"/>
      <c r="G9" s="215"/>
      <c r="L9" t="s">
        <v>138</v>
      </c>
    </row>
    <row r="10" spans="1:13" x14ac:dyDescent="0.25">
      <c r="F10" t="s">
        <v>139</v>
      </c>
      <c r="H10" s="302" t="s">
        <v>140</v>
      </c>
    </row>
    <row r="11" spans="1:13" x14ac:dyDescent="0.25">
      <c r="B11" t="s">
        <v>141</v>
      </c>
      <c r="F11" t="s">
        <v>142</v>
      </c>
      <c r="H11" t="s">
        <v>143</v>
      </c>
    </row>
    <row r="12" spans="1:13" x14ac:dyDescent="0.25">
      <c r="B12" t="s">
        <v>144</v>
      </c>
      <c r="F12" t="s">
        <v>145</v>
      </c>
      <c r="H12" t="s">
        <v>146</v>
      </c>
    </row>
    <row r="13" spans="1:13" ht="15.75" thickBot="1" x14ac:dyDescent="0.3">
      <c r="B13" t="s">
        <v>147</v>
      </c>
      <c r="H13" t="s">
        <v>148</v>
      </c>
    </row>
    <row r="14" spans="1:13" ht="15.75" thickBot="1" x14ac:dyDescent="0.3">
      <c r="A14" s="220" t="s">
        <v>23</v>
      </c>
      <c r="B14" s="221"/>
      <c r="C14" s="222"/>
      <c r="D14" s="223"/>
      <c r="E14" s="210" t="s">
        <v>149</v>
      </c>
      <c r="H14" t="s">
        <v>150</v>
      </c>
    </row>
    <row r="15" spans="1:13" ht="15.75" thickBot="1" x14ac:dyDescent="0.3">
      <c r="A15" s="209" t="s">
        <v>151</v>
      </c>
      <c r="B15" s="304" t="s">
        <v>152</v>
      </c>
      <c r="D15" s="211"/>
      <c r="E15" s="210" t="s">
        <v>153</v>
      </c>
      <c r="H15" t="s">
        <v>154</v>
      </c>
    </row>
    <row r="16" spans="1:13" ht="15.75" thickBot="1" x14ac:dyDescent="0.3">
      <c r="A16" s="209"/>
      <c r="B16" s="304" t="s">
        <v>155</v>
      </c>
      <c r="D16" s="211"/>
      <c r="H16" t="s">
        <v>156</v>
      </c>
    </row>
    <row r="17" spans="1:8" ht="15.75" thickBot="1" x14ac:dyDescent="0.3">
      <c r="A17" s="209"/>
      <c r="B17" s="304" t="s">
        <v>157</v>
      </c>
      <c r="D17" s="211"/>
      <c r="H17" t="s">
        <v>158</v>
      </c>
    </row>
    <row r="18" spans="1:8" ht="15.75" thickBot="1" x14ac:dyDescent="0.3">
      <c r="A18" s="209"/>
      <c r="B18" s="304" t="s">
        <v>159</v>
      </c>
      <c r="D18" s="211"/>
      <c r="H18" t="s">
        <v>160</v>
      </c>
    </row>
    <row r="19" spans="1:8" ht="15.75" thickBot="1" x14ac:dyDescent="0.3">
      <c r="A19" s="209"/>
      <c r="B19" s="304" t="s">
        <v>161</v>
      </c>
      <c r="D19" s="211"/>
      <c r="H19" t="s">
        <v>162</v>
      </c>
    </row>
    <row r="20" spans="1:8" ht="15.75" thickBot="1" x14ac:dyDescent="0.3">
      <c r="A20" s="305" t="s">
        <v>163</v>
      </c>
      <c r="D20" s="211"/>
      <c r="H20" t="s">
        <v>164</v>
      </c>
    </row>
    <row r="21" spans="1:8" x14ac:dyDescent="0.25">
      <c r="A21" s="212" t="s">
        <v>165</v>
      </c>
      <c r="B21" s="213" t="s">
        <v>166</v>
      </c>
      <c r="D21" s="211"/>
      <c r="H21" t="s">
        <v>138</v>
      </c>
    </row>
    <row r="22" spans="1:8" x14ac:dyDescent="0.25">
      <c r="A22" s="212"/>
      <c r="B22" s="213" t="s">
        <v>167</v>
      </c>
      <c r="D22" s="211"/>
    </row>
    <row r="23" spans="1:8" x14ac:dyDescent="0.25">
      <c r="A23" s="212"/>
      <c r="B23" s="213" t="s">
        <v>168</v>
      </c>
      <c r="D23" s="211"/>
    </row>
    <row r="24" spans="1:8" x14ac:dyDescent="0.25">
      <c r="A24" s="263"/>
      <c r="D24" s="211"/>
    </row>
    <row r="25" spans="1:8" x14ac:dyDescent="0.25">
      <c r="A25" s="214" t="s">
        <v>169</v>
      </c>
      <c r="B25" s="215" t="s">
        <v>170</v>
      </c>
      <c r="D25" s="211"/>
    </row>
    <row r="26" spans="1:8" x14ac:dyDescent="0.25">
      <c r="A26" s="214"/>
      <c r="B26" s="215" t="s">
        <v>171</v>
      </c>
      <c r="D26" s="211"/>
    </row>
    <row r="27" spans="1:8" ht="15.75" thickBot="1" x14ac:dyDescent="0.3">
      <c r="A27" s="216"/>
      <c r="B27" s="217" t="s">
        <v>172</v>
      </c>
      <c r="C27" s="218"/>
      <c r="D27" s="219"/>
    </row>
    <row r="28" spans="1:8" x14ac:dyDescent="0.25">
      <c r="A28" s="262" t="s">
        <v>173</v>
      </c>
      <c r="B28" s="262" t="s">
        <v>174</v>
      </c>
    </row>
    <row r="29" spans="1:8" x14ac:dyDescent="0.25">
      <c r="A29" s="262"/>
      <c r="B29" s="262" t="s">
        <v>175</v>
      </c>
    </row>
    <row r="30" spans="1:8" x14ac:dyDescent="0.25">
      <c r="A30" s="262"/>
      <c r="B30" s="262" t="s">
        <v>176</v>
      </c>
    </row>
    <row r="31" spans="1:8" x14ac:dyDescent="0.25">
      <c r="A31" s="262"/>
      <c r="B31" s="262" t="s">
        <v>177</v>
      </c>
    </row>
    <row r="38" spans="2:7" x14ac:dyDescent="0.25">
      <c r="B38" t="s">
        <v>178</v>
      </c>
    </row>
    <row r="39" spans="2:7" x14ac:dyDescent="0.25">
      <c r="B39" t="s">
        <v>179</v>
      </c>
    </row>
    <row r="40" spans="2:7" ht="15.75" thickBot="1" x14ac:dyDescent="0.3">
      <c r="B40" t="s">
        <v>180</v>
      </c>
    </row>
    <row r="41" spans="2:7" ht="15.75" thickBot="1" x14ac:dyDescent="0.3">
      <c r="B41" t="s">
        <v>181</v>
      </c>
      <c r="F41" s="152" t="s">
        <v>182</v>
      </c>
      <c r="G41" s="153" t="s">
        <v>183</v>
      </c>
    </row>
    <row r="42" spans="2:7" ht="15.75" thickBot="1" x14ac:dyDescent="0.3">
      <c r="B42" t="s">
        <v>184</v>
      </c>
      <c r="F42" s="461" t="s">
        <v>181</v>
      </c>
      <c r="G42" s="154" t="s">
        <v>185</v>
      </c>
    </row>
    <row r="43" spans="2:7" ht="15.75" thickBot="1" x14ac:dyDescent="0.3">
      <c r="B43" t="s">
        <v>186</v>
      </c>
      <c r="F43" s="459"/>
      <c r="G43" s="154" t="s">
        <v>187</v>
      </c>
    </row>
    <row r="44" spans="2:7" ht="15.75" thickBot="1" x14ac:dyDescent="0.3">
      <c r="B44" t="s">
        <v>188</v>
      </c>
      <c r="F44" s="459"/>
      <c r="G44" s="154" t="s">
        <v>189</v>
      </c>
    </row>
    <row r="45" spans="2:7" ht="15.75" thickBot="1" x14ac:dyDescent="0.3">
      <c r="B45" t="s">
        <v>190</v>
      </c>
      <c r="F45" s="459"/>
      <c r="G45" s="154" t="s">
        <v>191</v>
      </c>
    </row>
    <row r="46" spans="2:7" ht="15.75" thickBot="1" x14ac:dyDescent="0.3">
      <c r="F46" s="459"/>
      <c r="G46" s="154" t="s">
        <v>192</v>
      </c>
    </row>
    <row r="47" spans="2:7" ht="15.75" thickBot="1" x14ac:dyDescent="0.3">
      <c r="F47" s="460"/>
      <c r="G47" s="154" t="s">
        <v>193</v>
      </c>
    </row>
    <row r="48" spans="2:7" ht="15.75" thickBot="1" x14ac:dyDescent="0.3">
      <c r="F48" s="458" t="s">
        <v>190</v>
      </c>
      <c r="G48" s="154" t="s">
        <v>194</v>
      </c>
    </row>
    <row r="49" spans="6:7" ht="15.75" thickBot="1" x14ac:dyDescent="0.3">
      <c r="F49" s="459"/>
      <c r="G49" s="154" t="s">
        <v>195</v>
      </c>
    </row>
    <row r="50" spans="6:7" ht="15.75" thickBot="1" x14ac:dyDescent="0.3">
      <c r="F50" s="459"/>
      <c r="G50" s="154" t="s">
        <v>196</v>
      </c>
    </row>
    <row r="51" spans="6:7" ht="21.75" customHeight="1" thickBot="1" x14ac:dyDescent="0.3">
      <c r="F51" s="459"/>
      <c r="G51" s="154" t="s">
        <v>197</v>
      </c>
    </row>
    <row r="52" spans="6:7" ht="15.75" thickBot="1" x14ac:dyDescent="0.3">
      <c r="F52" s="460"/>
      <c r="G52" s="154" t="s">
        <v>198</v>
      </c>
    </row>
    <row r="53" spans="6:7" ht="45.75" customHeight="1" thickBot="1" x14ac:dyDescent="0.3">
      <c r="F53" s="458" t="s">
        <v>186</v>
      </c>
      <c r="G53" s="154" t="s">
        <v>199</v>
      </c>
    </row>
    <row r="54" spans="6:7" ht="15.75" thickBot="1" x14ac:dyDescent="0.3">
      <c r="F54" s="459"/>
      <c r="G54" s="154" t="s">
        <v>200</v>
      </c>
    </row>
    <row r="55" spans="6:7" ht="30" customHeight="1" thickBot="1" x14ac:dyDescent="0.3">
      <c r="F55" s="460"/>
      <c r="G55" s="154" t="s">
        <v>201</v>
      </c>
    </row>
    <row r="56" spans="6:7" ht="15.75" thickBot="1" x14ac:dyDescent="0.3">
      <c r="F56" s="458" t="s">
        <v>188</v>
      </c>
      <c r="G56" s="154" t="s">
        <v>202</v>
      </c>
    </row>
    <row r="57" spans="6:7" ht="15.75" thickBot="1" x14ac:dyDescent="0.3">
      <c r="F57" s="459"/>
      <c r="G57" s="154" t="s">
        <v>203</v>
      </c>
    </row>
    <row r="58" spans="6:7" ht="15.75" thickBot="1" x14ac:dyDescent="0.3">
      <c r="F58" s="460"/>
      <c r="G58" s="154" t="s">
        <v>204</v>
      </c>
    </row>
    <row r="59" spans="6:7" ht="24.75" thickBot="1" x14ac:dyDescent="0.3">
      <c r="F59" s="458" t="s">
        <v>179</v>
      </c>
      <c r="G59" s="154" t="s">
        <v>205</v>
      </c>
    </row>
    <row r="60" spans="6:7" ht="15.75" thickBot="1" x14ac:dyDescent="0.3">
      <c r="F60" s="459"/>
      <c r="G60" s="154" t="s">
        <v>206</v>
      </c>
    </row>
    <row r="61" spans="6:7" ht="15.75" thickBot="1" x14ac:dyDescent="0.3">
      <c r="F61" s="459"/>
      <c r="G61" s="154" t="s">
        <v>207</v>
      </c>
    </row>
    <row r="62" spans="6:7" ht="15.75" thickBot="1" x14ac:dyDescent="0.3">
      <c r="F62" s="459"/>
      <c r="G62" s="154" t="s">
        <v>208</v>
      </c>
    </row>
    <row r="63" spans="6:7" ht="15.75" thickBot="1" x14ac:dyDescent="0.3">
      <c r="F63" s="459"/>
      <c r="G63" s="154" t="s">
        <v>209</v>
      </c>
    </row>
    <row r="64" spans="6:7" ht="24.75" thickBot="1" x14ac:dyDescent="0.3">
      <c r="F64" s="459"/>
      <c r="G64" s="154" t="s">
        <v>210</v>
      </c>
    </row>
    <row r="65" spans="6:7" ht="15.75" thickBot="1" x14ac:dyDescent="0.3">
      <c r="F65" s="459"/>
      <c r="G65" s="154" t="s">
        <v>211</v>
      </c>
    </row>
    <row r="66" spans="6:7" ht="24.75" thickBot="1" x14ac:dyDescent="0.3">
      <c r="F66" s="459"/>
      <c r="G66" s="154" t="s">
        <v>212</v>
      </c>
    </row>
    <row r="67" spans="6:7" ht="15.75" thickBot="1" x14ac:dyDescent="0.3">
      <c r="F67" s="459"/>
      <c r="G67" s="154" t="s">
        <v>213</v>
      </c>
    </row>
    <row r="68" spans="6:7" ht="15.75" thickBot="1" x14ac:dyDescent="0.3">
      <c r="F68" s="459"/>
      <c r="G68" s="154" t="s">
        <v>214</v>
      </c>
    </row>
    <row r="69" spans="6:7" ht="15.75" thickBot="1" x14ac:dyDescent="0.3">
      <c r="F69" s="460"/>
      <c r="G69" s="154" t="s">
        <v>215</v>
      </c>
    </row>
    <row r="70" spans="6:7" ht="15.75" thickBot="1" x14ac:dyDescent="0.3">
      <c r="F70" s="458" t="s">
        <v>184</v>
      </c>
      <c r="G70" s="154" t="s">
        <v>216</v>
      </c>
    </row>
    <row r="71" spans="6:7" ht="15.75" thickBot="1" x14ac:dyDescent="0.3">
      <c r="F71" s="459"/>
      <c r="G71" s="154" t="s">
        <v>217</v>
      </c>
    </row>
    <row r="72" spans="6:7" ht="24.75" thickBot="1" x14ac:dyDescent="0.3">
      <c r="F72" s="459"/>
      <c r="G72" s="154" t="s">
        <v>218</v>
      </c>
    </row>
    <row r="73" spans="6:7" ht="15.75" thickBot="1" x14ac:dyDescent="0.3">
      <c r="F73" s="459"/>
      <c r="G73" s="154" t="s">
        <v>219</v>
      </c>
    </row>
    <row r="74" spans="6:7" ht="36.75" thickBot="1" x14ac:dyDescent="0.3">
      <c r="F74" s="460"/>
      <c r="G74" s="154" t="s">
        <v>220</v>
      </c>
    </row>
    <row r="75" spans="6:7" ht="15.75" thickBot="1" x14ac:dyDescent="0.3">
      <c r="F75" s="458" t="s">
        <v>178</v>
      </c>
      <c r="G75" s="154" t="s">
        <v>221</v>
      </c>
    </row>
    <row r="76" spans="6:7" ht="15.75" thickBot="1" x14ac:dyDescent="0.3">
      <c r="F76" s="459"/>
      <c r="G76" s="154" t="s">
        <v>222</v>
      </c>
    </row>
    <row r="77" spans="6:7" ht="15.75" thickBot="1" x14ac:dyDescent="0.3">
      <c r="F77" s="459"/>
      <c r="G77" s="154" t="s">
        <v>223</v>
      </c>
    </row>
    <row r="78" spans="6:7" ht="15.75" thickBot="1" x14ac:dyDescent="0.3">
      <c r="F78" s="459"/>
      <c r="G78" s="154" t="s">
        <v>224</v>
      </c>
    </row>
    <row r="79" spans="6:7" ht="15.75" thickBot="1" x14ac:dyDescent="0.3">
      <c r="F79" s="460"/>
      <c r="G79" s="154" t="s">
        <v>225</v>
      </c>
    </row>
    <row r="80" spans="6:7" ht="15.75" thickBot="1" x14ac:dyDescent="0.3">
      <c r="F80" s="458" t="s">
        <v>180</v>
      </c>
      <c r="G80" s="154" t="s">
        <v>226</v>
      </c>
    </row>
    <row r="81" spans="1:7" ht="15.75" thickBot="1" x14ac:dyDescent="0.3">
      <c r="F81" s="459"/>
      <c r="G81" s="154" t="s">
        <v>227</v>
      </c>
    </row>
    <row r="82" spans="1:7" ht="15.75" thickBot="1" x14ac:dyDescent="0.3">
      <c r="F82" s="459"/>
      <c r="G82" s="154" t="s">
        <v>228</v>
      </c>
    </row>
    <row r="83" spans="1:7" ht="15.75" thickBot="1" x14ac:dyDescent="0.3">
      <c r="F83" s="459"/>
      <c r="G83" s="154" t="s">
        <v>229</v>
      </c>
    </row>
    <row r="84" spans="1:7" ht="45.75" thickBot="1" x14ac:dyDescent="0.3">
      <c r="A84" s="307" t="s">
        <v>230</v>
      </c>
      <c r="F84" s="460"/>
      <c r="G84" s="154" t="s">
        <v>231</v>
      </c>
    </row>
    <row r="85" spans="1:7" x14ac:dyDescent="0.25">
      <c r="A85" s="307"/>
    </row>
    <row r="86" spans="1:7" x14ac:dyDescent="0.25">
      <c r="A86" s="308"/>
      <c r="B86" s="309" t="s">
        <v>232</v>
      </c>
      <c r="C86" s="310">
        <v>0</v>
      </c>
    </row>
    <row r="87" spans="1:7" ht="45" x14ac:dyDescent="0.25">
      <c r="A87" s="356" t="s">
        <v>233</v>
      </c>
      <c r="B87" s="113" t="s">
        <v>234</v>
      </c>
      <c r="C87" s="310">
        <v>1</v>
      </c>
    </row>
    <row r="88" spans="1:7" ht="60" x14ac:dyDescent="0.25">
      <c r="A88" s="308" t="s">
        <v>235</v>
      </c>
      <c r="B88" s="115" t="s">
        <v>236</v>
      </c>
      <c r="C88" s="310">
        <v>2</v>
      </c>
    </row>
    <row r="89" spans="1:7" ht="30" x14ac:dyDescent="0.25">
      <c r="A89" s="308" t="s">
        <v>237</v>
      </c>
      <c r="B89" s="113" t="s">
        <v>238</v>
      </c>
      <c r="C89" s="310">
        <v>3</v>
      </c>
    </row>
    <row r="90" spans="1:7" ht="30" x14ac:dyDescent="0.25">
      <c r="A90" s="308" t="s">
        <v>239</v>
      </c>
      <c r="B90" s="113" t="s">
        <v>240</v>
      </c>
      <c r="C90" s="310">
        <v>4</v>
      </c>
    </row>
    <row r="91" spans="1:7" ht="30" x14ac:dyDescent="0.25">
      <c r="A91" s="308" t="s">
        <v>241</v>
      </c>
      <c r="B91" s="113" t="s">
        <v>242</v>
      </c>
      <c r="C91" s="310">
        <v>5</v>
      </c>
    </row>
    <row r="92" spans="1:7" ht="30" x14ac:dyDescent="0.25">
      <c r="A92" s="308" t="s">
        <v>243</v>
      </c>
      <c r="B92" s="113" t="s">
        <v>244</v>
      </c>
      <c r="C92" s="310">
        <v>6</v>
      </c>
    </row>
    <row r="93" spans="1:7" ht="30" x14ac:dyDescent="0.25">
      <c r="A93" s="308" t="s">
        <v>245</v>
      </c>
      <c r="B93" s="113" t="s">
        <v>246</v>
      </c>
      <c r="C93" s="310">
        <v>7</v>
      </c>
    </row>
    <row r="94" spans="1:7" ht="45" x14ac:dyDescent="0.25">
      <c r="A94" s="308" t="s">
        <v>247</v>
      </c>
      <c r="B94" s="113" t="s">
        <v>248</v>
      </c>
      <c r="C94" s="310">
        <v>8</v>
      </c>
    </row>
    <row r="95" spans="1:7" ht="45" x14ac:dyDescent="0.25">
      <c r="A95" s="308" t="s">
        <v>249</v>
      </c>
      <c r="B95" s="113" t="s">
        <v>250</v>
      </c>
      <c r="C95" s="310">
        <v>9</v>
      </c>
    </row>
    <row r="96" spans="1:7" ht="45" x14ac:dyDescent="0.25">
      <c r="A96" s="308" t="s">
        <v>251</v>
      </c>
      <c r="B96" s="113" t="s">
        <v>252</v>
      </c>
      <c r="C96" s="310">
        <v>10</v>
      </c>
    </row>
    <row r="97" spans="1:3" x14ac:dyDescent="0.25">
      <c r="A97" s="308" t="s">
        <v>253</v>
      </c>
      <c r="B97" s="113" t="s">
        <v>254</v>
      </c>
      <c r="C97" s="310">
        <v>11</v>
      </c>
    </row>
    <row r="98" spans="1:3" ht="30" x14ac:dyDescent="0.25">
      <c r="A98" s="308" t="s">
        <v>255</v>
      </c>
      <c r="B98" s="113" t="s">
        <v>256</v>
      </c>
      <c r="C98" s="310">
        <v>12</v>
      </c>
    </row>
    <row r="99" spans="1:3" ht="30" x14ac:dyDescent="0.25">
      <c r="A99" s="308" t="s">
        <v>257</v>
      </c>
      <c r="B99" s="113" t="s">
        <v>258</v>
      </c>
      <c r="C99" s="310">
        <v>13</v>
      </c>
    </row>
    <row r="100" spans="1:3" ht="30" x14ac:dyDescent="0.25">
      <c r="A100" s="308" t="s">
        <v>259</v>
      </c>
      <c r="B100" s="113" t="s">
        <v>260</v>
      </c>
      <c r="C100" s="310">
        <v>14</v>
      </c>
    </row>
    <row r="101" spans="1:3" x14ac:dyDescent="0.25">
      <c r="A101" s="308" t="s">
        <v>261</v>
      </c>
      <c r="B101" s="113" t="s">
        <v>262</v>
      </c>
      <c r="C101" s="310">
        <v>15</v>
      </c>
    </row>
    <row r="102" spans="1:3" x14ac:dyDescent="0.25">
      <c r="A102" s="308" t="s">
        <v>263</v>
      </c>
      <c r="B102" s="113" t="s">
        <v>264</v>
      </c>
      <c r="C102" s="310">
        <v>16</v>
      </c>
    </row>
    <row r="103" spans="1:3" ht="30" x14ac:dyDescent="0.25">
      <c r="A103" s="308" t="s">
        <v>265</v>
      </c>
      <c r="B103" s="113" t="s">
        <v>266</v>
      </c>
      <c r="C103" s="310">
        <v>17</v>
      </c>
    </row>
    <row r="104" spans="1:3" x14ac:dyDescent="0.25">
      <c r="A104" s="308" t="s">
        <v>267</v>
      </c>
      <c r="B104" s="113" t="s">
        <v>268</v>
      </c>
      <c r="C104" s="310">
        <v>18</v>
      </c>
    </row>
    <row r="105" spans="1:3" ht="60" x14ac:dyDescent="0.25">
      <c r="A105" s="308" t="s">
        <v>269</v>
      </c>
      <c r="B105" s="113" t="s">
        <v>270</v>
      </c>
      <c r="C105" s="310">
        <v>19</v>
      </c>
    </row>
    <row r="106" spans="1:3" ht="60" x14ac:dyDescent="0.25">
      <c r="A106" s="308" t="s">
        <v>271</v>
      </c>
      <c r="B106" s="113" t="s">
        <v>272</v>
      </c>
      <c r="C106" s="310">
        <v>20</v>
      </c>
    </row>
    <row r="107" spans="1:3" ht="90" x14ac:dyDescent="0.25">
      <c r="A107" s="308" t="s">
        <v>273</v>
      </c>
      <c r="B107" s="113" t="s">
        <v>274</v>
      </c>
      <c r="C107" s="310">
        <v>21</v>
      </c>
    </row>
    <row r="108" spans="1:3" ht="60" x14ac:dyDescent="0.25">
      <c r="A108" s="308" t="s">
        <v>275</v>
      </c>
      <c r="B108" s="113" t="s">
        <v>276</v>
      </c>
      <c r="C108" s="310">
        <v>22</v>
      </c>
    </row>
    <row r="109" spans="1:3" ht="45" x14ac:dyDescent="0.25">
      <c r="A109" s="308" t="s">
        <v>277</v>
      </c>
      <c r="B109" s="113" t="s">
        <v>278</v>
      </c>
      <c r="C109" s="310">
        <v>23</v>
      </c>
    </row>
    <row r="110" spans="1:3" ht="75" x14ac:dyDescent="0.25">
      <c r="A110" s="308" t="s">
        <v>279</v>
      </c>
      <c r="B110" s="113" t="s">
        <v>280</v>
      </c>
      <c r="C110" s="310">
        <v>24</v>
      </c>
    </row>
    <row r="111" spans="1:3" ht="60" x14ac:dyDescent="0.25">
      <c r="A111" s="308" t="s">
        <v>281</v>
      </c>
      <c r="B111" s="113" t="s">
        <v>282</v>
      </c>
      <c r="C111" s="310">
        <v>25</v>
      </c>
    </row>
    <row r="112" spans="1:3" ht="45" x14ac:dyDescent="0.25">
      <c r="A112" s="308" t="s">
        <v>283</v>
      </c>
      <c r="B112" s="113" t="s">
        <v>284</v>
      </c>
      <c r="C112" s="310">
        <v>26</v>
      </c>
    </row>
    <row r="113" spans="1:3" ht="45" x14ac:dyDescent="0.25">
      <c r="A113" s="308" t="s">
        <v>285</v>
      </c>
      <c r="B113" s="113" t="s">
        <v>286</v>
      </c>
      <c r="C113" s="310">
        <v>27</v>
      </c>
    </row>
    <row r="114" spans="1:3" ht="30" x14ac:dyDescent="0.25">
      <c r="A114" s="308" t="s">
        <v>287</v>
      </c>
      <c r="B114" s="113" t="s">
        <v>288</v>
      </c>
      <c r="C114" s="310">
        <v>28</v>
      </c>
    </row>
    <row r="115" spans="1:3" ht="45" x14ac:dyDescent="0.25">
      <c r="A115" s="308" t="s">
        <v>289</v>
      </c>
      <c r="B115" s="113" t="s">
        <v>290</v>
      </c>
      <c r="C115" s="310">
        <v>29</v>
      </c>
    </row>
    <row r="116" spans="1:3" ht="45" x14ac:dyDescent="0.25">
      <c r="A116" s="308" t="s">
        <v>291</v>
      </c>
      <c r="B116" s="113" t="s">
        <v>292</v>
      </c>
      <c r="C116" s="310">
        <v>30</v>
      </c>
    </row>
    <row r="117" spans="1:3" ht="45" x14ac:dyDescent="0.25">
      <c r="A117" s="308" t="s">
        <v>293</v>
      </c>
      <c r="B117" s="113" t="s">
        <v>294</v>
      </c>
      <c r="C117" s="310">
        <v>31</v>
      </c>
    </row>
    <row r="118" spans="1:3" ht="30" x14ac:dyDescent="0.25">
      <c r="A118" s="308" t="s">
        <v>295</v>
      </c>
      <c r="B118" s="113" t="s">
        <v>296</v>
      </c>
      <c r="C118" s="310">
        <v>32</v>
      </c>
    </row>
    <row r="119" spans="1:3" x14ac:dyDescent="0.25">
      <c r="A119" s="308" t="s">
        <v>297</v>
      </c>
      <c r="B119" s="113" t="s">
        <v>298</v>
      </c>
      <c r="C119" s="310">
        <v>33</v>
      </c>
    </row>
    <row r="120" spans="1:3" ht="75" x14ac:dyDescent="0.25">
      <c r="A120" s="308" t="s">
        <v>299</v>
      </c>
      <c r="B120" s="113" t="s">
        <v>300</v>
      </c>
      <c r="C120" s="310">
        <v>34</v>
      </c>
    </row>
    <row r="121" spans="1:3" ht="45" x14ac:dyDescent="0.25">
      <c r="A121" s="308" t="s">
        <v>301</v>
      </c>
      <c r="B121" s="113" t="s">
        <v>302</v>
      </c>
      <c r="C121" s="310">
        <v>35</v>
      </c>
    </row>
    <row r="122" spans="1:3" ht="60" x14ac:dyDescent="0.25">
      <c r="A122" s="308" t="s">
        <v>303</v>
      </c>
      <c r="B122" s="113" t="s">
        <v>304</v>
      </c>
      <c r="C122" s="310">
        <v>36</v>
      </c>
    </row>
    <row r="123" spans="1:3" ht="45" x14ac:dyDescent="0.25">
      <c r="A123" s="308" t="s">
        <v>305</v>
      </c>
      <c r="B123" s="113" t="s">
        <v>306</v>
      </c>
      <c r="C123" s="310">
        <v>37</v>
      </c>
    </row>
    <row r="124" spans="1:3" x14ac:dyDescent="0.25">
      <c r="A124" s="308" t="s">
        <v>307</v>
      </c>
      <c r="B124" s="113" t="s">
        <v>308</v>
      </c>
      <c r="C124" s="310">
        <v>38</v>
      </c>
    </row>
    <row r="125" spans="1:3" ht="30" x14ac:dyDescent="0.25">
      <c r="A125" s="308" t="s">
        <v>309</v>
      </c>
      <c r="B125" s="113" t="s">
        <v>310</v>
      </c>
      <c r="C125" s="310">
        <v>39</v>
      </c>
    </row>
    <row r="126" spans="1:3" ht="45" x14ac:dyDescent="0.25">
      <c r="A126" s="308" t="s">
        <v>311</v>
      </c>
      <c r="B126" s="113" t="s">
        <v>312</v>
      </c>
      <c r="C126" s="310">
        <v>40</v>
      </c>
    </row>
    <row r="127" spans="1:3" x14ac:dyDescent="0.25">
      <c r="A127" s="308" t="s">
        <v>313</v>
      </c>
      <c r="B127" s="113" t="s">
        <v>314</v>
      </c>
      <c r="C127" s="310">
        <v>41</v>
      </c>
    </row>
    <row r="128" spans="1:3" ht="60" x14ac:dyDescent="0.25">
      <c r="A128" s="308" t="s">
        <v>315</v>
      </c>
      <c r="B128" s="113" t="s">
        <v>316</v>
      </c>
      <c r="C128" s="310">
        <v>42</v>
      </c>
    </row>
    <row r="129" spans="1:3" ht="45" x14ac:dyDescent="0.25">
      <c r="A129" s="308" t="s">
        <v>317</v>
      </c>
      <c r="B129" s="113" t="s">
        <v>318</v>
      </c>
      <c r="C129" s="310">
        <v>43</v>
      </c>
    </row>
    <row r="130" spans="1:3" x14ac:dyDescent="0.25">
      <c r="A130" s="308" t="s">
        <v>319</v>
      </c>
      <c r="B130" s="113" t="s">
        <v>320</v>
      </c>
      <c r="C130" s="310">
        <v>44</v>
      </c>
    </row>
    <row r="131" spans="1:3" ht="45" x14ac:dyDescent="0.25">
      <c r="A131" s="308" t="s">
        <v>321</v>
      </c>
      <c r="B131" s="113" t="s">
        <v>322</v>
      </c>
      <c r="C131" s="310">
        <v>45</v>
      </c>
    </row>
    <row r="132" spans="1:3" ht="30" x14ac:dyDescent="0.25">
      <c r="A132" s="308" t="s">
        <v>323</v>
      </c>
      <c r="B132" s="113" t="s">
        <v>324</v>
      </c>
      <c r="C132" s="310">
        <v>46</v>
      </c>
    </row>
    <row r="133" spans="1:3" x14ac:dyDescent="0.25">
      <c r="A133" s="308" t="s">
        <v>325</v>
      </c>
      <c r="B133" s="113" t="s">
        <v>326</v>
      </c>
      <c r="C133" s="310">
        <v>47</v>
      </c>
    </row>
    <row r="134" spans="1:3" ht="45" x14ac:dyDescent="0.25">
      <c r="A134" s="308" t="s">
        <v>327</v>
      </c>
      <c r="B134" s="113" t="s">
        <v>328</v>
      </c>
      <c r="C134" s="310">
        <v>48</v>
      </c>
    </row>
    <row r="135" spans="1:3" ht="30" x14ac:dyDescent="0.25">
      <c r="A135" s="308" t="s">
        <v>329</v>
      </c>
      <c r="B135" s="113" t="s">
        <v>330</v>
      </c>
      <c r="C135" s="310">
        <v>49</v>
      </c>
    </row>
    <row r="136" spans="1:3" ht="45" x14ac:dyDescent="0.25">
      <c r="A136" s="308" t="s">
        <v>331</v>
      </c>
      <c r="B136" s="113" t="s">
        <v>332</v>
      </c>
      <c r="C136" s="310">
        <v>50</v>
      </c>
    </row>
    <row r="137" spans="1:3" ht="30" x14ac:dyDescent="0.25">
      <c r="A137" s="308" t="s">
        <v>333</v>
      </c>
      <c r="B137" s="113" t="s">
        <v>334</v>
      </c>
      <c r="C137" s="310">
        <v>51</v>
      </c>
    </row>
    <row r="138" spans="1:3" ht="30" x14ac:dyDescent="0.25">
      <c r="A138" s="308" t="s">
        <v>335</v>
      </c>
      <c r="B138" s="113" t="s">
        <v>336</v>
      </c>
      <c r="C138" s="310">
        <v>52</v>
      </c>
    </row>
    <row r="139" spans="1:3" ht="30" x14ac:dyDescent="0.25">
      <c r="A139" s="308" t="s">
        <v>337</v>
      </c>
      <c r="B139" s="113" t="s">
        <v>338</v>
      </c>
      <c r="C139" s="310">
        <v>53</v>
      </c>
    </row>
    <row r="140" spans="1:3" ht="45" x14ac:dyDescent="0.25">
      <c r="A140" s="308" t="s">
        <v>339</v>
      </c>
      <c r="B140" s="113" t="s">
        <v>340</v>
      </c>
      <c r="C140" s="310">
        <v>54</v>
      </c>
    </row>
    <row r="141" spans="1:3" ht="30" x14ac:dyDescent="0.25">
      <c r="A141" s="308" t="s">
        <v>341</v>
      </c>
      <c r="B141" s="113" t="s">
        <v>342</v>
      </c>
      <c r="C141" s="310">
        <v>55</v>
      </c>
    </row>
    <row r="142" spans="1:3" ht="30" x14ac:dyDescent="0.25">
      <c r="A142" s="308" t="s">
        <v>343</v>
      </c>
      <c r="B142" s="113" t="s">
        <v>344</v>
      </c>
      <c r="C142" s="310">
        <v>56</v>
      </c>
    </row>
    <row r="143" spans="1:3" x14ac:dyDescent="0.25">
      <c r="A143" s="308" t="s">
        <v>345</v>
      </c>
      <c r="B143" s="113" t="s">
        <v>346</v>
      </c>
      <c r="C143" s="310">
        <v>57</v>
      </c>
    </row>
    <row r="144" spans="1:3" ht="30" x14ac:dyDescent="0.25">
      <c r="A144" s="308" t="s">
        <v>347</v>
      </c>
      <c r="B144" s="113" t="s">
        <v>348</v>
      </c>
      <c r="C144" s="310">
        <v>58</v>
      </c>
    </row>
    <row r="145" spans="1:3" ht="45" x14ac:dyDescent="0.25">
      <c r="A145" s="308" t="s">
        <v>349</v>
      </c>
      <c r="B145" s="113" t="s">
        <v>350</v>
      </c>
      <c r="C145" s="310">
        <v>59</v>
      </c>
    </row>
    <row r="146" spans="1:3" ht="30" x14ac:dyDescent="0.25">
      <c r="A146" s="308" t="s">
        <v>351</v>
      </c>
      <c r="B146" s="113" t="s">
        <v>352</v>
      </c>
      <c r="C146" s="310">
        <v>60</v>
      </c>
    </row>
    <row r="147" spans="1:3" ht="30" x14ac:dyDescent="0.25">
      <c r="A147" s="308" t="s">
        <v>353</v>
      </c>
      <c r="B147" s="113" t="s">
        <v>354</v>
      </c>
      <c r="C147" s="310">
        <v>61</v>
      </c>
    </row>
    <row r="148" spans="1:3" ht="30" x14ac:dyDescent="0.25">
      <c r="A148" s="308" t="s">
        <v>355</v>
      </c>
      <c r="B148" s="113" t="s">
        <v>356</v>
      </c>
      <c r="C148" s="310">
        <v>62</v>
      </c>
    </row>
    <row r="149" spans="1:3" x14ac:dyDescent="0.25">
      <c r="A149" s="308" t="s">
        <v>357</v>
      </c>
      <c r="B149" s="113" t="s">
        <v>358</v>
      </c>
      <c r="C149" s="310">
        <v>63</v>
      </c>
    </row>
    <row r="150" spans="1:3" x14ac:dyDescent="0.25">
      <c r="A150" s="308" t="s">
        <v>359</v>
      </c>
      <c r="B150" s="113" t="s">
        <v>360</v>
      </c>
      <c r="C150" s="310">
        <v>64</v>
      </c>
    </row>
    <row r="151" spans="1:3" x14ac:dyDescent="0.25">
      <c r="A151" s="308" t="s">
        <v>361</v>
      </c>
      <c r="B151" s="113" t="s">
        <v>362</v>
      </c>
      <c r="C151" s="310">
        <v>65</v>
      </c>
    </row>
    <row r="152" spans="1:3" ht="30" x14ac:dyDescent="0.25">
      <c r="A152" s="308" t="s">
        <v>363</v>
      </c>
      <c r="B152" s="113" t="s">
        <v>364</v>
      </c>
      <c r="C152" s="310">
        <v>66</v>
      </c>
    </row>
    <row r="153" spans="1:3" ht="45" x14ac:dyDescent="0.25">
      <c r="A153" s="308" t="s">
        <v>365</v>
      </c>
      <c r="B153" s="113" t="s">
        <v>366</v>
      </c>
      <c r="C153" s="310">
        <v>67</v>
      </c>
    </row>
    <row r="154" spans="1:3" ht="30" x14ac:dyDescent="0.25">
      <c r="A154" s="308" t="s">
        <v>367</v>
      </c>
      <c r="B154" s="113" t="s">
        <v>368</v>
      </c>
      <c r="C154" s="310">
        <v>68</v>
      </c>
    </row>
    <row r="155" spans="1:3" ht="30" x14ac:dyDescent="0.25">
      <c r="A155" s="308" t="s">
        <v>369</v>
      </c>
      <c r="B155" s="113" t="s">
        <v>370</v>
      </c>
      <c r="C155" s="310">
        <v>69</v>
      </c>
    </row>
    <row r="156" spans="1:3" ht="30" x14ac:dyDescent="0.25">
      <c r="A156" s="308" t="s">
        <v>371</v>
      </c>
      <c r="B156" s="113" t="s">
        <v>372</v>
      </c>
      <c r="C156" s="310">
        <v>70</v>
      </c>
    </row>
    <row r="157" spans="1:3" ht="30" x14ac:dyDescent="0.25">
      <c r="A157" s="308" t="s">
        <v>373</v>
      </c>
      <c r="B157" s="113" t="s">
        <v>374</v>
      </c>
      <c r="C157" s="310">
        <v>71</v>
      </c>
    </row>
    <row r="158" spans="1:3" ht="30" x14ac:dyDescent="0.25">
      <c r="A158" s="308" t="s">
        <v>375</v>
      </c>
      <c r="B158" s="113" t="s">
        <v>376</v>
      </c>
      <c r="C158" s="310">
        <v>72</v>
      </c>
    </row>
    <row r="159" spans="1:3" ht="60" x14ac:dyDescent="0.25">
      <c r="A159" s="308" t="s">
        <v>377</v>
      </c>
      <c r="B159" s="113" t="s">
        <v>378</v>
      </c>
      <c r="C159" s="310">
        <v>73</v>
      </c>
    </row>
    <row r="160" spans="1:3" x14ac:dyDescent="0.25">
      <c r="A160" s="308" t="s">
        <v>379</v>
      </c>
      <c r="B160" s="113" t="s">
        <v>380</v>
      </c>
      <c r="C160" s="310">
        <v>74</v>
      </c>
    </row>
    <row r="161" spans="1:3" ht="30" x14ac:dyDescent="0.25">
      <c r="A161" s="308" t="s">
        <v>381</v>
      </c>
      <c r="B161" s="113" t="s">
        <v>382</v>
      </c>
      <c r="C161" s="310">
        <v>75</v>
      </c>
    </row>
    <row r="162" spans="1:3" x14ac:dyDescent="0.25">
      <c r="A162" s="308" t="s">
        <v>383</v>
      </c>
      <c r="B162" s="113" t="s">
        <v>384</v>
      </c>
      <c r="C162" s="310">
        <v>76</v>
      </c>
    </row>
    <row r="163" spans="1:3" ht="30" x14ac:dyDescent="0.25">
      <c r="A163" s="308" t="s">
        <v>385</v>
      </c>
      <c r="B163" s="113" t="s">
        <v>386</v>
      </c>
      <c r="C163" s="310">
        <v>77</v>
      </c>
    </row>
    <row r="164" spans="1:3" ht="30" x14ac:dyDescent="0.25">
      <c r="A164" s="308" t="s">
        <v>387</v>
      </c>
      <c r="B164" s="113" t="s">
        <v>388</v>
      </c>
      <c r="C164" s="310">
        <v>78</v>
      </c>
    </row>
    <row r="165" spans="1:3" x14ac:dyDescent="0.25">
      <c r="A165" s="308" t="s">
        <v>389</v>
      </c>
      <c r="B165" s="113" t="s">
        <v>390</v>
      </c>
      <c r="C165" s="310">
        <v>79</v>
      </c>
    </row>
    <row r="166" spans="1:3" ht="30" x14ac:dyDescent="0.25">
      <c r="A166" s="308" t="s">
        <v>391</v>
      </c>
      <c r="B166" s="113" t="s">
        <v>392</v>
      </c>
      <c r="C166" s="310">
        <v>80</v>
      </c>
    </row>
    <row r="167" spans="1:3" x14ac:dyDescent="0.25">
      <c r="A167" s="308" t="s">
        <v>393</v>
      </c>
      <c r="B167" s="113" t="s">
        <v>394</v>
      </c>
      <c r="C167" s="310">
        <v>81</v>
      </c>
    </row>
    <row r="168" spans="1:3" x14ac:dyDescent="0.25">
      <c r="A168" s="308" t="s">
        <v>395</v>
      </c>
      <c r="B168" s="113" t="s">
        <v>396</v>
      </c>
      <c r="C168" s="310">
        <v>82</v>
      </c>
    </row>
    <row r="169" spans="1:3" x14ac:dyDescent="0.25">
      <c r="A169" s="308" t="s">
        <v>397</v>
      </c>
      <c r="B169" s="113" t="s">
        <v>398</v>
      </c>
      <c r="C169" s="310">
        <v>83</v>
      </c>
    </row>
    <row r="170" spans="1:3" ht="30" x14ac:dyDescent="0.25">
      <c r="A170" s="308" t="s">
        <v>399</v>
      </c>
      <c r="B170" s="113" t="s">
        <v>400</v>
      </c>
      <c r="C170" s="310">
        <v>84</v>
      </c>
    </row>
    <row r="171" spans="1:3" ht="30" x14ac:dyDescent="0.25">
      <c r="A171" s="308" t="s">
        <v>401</v>
      </c>
      <c r="B171" s="113" t="s">
        <v>402</v>
      </c>
      <c r="C171" s="310">
        <v>85</v>
      </c>
    </row>
    <row r="172" spans="1:3" ht="45" x14ac:dyDescent="0.25">
      <c r="A172" s="308" t="s">
        <v>403</v>
      </c>
      <c r="B172" s="113" t="s">
        <v>404</v>
      </c>
      <c r="C172" s="310">
        <v>86</v>
      </c>
    </row>
    <row r="173" spans="1:3" x14ac:dyDescent="0.25">
      <c r="A173" s="308" t="s">
        <v>405</v>
      </c>
      <c r="B173" s="113" t="s">
        <v>406</v>
      </c>
      <c r="C173" s="310">
        <v>87</v>
      </c>
    </row>
    <row r="174" spans="1:3" ht="45" x14ac:dyDescent="0.25">
      <c r="A174" s="308" t="s">
        <v>407</v>
      </c>
      <c r="B174" s="113" t="s">
        <v>408</v>
      </c>
      <c r="C174" s="310">
        <v>88</v>
      </c>
    </row>
    <row r="175" spans="1:3" ht="30" x14ac:dyDescent="0.25">
      <c r="A175" s="308" t="s">
        <v>409</v>
      </c>
      <c r="B175" s="113" t="s">
        <v>410</v>
      </c>
      <c r="C175" s="310">
        <v>89</v>
      </c>
    </row>
    <row r="176" spans="1:3" ht="45" x14ac:dyDescent="0.25">
      <c r="A176" s="308" t="s">
        <v>411</v>
      </c>
      <c r="B176" s="113" t="s">
        <v>412</v>
      </c>
      <c r="C176" s="310">
        <v>90</v>
      </c>
    </row>
    <row r="177" spans="1:3" x14ac:dyDescent="0.25">
      <c r="A177" s="308" t="s">
        <v>413</v>
      </c>
      <c r="B177" s="113" t="s">
        <v>414</v>
      </c>
      <c r="C177" s="310">
        <v>91</v>
      </c>
    </row>
    <row r="178" spans="1:3" ht="30" x14ac:dyDescent="0.25">
      <c r="A178" s="308" t="s">
        <v>415</v>
      </c>
      <c r="B178" s="113" t="s">
        <v>416</v>
      </c>
      <c r="C178" s="310">
        <v>92</v>
      </c>
    </row>
    <row r="179" spans="1:3" ht="60" x14ac:dyDescent="0.25">
      <c r="A179" s="308" t="s">
        <v>417</v>
      </c>
      <c r="B179" s="113" t="s">
        <v>418</v>
      </c>
      <c r="C179" s="310">
        <v>93</v>
      </c>
    </row>
    <row r="180" spans="1:3" ht="60" x14ac:dyDescent="0.25">
      <c r="A180" s="308" t="s">
        <v>419</v>
      </c>
      <c r="B180" s="113" t="s">
        <v>420</v>
      </c>
      <c r="C180" s="310">
        <v>94</v>
      </c>
    </row>
  </sheetData>
  <sortState xmlns:xlrd2="http://schemas.microsoft.com/office/spreadsheetml/2017/richdata2" ref="B4:B7">
    <sortCondition ref="B4:B7"/>
  </sortState>
  <mergeCells count="8">
    <mergeCell ref="F75:F79"/>
    <mergeCell ref="F80:F84"/>
    <mergeCell ref="F42:F47"/>
    <mergeCell ref="F48:F52"/>
    <mergeCell ref="F53:F55"/>
    <mergeCell ref="F56:F58"/>
    <mergeCell ref="F59:F69"/>
    <mergeCell ref="F70:F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O76"/>
  <sheetViews>
    <sheetView topLeftCell="G13" zoomScale="40" zoomScaleNormal="40" zoomScaleSheetLayoutView="50" zoomScalePageLayoutView="60" workbookViewId="0">
      <selection activeCell="U13" sqref="B13:U18"/>
    </sheetView>
  </sheetViews>
  <sheetFormatPr baseColWidth="10" defaultColWidth="11.42578125" defaultRowHeight="15" x14ac:dyDescent="0.2"/>
  <cols>
    <col min="1" max="1" width="6.5703125" style="203" customWidth="1"/>
    <col min="2" max="2" width="22.7109375" style="203" customWidth="1"/>
    <col min="3" max="3" width="23.42578125" style="203" customWidth="1"/>
    <col min="4" max="4" width="28.140625" style="203" customWidth="1"/>
    <col min="5" max="5" width="25.28515625" style="203" customWidth="1"/>
    <col min="6" max="6" width="51.140625" style="203" customWidth="1"/>
    <col min="7" max="7" width="21" style="185" customWidth="1"/>
    <col min="8" max="8" width="17.7109375" style="185" customWidth="1"/>
    <col min="9" max="10" width="18.85546875" style="185" customWidth="1"/>
    <col min="11" max="11" width="24.28515625" style="185" customWidth="1"/>
    <col min="12" max="12" width="26" style="185" customWidth="1"/>
    <col min="13" max="13" width="20.5703125" style="185" customWidth="1"/>
    <col min="14" max="14" width="16.7109375" style="204" customWidth="1"/>
    <col min="15" max="15" width="16.7109375" style="185" customWidth="1"/>
    <col min="16" max="16" width="20.42578125" style="185" hidden="1" customWidth="1"/>
    <col min="17" max="17" width="23.28515625" style="185" customWidth="1"/>
    <col min="18" max="18" width="23.28515625" style="185" hidden="1" customWidth="1"/>
    <col min="19" max="19" width="23.28515625" style="185" customWidth="1"/>
    <col min="20" max="20" width="17.5703125" style="185" hidden="1" customWidth="1"/>
    <col min="21" max="21" width="15" style="185" customWidth="1"/>
    <col min="22" max="22" width="5.140625" style="185" customWidth="1"/>
    <col min="23" max="23" width="17" style="185" customWidth="1"/>
    <col min="24" max="24" width="11.7109375" style="185" customWidth="1"/>
    <col min="25" max="25" width="40.7109375" style="185" customWidth="1"/>
    <col min="26" max="26" width="40.28515625" style="185" customWidth="1"/>
    <col min="27" max="27" width="19.7109375" style="185" hidden="1" customWidth="1"/>
    <col min="28" max="28" width="5.85546875" style="185" customWidth="1"/>
    <col min="29" max="29" width="6.85546875" style="185" customWidth="1"/>
    <col min="30" max="30" width="5" style="185" hidden="1" customWidth="1"/>
    <col min="31" max="31" width="5.5703125" style="185" customWidth="1"/>
    <col min="32" max="32" width="7.140625" style="185" customWidth="1"/>
    <col min="33" max="33" width="6.7109375" style="185" customWidth="1"/>
    <col min="34" max="34" width="7.5703125" style="185" hidden="1" customWidth="1"/>
    <col min="35" max="35" width="8.5703125" style="185" customWidth="1"/>
    <col min="36" max="40" width="10.85546875" style="185" customWidth="1"/>
    <col min="41" max="41" width="33.28515625" style="202" customWidth="1"/>
    <col min="42" max="42" width="23" style="185" customWidth="1"/>
    <col min="43" max="43" width="18.85546875" style="185" customWidth="1"/>
    <col min="44" max="44" width="23.7109375" style="185" customWidth="1"/>
    <col min="45" max="45" width="22.42578125" style="185" customWidth="1"/>
    <col min="46" max="46" width="16.42578125" style="185" customWidth="1"/>
    <col min="47" max="47" width="20.5703125" style="185" customWidth="1"/>
    <col min="48" max="16384" width="11.42578125" style="185"/>
  </cols>
  <sheetData>
    <row r="1" spans="1:275" s="187" customFormat="1" ht="20.25" x14ac:dyDescent="0.3">
      <c r="A1" s="476"/>
      <c r="B1" s="477"/>
      <c r="C1" s="478"/>
      <c r="D1" s="465" t="s">
        <v>421</v>
      </c>
      <c r="E1" s="466"/>
      <c r="F1" s="466"/>
      <c r="G1" s="466"/>
      <c r="H1" s="466"/>
      <c r="I1" s="466"/>
      <c r="J1" s="466"/>
      <c r="K1" s="466"/>
      <c r="L1" s="466"/>
      <c r="M1" s="466"/>
      <c r="N1" s="466"/>
      <c r="O1" s="466"/>
      <c r="P1" s="466"/>
      <c r="Q1" s="466"/>
      <c r="R1" s="466"/>
      <c r="S1" s="466"/>
      <c r="T1" s="467"/>
      <c r="U1" s="234"/>
      <c r="V1" s="234"/>
      <c r="W1" s="234"/>
      <c r="X1" s="234"/>
      <c r="Y1" s="234"/>
      <c r="Z1" s="234"/>
      <c r="AA1" s="492"/>
      <c r="AB1" s="492"/>
      <c r="AC1" s="492"/>
      <c r="AD1" s="492"/>
      <c r="AE1" s="492"/>
      <c r="AF1" s="492"/>
      <c r="AG1" s="492"/>
      <c r="AH1" s="492"/>
      <c r="AI1" s="492"/>
      <c r="AJ1" s="492"/>
      <c r="AK1" s="492"/>
      <c r="AL1" s="492"/>
      <c r="AM1" s="492"/>
      <c r="AN1" s="492"/>
      <c r="AO1" s="492"/>
      <c r="AP1" s="492"/>
      <c r="AQ1" s="492"/>
      <c r="AR1" s="492"/>
      <c r="AS1" s="492"/>
      <c r="AT1" s="492"/>
      <c r="AU1" s="492"/>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479"/>
      <c r="B2" s="480"/>
      <c r="C2" s="481"/>
      <c r="D2" s="468"/>
      <c r="E2" s="469"/>
      <c r="F2" s="469"/>
      <c r="G2" s="469"/>
      <c r="H2" s="469"/>
      <c r="I2" s="469"/>
      <c r="J2" s="469"/>
      <c r="K2" s="469"/>
      <c r="L2" s="469"/>
      <c r="M2" s="469"/>
      <c r="N2" s="469"/>
      <c r="O2" s="469"/>
      <c r="P2" s="469"/>
      <c r="Q2" s="469"/>
      <c r="R2" s="469"/>
      <c r="S2" s="469"/>
      <c r="T2" s="470"/>
      <c r="U2" s="234"/>
      <c r="V2" s="234"/>
      <c r="W2" s="234"/>
      <c r="X2" s="234"/>
      <c r="Y2" s="234"/>
      <c r="Z2" s="234"/>
      <c r="AA2" s="492"/>
      <c r="AB2" s="492"/>
      <c r="AC2" s="492"/>
      <c r="AD2" s="492"/>
      <c r="AE2" s="492"/>
      <c r="AF2" s="492"/>
      <c r="AG2" s="492"/>
      <c r="AH2" s="492"/>
      <c r="AI2" s="492"/>
      <c r="AJ2" s="492"/>
      <c r="AK2" s="492"/>
      <c r="AL2" s="492"/>
      <c r="AM2" s="492"/>
      <c r="AN2" s="492"/>
      <c r="AO2" s="492"/>
      <c r="AP2" s="492"/>
      <c r="AQ2" s="492"/>
      <c r="AR2" s="492"/>
      <c r="AS2" s="492"/>
      <c r="AT2" s="492"/>
      <c r="AU2" s="492"/>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479"/>
      <c r="B3" s="480"/>
      <c r="C3" s="481"/>
      <c r="D3" s="471" t="s">
        <v>422</v>
      </c>
      <c r="E3" s="472"/>
      <c r="F3" s="472"/>
      <c r="G3" s="472"/>
      <c r="H3" s="472"/>
      <c r="I3" s="473"/>
      <c r="J3" s="471" t="s">
        <v>423</v>
      </c>
      <c r="K3" s="472"/>
      <c r="L3" s="472"/>
      <c r="M3" s="472"/>
      <c r="N3" s="472"/>
      <c r="O3" s="472"/>
      <c r="P3" s="472"/>
      <c r="Q3" s="472"/>
      <c r="R3" s="472"/>
      <c r="S3" s="472"/>
      <c r="T3" s="473"/>
      <c r="U3" s="235"/>
      <c r="V3" s="235"/>
      <c r="W3" s="235"/>
      <c r="X3" s="235"/>
      <c r="Y3" s="235"/>
      <c r="Z3" s="234"/>
      <c r="AA3" s="493"/>
      <c r="AB3" s="493"/>
      <c r="AC3" s="493"/>
      <c r="AD3" s="493"/>
      <c r="AE3" s="493"/>
      <c r="AF3" s="493"/>
      <c r="AG3" s="493"/>
      <c r="AH3" s="493"/>
      <c r="AI3" s="493"/>
      <c r="AJ3" s="493"/>
      <c r="AK3" s="493"/>
      <c r="AL3" s="493"/>
      <c r="AM3" s="493"/>
      <c r="AN3" s="493"/>
      <c r="AO3" s="493"/>
      <c r="AP3" s="493"/>
      <c r="AQ3" s="493"/>
      <c r="AR3" s="493"/>
      <c r="AS3" s="493"/>
      <c r="AT3" s="493"/>
      <c r="AU3" s="493"/>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482"/>
      <c r="B4" s="483"/>
      <c r="C4" s="484"/>
      <c r="D4" s="471" t="s">
        <v>424</v>
      </c>
      <c r="E4" s="472"/>
      <c r="F4" s="472"/>
      <c r="G4" s="472"/>
      <c r="H4" s="472"/>
      <c r="I4" s="472"/>
      <c r="J4" s="472"/>
      <c r="K4" s="472"/>
      <c r="L4" s="472"/>
      <c r="M4" s="472"/>
      <c r="N4" s="472"/>
      <c r="O4" s="472"/>
      <c r="P4" s="472"/>
      <c r="Q4" s="472"/>
      <c r="R4" s="472"/>
      <c r="S4" s="472"/>
      <c r="T4" s="473"/>
      <c r="U4" s="234"/>
      <c r="V4" s="234"/>
      <c r="W4" s="234"/>
      <c r="X4" s="234"/>
      <c r="Y4" s="234"/>
      <c r="Z4" s="234"/>
      <c r="AA4" s="493"/>
      <c r="AB4" s="493"/>
      <c r="AC4" s="493"/>
      <c r="AD4" s="493"/>
      <c r="AE4" s="493"/>
      <c r="AF4" s="493"/>
      <c r="AG4" s="493"/>
      <c r="AH4" s="493"/>
      <c r="AI4" s="493"/>
      <c r="AJ4" s="493"/>
      <c r="AK4" s="493"/>
      <c r="AL4" s="493"/>
      <c r="AM4" s="493"/>
      <c r="AN4" s="493"/>
      <c r="AO4" s="493"/>
      <c r="AP4" s="493"/>
      <c r="AQ4" s="493"/>
      <c r="AR4" s="493"/>
      <c r="AS4" s="493"/>
      <c r="AT4" s="493"/>
      <c r="AU4" s="493"/>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C5" s="188"/>
      <c r="D5" s="188"/>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494" t="s">
        <v>425</v>
      </c>
      <c r="B6" s="495"/>
      <c r="C6" s="501" t="s">
        <v>69</v>
      </c>
      <c r="D6" s="502"/>
      <c r="E6" s="502"/>
      <c r="F6" s="502"/>
      <c r="G6" s="502"/>
      <c r="H6" s="502"/>
      <c r="I6" s="502"/>
      <c r="J6" s="502"/>
      <c r="K6" s="502"/>
      <c r="L6" s="502"/>
      <c r="M6" s="502"/>
      <c r="N6" s="502"/>
      <c r="O6" s="502"/>
      <c r="P6" s="502"/>
      <c r="Q6" s="502"/>
      <c r="R6" s="502"/>
      <c r="S6" s="502"/>
      <c r="T6" s="503"/>
      <c r="U6" s="237"/>
      <c r="V6" s="237"/>
      <c r="W6" s="237"/>
      <c r="X6" s="237"/>
      <c r="Y6" s="237"/>
      <c r="Z6" s="500"/>
      <c r="AA6" s="500"/>
      <c r="AB6" s="500"/>
      <c r="AC6" s="491"/>
      <c r="AD6" s="491"/>
      <c r="AE6" s="491"/>
      <c r="AF6" s="491"/>
      <c r="AG6" s="491"/>
      <c r="AH6" s="491"/>
      <c r="AI6" s="491"/>
      <c r="AJ6" s="491"/>
      <c r="AK6" s="491"/>
      <c r="AL6" s="491"/>
      <c r="AM6" s="491"/>
      <c r="AN6" s="491"/>
      <c r="AO6" s="491"/>
      <c r="AP6" s="491"/>
      <c r="AQ6" s="491"/>
      <c r="AR6" s="491"/>
      <c r="AS6" s="491"/>
      <c r="AT6" s="491"/>
      <c r="AU6" s="491"/>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496" t="s">
        <v>427</v>
      </c>
      <c r="B7" s="497"/>
      <c r="C7" s="462" t="s">
        <v>748</v>
      </c>
      <c r="D7" s="463"/>
      <c r="E7" s="463"/>
      <c r="F7" s="463"/>
      <c r="G7" s="463"/>
      <c r="H7" s="463"/>
      <c r="I7" s="463"/>
      <c r="J7" s="463"/>
      <c r="K7" s="463"/>
      <c r="L7" s="463"/>
      <c r="M7" s="463"/>
      <c r="N7" s="463"/>
      <c r="O7" s="463"/>
      <c r="P7" s="463"/>
      <c r="Q7" s="463"/>
      <c r="R7" s="463"/>
      <c r="S7" s="463"/>
      <c r="T7" s="464"/>
      <c r="U7" s="238"/>
      <c r="V7" s="238"/>
      <c r="W7" s="238"/>
      <c r="X7" s="238"/>
      <c r="Y7" s="238"/>
      <c r="Z7" s="239"/>
      <c r="AA7" s="239"/>
      <c r="AB7" s="239"/>
      <c r="AC7" s="491"/>
      <c r="AD7" s="491"/>
      <c r="AE7" s="491"/>
      <c r="AF7" s="491"/>
      <c r="AG7" s="491"/>
      <c r="AH7" s="491"/>
      <c r="AI7" s="491"/>
      <c r="AJ7" s="491"/>
      <c r="AK7" s="491"/>
      <c r="AL7" s="491"/>
      <c r="AM7" s="491"/>
      <c r="AN7" s="491"/>
      <c r="AO7" s="491"/>
      <c r="AP7" s="491"/>
      <c r="AQ7" s="491"/>
      <c r="AR7" s="491"/>
      <c r="AS7" s="491"/>
      <c r="AT7" s="491"/>
      <c r="AU7" s="491"/>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27" customHeight="1" thickBot="1" x14ac:dyDescent="0.3">
      <c r="A8" s="498" t="s">
        <v>428</v>
      </c>
      <c r="B8" s="499"/>
      <c r="C8" s="462" t="s">
        <v>749</v>
      </c>
      <c r="D8" s="463"/>
      <c r="E8" s="463"/>
      <c r="F8" s="463"/>
      <c r="G8" s="463"/>
      <c r="H8" s="463"/>
      <c r="I8" s="463"/>
      <c r="J8" s="463"/>
      <c r="K8" s="463"/>
      <c r="L8" s="463"/>
      <c r="M8" s="463"/>
      <c r="N8" s="463"/>
      <c r="O8" s="463"/>
      <c r="P8" s="463"/>
      <c r="Q8" s="463"/>
      <c r="R8" s="463"/>
      <c r="S8" s="463"/>
      <c r="T8" s="464"/>
      <c r="U8" s="238"/>
      <c r="V8" s="238"/>
      <c r="W8" s="238"/>
      <c r="X8" s="238"/>
      <c r="Y8" s="238"/>
      <c r="Z8" s="239"/>
      <c r="AA8" s="239"/>
      <c r="AB8" s="239"/>
      <c r="AC8" s="491"/>
      <c r="AD8" s="491"/>
      <c r="AE8" s="491"/>
      <c r="AF8" s="491"/>
      <c r="AG8" s="491"/>
      <c r="AH8" s="491"/>
      <c r="AI8" s="491"/>
      <c r="AJ8" s="491"/>
      <c r="AK8" s="491"/>
      <c r="AL8" s="491"/>
      <c r="AM8" s="491"/>
      <c r="AN8" s="491"/>
      <c r="AO8" s="491"/>
      <c r="AP8" s="491"/>
      <c r="AQ8" s="491"/>
      <c r="AR8" s="491"/>
      <c r="AS8" s="491"/>
      <c r="AT8" s="491"/>
      <c r="AU8" s="491"/>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27.75" customHeight="1" x14ac:dyDescent="0.2">
      <c r="A10" s="506" t="s">
        <v>429</v>
      </c>
      <c r="B10" s="507"/>
      <c r="C10" s="507"/>
      <c r="D10" s="507"/>
      <c r="E10" s="507"/>
      <c r="F10" s="507"/>
      <c r="G10" s="508"/>
      <c r="H10" s="534" t="s">
        <v>430</v>
      </c>
      <c r="I10" s="535"/>
      <c r="J10" s="535"/>
      <c r="K10" s="536"/>
      <c r="L10" s="540" t="s">
        <v>431</v>
      </c>
      <c r="M10" s="541"/>
      <c r="N10" s="542" t="s">
        <v>432</v>
      </c>
      <c r="O10" s="543"/>
      <c r="P10" s="543"/>
      <c r="Q10" s="543"/>
      <c r="R10" s="543"/>
      <c r="S10" s="543"/>
      <c r="T10" s="543"/>
      <c r="U10" s="543"/>
      <c r="V10" s="507" t="s">
        <v>433</v>
      </c>
      <c r="W10" s="507"/>
      <c r="X10" s="507"/>
      <c r="Y10" s="507"/>
      <c r="Z10" s="507"/>
      <c r="AA10" s="507"/>
      <c r="AB10" s="507"/>
      <c r="AC10" s="507"/>
      <c r="AD10" s="507"/>
      <c r="AE10" s="507"/>
      <c r="AF10" s="507"/>
      <c r="AG10" s="507"/>
      <c r="AH10" s="508"/>
      <c r="AI10" s="537" t="s">
        <v>434</v>
      </c>
      <c r="AJ10" s="538"/>
      <c r="AK10" s="538"/>
      <c r="AL10" s="538"/>
      <c r="AM10" s="539"/>
      <c r="AN10" s="506" t="s">
        <v>435</v>
      </c>
      <c r="AO10" s="507"/>
      <c r="AP10" s="507"/>
      <c r="AQ10" s="507"/>
      <c r="AR10" s="508"/>
      <c r="AS10" s="534" t="s">
        <v>436</v>
      </c>
      <c r="AT10" s="535"/>
      <c r="AU10" s="536"/>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x14ac:dyDescent="0.2">
      <c r="A11" s="525" t="s">
        <v>437</v>
      </c>
      <c r="B11" s="510" t="s">
        <v>438</v>
      </c>
      <c r="C11" s="510" t="s">
        <v>439</v>
      </c>
      <c r="D11" s="510" t="s">
        <v>440</v>
      </c>
      <c r="E11" s="544" t="s">
        <v>441</v>
      </c>
      <c r="F11" s="510" t="s">
        <v>442</v>
      </c>
      <c r="G11" s="510" t="s">
        <v>23</v>
      </c>
      <c r="H11" s="528" t="s">
        <v>139</v>
      </c>
      <c r="I11" s="528" t="s">
        <v>443</v>
      </c>
      <c r="J11" s="528" t="s">
        <v>444</v>
      </c>
      <c r="K11" s="528" t="s">
        <v>445</v>
      </c>
      <c r="L11" s="540"/>
      <c r="M11" s="541"/>
      <c r="N11" s="530" t="s">
        <v>446</v>
      </c>
      <c r="O11" s="530" t="s">
        <v>447</v>
      </c>
      <c r="P11" s="509" t="s">
        <v>448</v>
      </c>
      <c r="Q11" s="530" t="s">
        <v>449</v>
      </c>
      <c r="R11" s="530" t="s">
        <v>450</v>
      </c>
      <c r="S11" s="530" t="s">
        <v>451</v>
      </c>
      <c r="T11" s="509" t="s">
        <v>448</v>
      </c>
      <c r="U11" s="530" t="s">
        <v>452</v>
      </c>
      <c r="V11" s="532" t="s">
        <v>453</v>
      </c>
      <c r="W11" s="251"/>
      <c r="X11" s="251"/>
      <c r="Y11" s="251"/>
      <c r="Z11" s="510" t="s">
        <v>31</v>
      </c>
      <c r="AA11" s="510" t="s">
        <v>33</v>
      </c>
      <c r="AB11" s="510" t="s">
        <v>454</v>
      </c>
      <c r="AC11" s="510"/>
      <c r="AD11" s="510"/>
      <c r="AE11" s="510"/>
      <c r="AF11" s="510"/>
      <c r="AG11" s="510"/>
      <c r="AH11" s="532" t="s">
        <v>455</v>
      </c>
      <c r="AI11" s="533" t="s">
        <v>456</v>
      </c>
      <c r="AJ11" s="533" t="s">
        <v>448</v>
      </c>
      <c r="AK11" s="533" t="s">
        <v>457</v>
      </c>
      <c r="AL11" s="533" t="s">
        <v>448</v>
      </c>
      <c r="AM11" s="533" t="s">
        <v>458</v>
      </c>
      <c r="AN11" s="532" t="s">
        <v>49</v>
      </c>
      <c r="AO11" s="510" t="s">
        <v>459</v>
      </c>
      <c r="AP11" s="510" t="s">
        <v>460</v>
      </c>
      <c r="AQ11" s="510" t="s">
        <v>461</v>
      </c>
      <c r="AR11" s="510" t="s">
        <v>462</v>
      </c>
      <c r="AS11" s="531" t="s">
        <v>463</v>
      </c>
      <c r="AT11" s="531" t="s">
        <v>464</v>
      </c>
      <c r="AU11" s="531" t="s">
        <v>460</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69" customHeight="1" x14ac:dyDescent="0.25">
      <c r="A12" s="525"/>
      <c r="B12" s="526"/>
      <c r="C12" s="510"/>
      <c r="D12" s="510"/>
      <c r="E12" s="545"/>
      <c r="F12" s="526"/>
      <c r="G12" s="510"/>
      <c r="H12" s="529"/>
      <c r="I12" s="529"/>
      <c r="J12" s="529"/>
      <c r="K12" s="529"/>
      <c r="L12" s="250" t="s">
        <v>465</v>
      </c>
      <c r="M12" s="250" t="s">
        <v>466</v>
      </c>
      <c r="N12" s="530"/>
      <c r="O12" s="530"/>
      <c r="P12" s="509"/>
      <c r="Q12" s="530"/>
      <c r="R12" s="530"/>
      <c r="S12" s="509"/>
      <c r="T12" s="509"/>
      <c r="U12" s="530"/>
      <c r="V12" s="532"/>
      <c r="W12" s="249" t="s">
        <v>467</v>
      </c>
      <c r="X12" s="249" t="s">
        <v>463</v>
      </c>
      <c r="Y12" s="249" t="s">
        <v>468</v>
      </c>
      <c r="Z12" s="510"/>
      <c r="AA12" s="510"/>
      <c r="AB12" s="248" t="s">
        <v>469</v>
      </c>
      <c r="AC12" s="248" t="s">
        <v>470</v>
      </c>
      <c r="AD12" s="248" t="s">
        <v>471</v>
      </c>
      <c r="AE12" s="248" t="s">
        <v>472</v>
      </c>
      <c r="AF12" s="248" t="s">
        <v>473</v>
      </c>
      <c r="AG12" s="248" t="s">
        <v>474</v>
      </c>
      <c r="AH12" s="532"/>
      <c r="AI12" s="533"/>
      <c r="AJ12" s="533"/>
      <c r="AK12" s="533"/>
      <c r="AL12" s="533"/>
      <c r="AM12" s="533"/>
      <c r="AN12" s="532"/>
      <c r="AO12" s="510"/>
      <c r="AP12" s="510"/>
      <c r="AQ12" s="510"/>
      <c r="AR12" s="510"/>
      <c r="AS12" s="531"/>
      <c r="AT12" s="531"/>
      <c r="AU12" s="531"/>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ht="399" customHeight="1" x14ac:dyDescent="0.25">
      <c r="A13" s="474">
        <v>1</v>
      </c>
      <c r="B13" s="515" t="s">
        <v>123</v>
      </c>
      <c r="C13" s="798" t="s">
        <v>765</v>
      </c>
      <c r="D13" s="515" t="s">
        <v>766</v>
      </c>
      <c r="E13" s="515" t="s">
        <v>720</v>
      </c>
      <c r="F13" s="515" t="str">
        <f>+CONCATENATE(B13," ",C13," ",D13)</f>
        <v xml:space="preserve">Posibilidad de afectación reputacional por sanciones o no conformidades de los entes de control o la OCI  por el desabastecimiento de mezcla o insumos para el cumplimiento de la misionalidad  debido a deficiencias en la programación del material o control de los insumos para cumplir con las solicitudes concertadas. </v>
      </c>
      <c r="G13" s="515" t="s">
        <v>475</v>
      </c>
      <c r="H13" s="516" t="s">
        <v>142</v>
      </c>
      <c r="I13" s="516" t="s">
        <v>721</v>
      </c>
      <c r="J13" s="516" t="s">
        <v>722</v>
      </c>
      <c r="K13" s="516" t="s">
        <v>764</v>
      </c>
      <c r="L13" s="516" t="s">
        <v>146</v>
      </c>
      <c r="M13" s="516" t="s">
        <v>125</v>
      </c>
      <c r="N13" s="519">
        <v>300</v>
      </c>
      <c r="O13" s="514" t="str">
        <f>IF(N13&lt;=0,"",IF(N13&lt;=2,"Muy Baja",IF(N13&lt;=24,"Baja",IF(N13&lt;=500,"Media",IF(N13&lt;=5000,"Alta","Muy Alta")))))</f>
        <v>Media</v>
      </c>
      <c r="P13" s="512">
        <f>IF(O13="","",IF(O13="Muy Baja",0.2,IF(O13="Baja",0.4,IF(O13="Media",0.6,IF(O13="Alta",0.8,IF(O13="Muy Alta",1,))))))</f>
        <v>0.6</v>
      </c>
      <c r="Q13" s="513" t="s">
        <v>476</v>
      </c>
      <c r="R13" s="512" t="str">
        <f>IF(NOT(ISERROR(MATCH(Q13,'Tabla Impacto'!$B$245:$B$247,0))),'Tabla Impacto'!$F$224&amp;"Por favor no seleccionar los criterios de impacto(Afectación Económica o presupuestal y Pérdida Reputacional)",Q13)</f>
        <v xml:space="preserve">     El riesgo afecta la imagen de la entidad con algunos usuarios de relevancia frente al logro de los objetivos</v>
      </c>
      <c r="S13" s="514" t="str">
        <f>IF(OR(R13='Tabla Impacto'!$C$12,R13='Tabla Impacto'!$D$12),"Leve",IF(OR(R13='Tabla Impacto'!$C$13,R13='Tabla Impacto'!$D$13),"Menor",IF(OR(R13='Tabla Impacto'!$C$14,R13='Tabla Impacto'!$D$14),"Moderado",IF(OR(R13='Tabla Impacto'!$C$15,R13='Tabla Impacto'!$D$15),"Mayor",IF(OR(R13='Tabla Impacto'!$C$16,R13='Tabla Impacto'!$D$16),"Catastrófico","")))))</f>
        <v>Moderado</v>
      </c>
      <c r="T13" s="512">
        <f>IF(S13="","",IF(S13="Leve",0.2,IF(S13="Menor",0.4,IF(S13="Moderado",0.6,IF(S13="Mayor",0.8,IF(S13="Catastrófico",1,))))))</f>
        <v>0.6</v>
      </c>
      <c r="U13" s="511"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199">
        <v>1</v>
      </c>
      <c r="W13" s="244" t="s">
        <v>723</v>
      </c>
      <c r="X13" s="244" t="s">
        <v>135</v>
      </c>
      <c r="Y13" s="410" t="s">
        <v>771</v>
      </c>
      <c r="Z13" s="413" t="str">
        <f>+CONCATENATE(W13," ",X13," ",Y13)</f>
        <v>El Gerente de Produccion Revisa mensualmente los informes de supervisión de la ejecución de los contratos a cargo de la Gerencia de producción, su ejecución y avance en el tablero de control de la mesa de seguimiento contractual y presupuestal Proyectos Misionales de la Subdirección de producción y apoyo logístico, con el objetivo de gestionar las modificaciones contractuales para la continuidad del suministro de mezclas, los cuales se documentan en el acta de la mesa de trabajo.
En caso de presentarse o identificar novedades que afecten significativamente el despacho, se escala al Comité de planificación, producción e intervención incluyéndolo en el orden del día para tomar las acciones relacionadas con la capacidad y programación ofertada de manera consensuada en la cadena de valor misional.</v>
      </c>
      <c r="AA13" s="176" t="str">
        <f t="shared" ref="AA13:AA16" si="0">IF(OR(AB13="Preventivo",AB13="Detectivo"),"Probabilidad",IF(AB13="Correctivo","Impacto",""))</f>
        <v>Probabilidad</v>
      </c>
      <c r="AB13" s="177" t="s">
        <v>477</v>
      </c>
      <c r="AC13" s="177" t="s">
        <v>478</v>
      </c>
      <c r="AD13" s="178" t="str">
        <f>IF(AND(AB13="Preventivo",AC13="Automático"),"50%",IF(AND(AB13="Preventivo",AC13="Manual"),"40%",IF(AND(AB13="Detectivo",AC13="Automático"),"40%",IF(AND(AB13="Detectivo",AC13="Manual"),"30%",IF(AND(AB13="Correctivo",AC13="Automático"),"35%",IF(AND(AB13="Correctivo",AC13="Manual"),"25%",""))))))</f>
        <v>40%</v>
      </c>
      <c r="AE13" s="177" t="s">
        <v>479</v>
      </c>
      <c r="AF13" s="177" t="s">
        <v>480</v>
      </c>
      <c r="AG13" s="177" t="s">
        <v>481</v>
      </c>
      <c r="AH13" s="179">
        <f>IFERROR(IF(AA13="Probabilidad",(P13-(+P13*AD13)),IF(AA13="Impacto",P13,"")),"")</f>
        <v>0.36</v>
      </c>
      <c r="AI13" s="180" t="str">
        <f>IFERROR(IF(AH13="","",IF(AH13&lt;=0.2,"Muy Baja",IF(AH13&lt;=0.4,"Baja",IF(AH13&lt;=0.6,"Media",IF(AH13&lt;=0.8,"Alta","Muy Alta"))))),"")</f>
        <v>Baja</v>
      </c>
      <c r="AJ13" s="178">
        <f>+AH13</f>
        <v>0.36</v>
      </c>
      <c r="AK13" s="180" t="str">
        <f>IFERROR(IF(AL13="","",IF(AL13&lt;=0.2,"Leve",IF(AL13&lt;=0.4,"Menor",IF(AL13&lt;=0.6,"Moderado",IF(AL13&lt;=0.8,"Mayor","Catastrófico"))))),"")</f>
        <v>Moderado</v>
      </c>
      <c r="AL13" s="178">
        <f>IFERROR(IF(AA13="Impacto",(T13-(+T13*AD13)),IF(AA13="Probabilidad",T13,"")),"")</f>
        <v>0.6</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Moderado</v>
      </c>
      <c r="AN13" s="182" t="s">
        <v>126</v>
      </c>
      <c r="AO13" s="175" t="s">
        <v>724</v>
      </c>
      <c r="AP13" s="175" t="s">
        <v>726</v>
      </c>
      <c r="AQ13" s="175" t="s">
        <v>727</v>
      </c>
      <c r="AR13" s="184" t="s">
        <v>728</v>
      </c>
      <c r="AS13" s="516" t="s">
        <v>730</v>
      </c>
      <c r="AT13" s="516" t="s">
        <v>731</v>
      </c>
      <c r="AU13" s="516" t="s">
        <v>732</v>
      </c>
    </row>
    <row r="14" spans="1:275" ht="409.5" customHeight="1" x14ac:dyDescent="0.2">
      <c r="A14" s="474"/>
      <c r="B14" s="515"/>
      <c r="C14" s="798"/>
      <c r="D14" s="515"/>
      <c r="E14" s="515"/>
      <c r="F14" s="515"/>
      <c r="G14" s="515"/>
      <c r="H14" s="517"/>
      <c r="I14" s="517"/>
      <c r="J14" s="517"/>
      <c r="K14" s="517"/>
      <c r="L14" s="517"/>
      <c r="M14" s="517"/>
      <c r="N14" s="519"/>
      <c r="O14" s="514"/>
      <c r="P14" s="512"/>
      <c r="Q14" s="513"/>
      <c r="R14" s="512">
        <f>IF(NOT(ISERROR(MATCH(Q14,_xlfn.ANCHORARRAY(F25),0))),P27&amp;"Por favor no seleccionar los criterios de impacto",Q14)</f>
        <v>0</v>
      </c>
      <c r="S14" s="514"/>
      <c r="T14" s="512"/>
      <c r="U14" s="511"/>
      <c r="V14" s="199">
        <v>2</v>
      </c>
      <c r="W14" s="244" t="s">
        <v>723</v>
      </c>
      <c r="X14" s="199" t="s">
        <v>132</v>
      </c>
      <c r="Y14" s="410" t="s">
        <v>772</v>
      </c>
      <c r="Z14" s="413" t="str">
        <f>+CONCATENATE(W14," ",X14," ",Y14)</f>
        <v>El Gerente de Produccion Compara Mensualmente el reporte de avance mensual y variaciones de metas institucionales de la gerencia de intervención con el plan anual de adquisiciones a su cargo e informar al equipo de trabajo de la Gerencia de producción las variaciones en la demanda de recursos para la toma de decisiones relacionadas con la gestión contractual y ajustar la capacidad de acuerdo con esas necesidades registradas en el acta mesa de seguimiento contractual y presupuestal Proyectos Misionales de la Subdirección de producción y apoyo logístico, 
En caso de presentarse o identificar novedades que afecten significativamente el volumen se escala al Comité de planificación, producción e intervención incluyéndolo en el orden del día para tomar las acciones relacionadas con la capacidad y programación ofertada de manera consensuada en la cadena de valor misional</v>
      </c>
      <c r="AA14" s="176" t="str">
        <f t="shared" si="0"/>
        <v>Probabilidad</v>
      </c>
      <c r="AB14" s="177" t="s">
        <v>477</v>
      </c>
      <c r="AC14" s="177" t="s">
        <v>478</v>
      </c>
      <c r="AD14" s="178" t="str">
        <f t="shared" ref="AD14:AD18" si="1">IF(AND(AB14="Preventivo",AC14="Automático"),"50%",IF(AND(AB14="Preventivo",AC14="Manual"),"40%",IF(AND(AB14="Detectivo",AC14="Automático"),"40%",IF(AND(AB14="Detectivo",AC14="Manual"),"30%",IF(AND(AB14="Correctivo",AC14="Automático"),"35%",IF(AND(AB14="Correctivo",AC14="Manual"),"25%",""))))))</f>
        <v>40%</v>
      </c>
      <c r="AE14" s="177" t="s">
        <v>479</v>
      </c>
      <c r="AF14" s="177" t="s">
        <v>480</v>
      </c>
      <c r="AG14" s="177" t="s">
        <v>484</v>
      </c>
      <c r="AH14" s="179">
        <f>IFERROR(IF(AND(AA13="Probabilidad",AA14="Probabilidad"),(AJ13-(+AJ13*AD14)),IF(AA14="Probabilidad",(P13-(+P13*AD14)),IF(AA14="Impacto",AJ13,""))),"")</f>
        <v>0.216</v>
      </c>
      <c r="AI14" s="180" t="str">
        <f t="shared" ref="AI14:AI72" si="2">IFERROR(IF(AH14="","",IF(AH14&lt;=0.2,"Muy Baja",IF(AH14&lt;=0.4,"Baja",IF(AH14&lt;=0.6,"Media",IF(AH14&lt;=0.8,"Alta","Muy Alta"))))),"")</f>
        <v>Baja</v>
      </c>
      <c r="AJ14" s="178">
        <f t="shared" ref="AJ14:AJ18" si="3">+AH14</f>
        <v>0.216</v>
      </c>
      <c r="AK14" s="180" t="str">
        <f t="shared" ref="AK14:AK72" si="4">IFERROR(IF(AL14="","",IF(AL14&lt;=0.2,"Leve",IF(AL14&lt;=0.4,"Menor",IF(AL14&lt;=0.6,"Moderado",IF(AL14&lt;=0.8,"Mayor","Catastrófico"))))),"")</f>
        <v>Moderado</v>
      </c>
      <c r="AL14" s="178">
        <f>IFERROR(IF(AND(AA13="Impacto",AA14="Impacto"),(AL13-(+AL13*AD14)),IF(AA14="Impacto",($T$13-(+$T$13*AD14)),IF(AA14="Probabilidad",AL13,""))),"")</f>
        <v>0.6</v>
      </c>
      <c r="AM14" s="181" t="str">
        <f t="shared" ref="AM14:AM18" si="5">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Moderado</v>
      </c>
      <c r="AN14" s="182" t="s">
        <v>126</v>
      </c>
      <c r="AO14" s="175" t="s">
        <v>725</v>
      </c>
      <c r="AP14" s="175" t="s">
        <v>726</v>
      </c>
      <c r="AQ14" s="175" t="s">
        <v>729</v>
      </c>
      <c r="AR14" s="184" t="s">
        <v>728</v>
      </c>
      <c r="AS14" s="517"/>
      <c r="AT14" s="517"/>
      <c r="AU14" s="517"/>
    </row>
    <row r="15" spans="1:275" s="391" customFormat="1" x14ac:dyDescent="0.2">
      <c r="A15" s="474"/>
      <c r="B15" s="515"/>
      <c r="C15" s="798"/>
      <c r="D15" s="515"/>
      <c r="E15" s="515"/>
      <c r="F15" s="515"/>
      <c r="G15" s="515"/>
      <c r="H15" s="517"/>
      <c r="I15" s="517"/>
      <c r="J15" s="517"/>
      <c r="K15" s="517"/>
      <c r="L15" s="517"/>
      <c r="M15" s="517"/>
      <c r="N15" s="519"/>
      <c r="O15" s="514"/>
      <c r="P15" s="512"/>
      <c r="Q15" s="513"/>
      <c r="R15" s="512">
        <f>IF(NOT(ISERROR(MATCH(Q15,_xlfn.ANCHORARRAY(F26),0))),P28&amp;"Por favor no seleccionar los criterios de impacto",Q15)</f>
        <v>0</v>
      </c>
      <c r="S15" s="514"/>
      <c r="T15" s="512"/>
      <c r="U15" s="511"/>
      <c r="V15" s="381">
        <v>3</v>
      </c>
      <c r="W15" s="382"/>
      <c r="X15" s="381"/>
      <c r="Y15" s="381"/>
      <c r="Z15" s="379" t="str">
        <f t="shared" ref="Z15:Z72" si="6">+CONCATENATE(W15," ",X15," ",Y15)</f>
        <v xml:space="preserve">  </v>
      </c>
      <c r="AA15" s="383" t="str">
        <f t="shared" si="0"/>
        <v/>
      </c>
      <c r="AB15" s="384"/>
      <c r="AC15" s="384"/>
      <c r="AD15" s="385" t="str">
        <f t="shared" si="1"/>
        <v/>
      </c>
      <c r="AE15" s="384"/>
      <c r="AF15" s="384"/>
      <c r="AG15" s="384"/>
      <c r="AH15" s="386" t="str">
        <f>IFERROR(IF(AND(AA14="Probabilidad",AA15="Probabilidad"),(AJ14-(+AJ14*AD15)),IF(AND(AA14="Impacto",AA15="Probabilidad"),(AJ13-(+AJ13*AD15)),IF(AA15="Impacto",AJ14,""))),"")</f>
        <v/>
      </c>
      <c r="AI15" s="387" t="str">
        <f t="shared" si="2"/>
        <v/>
      </c>
      <c r="AJ15" s="385" t="str">
        <f t="shared" si="3"/>
        <v/>
      </c>
      <c r="AK15" s="387" t="str">
        <f t="shared" si="4"/>
        <v/>
      </c>
      <c r="AL15" s="385" t="str">
        <f>IFERROR(IF(AND(AA14="Impacto",AA15="Impacto"),(AL14-(+AL14*AD15)),IF(AND(AA14="Probabilidad",AA15="Impacto"),(AL13-(+AL13*AD15)),IF(AA15="Probabilidad",AL14,""))),"")</f>
        <v/>
      </c>
      <c r="AM15" s="388" t="str">
        <f t="shared" si="5"/>
        <v/>
      </c>
      <c r="AN15" s="389"/>
      <c r="AO15" s="378"/>
      <c r="AP15" s="380"/>
      <c r="AQ15" s="380"/>
      <c r="AR15" s="390"/>
      <c r="AS15" s="517"/>
      <c r="AT15" s="517"/>
      <c r="AU15" s="517"/>
    </row>
    <row r="16" spans="1:275" s="391" customFormat="1" x14ac:dyDescent="0.2">
      <c r="A16" s="474"/>
      <c r="B16" s="515"/>
      <c r="C16" s="798"/>
      <c r="D16" s="515"/>
      <c r="E16" s="515"/>
      <c r="F16" s="515"/>
      <c r="G16" s="515"/>
      <c r="H16" s="517"/>
      <c r="I16" s="517"/>
      <c r="J16" s="517"/>
      <c r="K16" s="517"/>
      <c r="L16" s="517"/>
      <c r="M16" s="517"/>
      <c r="N16" s="519"/>
      <c r="O16" s="514"/>
      <c r="P16" s="512"/>
      <c r="Q16" s="513"/>
      <c r="R16" s="512">
        <f>IF(NOT(ISERROR(MATCH(Q16,_xlfn.ANCHORARRAY(F27),0))),P29&amp;"Por favor no seleccionar los criterios de impacto",Q16)</f>
        <v>0</v>
      </c>
      <c r="S16" s="514"/>
      <c r="T16" s="512"/>
      <c r="U16" s="511"/>
      <c r="V16" s="381">
        <v>4</v>
      </c>
      <c r="W16" s="382"/>
      <c r="X16" s="381"/>
      <c r="Y16" s="381"/>
      <c r="Z16" s="379" t="str">
        <f t="shared" si="6"/>
        <v xml:space="preserve">  </v>
      </c>
      <c r="AA16" s="383" t="str">
        <f t="shared" si="0"/>
        <v/>
      </c>
      <c r="AB16" s="384"/>
      <c r="AC16" s="384"/>
      <c r="AD16" s="385" t="str">
        <f t="shared" si="1"/>
        <v/>
      </c>
      <c r="AE16" s="384"/>
      <c r="AF16" s="384"/>
      <c r="AG16" s="384"/>
      <c r="AH16" s="386" t="str">
        <f t="shared" ref="AH16:AH18" si="7">IFERROR(IF(AND(AA15="Probabilidad",AA16="Probabilidad"),(AJ15-(+AJ15*AD16)),IF(AND(AA15="Impacto",AA16="Probabilidad"),(AJ14-(+AJ14*AD16)),IF(AA16="Impacto",AJ15,""))),"")</f>
        <v/>
      </c>
      <c r="AI16" s="387" t="str">
        <f t="shared" si="2"/>
        <v/>
      </c>
      <c r="AJ16" s="385" t="str">
        <f t="shared" si="3"/>
        <v/>
      </c>
      <c r="AK16" s="387" t="str">
        <f t="shared" si="4"/>
        <v/>
      </c>
      <c r="AL16" s="385" t="str">
        <f t="shared" ref="AL16:AL18" si="8">IFERROR(IF(AND(AA15="Impacto",AA16="Impacto"),(AL15-(+AL15*AD16)),IF(AND(AA15="Probabilidad",AA16="Impacto"),(AL14-(+AL14*AD16)),IF(AA16="Probabilidad",AL15,""))),"")</f>
        <v/>
      </c>
      <c r="AM16" s="388"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389"/>
      <c r="AO16" s="378"/>
      <c r="AP16" s="380"/>
      <c r="AQ16" s="380"/>
      <c r="AR16" s="390"/>
      <c r="AS16" s="517"/>
      <c r="AT16" s="517"/>
      <c r="AU16" s="517"/>
    </row>
    <row r="17" spans="1:47" s="391" customFormat="1" x14ac:dyDescent="0.2">
      <c r="A17" s="474"/>
      <c r="B17" s="515"/>
      <c r="C17" s="798"/>
      <c r="D17" s="515"/>
      <c r="E17" s="515"/>
      <c r="F17" s="515"/>
      <c r="G17" s="515"/>
      <c r="H17" s="517"/>
      <c r="I17" s="517"/>
      <c r="J17" s="517"/>
      <c r="K17" s="517"/>
      <c r="L17" s="517"/>
      <c r="M17" s="517"/>
      <c r="N17" s="519"/>
      <c r="O17" s="514"/>
      <c r="P17" s="512"/>
      <c r="Q17" s="513"/>
      <c r="R17" s="512">
        <f>IF(NOT(ISERROR(MATCH(Q17,_xlfn.ANCHORARRAY(F28),0))),P30&amp;"Por favor no seleccionar los criterios de impacto",Q17)</f>
        <v>0</v>
      </c>
      <c r="S17" s="514"/>
      <c r="T17" s="512"/>
      <c r="U17" s="511"/>
      <c r="V17" s="381">
        <v>5</v>
      </c>
      <c r="W17" s="382"/>
      <c r="X17" s="381"/>
      <c r="Y17" s="381"/>
      <c r="Z17" s="379" t="str">
        <f t="shared" si="6"/>
        <v xml:space="preserve">  </v>
      </c>
      <c r="AA17" s="383" t="str">
        <f t="shared" ref="AA17:AA18" si="9">IF(OR(AB17="Preventivo",AB17="Detectivo"),"Probabilidad",IF(AB17="Correctivo","Impacto",""))</f>
        <v/>
      </c>
      <c r="AB17" s="384"/>
      <c r="AC17" s="384"/>
      <c r="AD17" s="385" t="str">
        <f t="shared" si="1"/>
        <v/>
      </c>
      <c r="AE17" s="384"/>
      <c r="AF17" s="384"/>
      <c r="AG17" s="384"/>
      <c r="AH17" s="386" t="str">
        <f t="shared" si="7"/>
        <v/>
      </c>
      <c r="AI17" s="387" t="str">
        <f t="shared" si="2"/>
        <v/>
      </c>
      <c r="AJ17" s="385" t="str">
        <f t="shared" si="3"/>
        <v/>
      </c>
      <c r="AK17" s="387" t="str">
        <f t="shared" si="4"/>
        <v/>
      </c>
      <c r="AL17" s="385" t="str">
        <f t="shared" si="8"/>
        <v/>
      </c>
      <c r="AM17" s="388" t="str">
        <f t="shared" si="5"/>
        <v/>
      </c>
      <c r="AN17" s="389"/>
      <c r="AO17" s="378"/>
      <c r="AP17" s="380"/>
      <c r="AQ17" s="380"/>
      <c r="AR17" s="390"/>
      <c r="AS17" s="517"/>
      <c r="AT17" s="517"/>
      <c r="AU17" s="517"/>
    </row>
    <row r="18" spans="1:47" s="391" customFormat="1" ht="17.25" customHeight="1" x14ac:dyDescent="0.2">
      <c r="A18" s="474"/>
      <c r="B18" s="515"/>
      <c r="C18" s="798"/>
      <c r="D18" s="515"/>
      <c r="E18" s="515"/>
      <c r="F18" s="515"/>
      <c r="G18" s="515"/>
      <c r="H18" s="518"/>
      <c r="I18" s="518"/>
      <c r="J18" s="518"/>
      <c r="K18" s="518"/>
      <c r="L18" s="518"/>
      <c r="M18" s="518"/>
      <c r="N18" s="519"/>
      <c r="O18" s="514"/>
      <c r="P18" s="512"/>
      <c r="Q18" s="513"/>
      <c r="R18" s="512">
        <f>IF(NOT(ISERROR(MATCH(Q18,_xlfn.ANCHORARRAY(F29),0))),P31&amp;"Por favor no seleccionar los criterios de impacto",Q18)</f>
        <v>0</v>
      </c>
      <c r="S18" s="514"/>
      <c r="T18" s="512"/>
      <c r="U18" s="511"/>
      <c r="V18" s="381">
        <v>6</v>
      </c>
      <c r="W18" s="382"/>
      <c r="X18" s="381"/>
      <c r="Y18" s="381"/>
      <c r="Z18" s="379" t="str">
        <f t="shared" si="6"/>
        <v xml:space="preserve">  </v>
      </c>
      <c r="AA18" s="383" t="str">
        <f t="shared" si="9"/>
        <v/>
      </c>
      <c r="AB18" s="384"/>
      <c r="AC18" s="384"/>
      <c r="AD18" s="385" t="str">
        <f t="shared" si="1"/>
        <v/>
      </c>
      <c r="AE18" s="384"/>
      <c r="AF18" s="384"/>
      <c r="AG18" s="384"/>
      <c r="AH18" s="386" t="str">
        <f t="shared" si="7"/>
        <v/>
      </c>
      <c r="AI18" s="387" t="str">
        <f t="shared" si="2"/>
        <v/>
      </c>
      <c r="AJ18" s="385" t="str">
        <f t="shared" si="3"/>
        <v/>
      </c>
      <c r="AK18" s="387" t="str">
        <f t="shared" si="4"/>
        <v/>
      </c>
      <c r="AL18" s="385" t="str">
        <f t="shared" si="8"/>
        <v/>
      </c>
      <c r="AM18" s="388" t="str">
        <f t="shared" si="5"/>
        <v/>
      </c>
      <c r="AN18" s="389"/>
      <c r="AO18" s="378"/>
      <c r="AP18" s="380"/>
      <c r="AQ18" s="380"/>
      <c r="AR18" s="390"/>
      <c r="AS18" s="518"/>
      <c r="AT18" s="518"/>
      <c r="AU18" s="518"/>
    </row>
    <row r="19" spans="1:47" s="391" customFormat="1" ht="17.25" customHeight="1" x14ac:dyDescent="0.2">
      <c r="A19" s="474">
        <v>2</v>
      </c>
      <c r="B19" s="475"/>
      <c r="C19" s="475"/>
      <c r="D19" s="475"/>
      <c r="E19" s="475"/>
      <c r="F19" s="527" t="str">
        <f t="shared" ref="F19" si="10">+CONCATENATE(B19," ",C19," ",D19)</f>
        <v xml:space="preserve">  </v>
      </c>
      <c r="G19" s="475"/>
      <c r="H19" s="488"/>
      <c r="I19" s="488"/>
      <c r="J19" s="488"/>
      <c r="K19" s="488"/>
      <c r="L19" s="488"/>
      <c r="M19" s="488"/>
      <c r="N19" s="485"/>
      <c r="O19" s="486" t="str">
        <f>IF(N19&lt;=0,"",IF(N19&lt;=2,"Muy Baja",IF(N19&lt;=24,"Baja",IF(N19&lt;=500,"Media",IF(N19&lt;=5000,"Alta","Muy Alta")))))</f>
        <v/>
      </c>
      <c r="P19" s="487" t="str">
        <f>IF(O19="","",IF(O19="Muy Baja",0.2,IF(O19="Baja",0.4,IF(O19="Media",0.6,IF(O19="Alta",0.8,IF(O19="Muy Alta",1,))))))</f>
        <v/>
      </c>
      <c r="Q19" s="505"/>
      <c r="R19" s="487">
        <f>IF(NOT(ISERROR(MATCH(Q19,'Tabla Impacto'!$B$245:$B$247,0))),'Tabla Impacto'!$F$224&amp;"Por favor no seleccionar los criterios de impacto(Afectación Económica o presupuestal y Pérdida Reputacional)",Q19)</f>
        <v>0</v>
      </c>
      <c r="S19" s="486" t="str">
        <f>IF(OR(R19='Tabla Impacto'!$C$12,R19='Tabla Impacto'!$D$12),"Leve",IF(OR(R19='Tabla Impacto'!$C$13,R19='Tabla Impacto'!$D$13),"Menor",IF(OR(R19='Tabla Impacto'!$C$14,R19='Tabla Impacto'!$D$14),"Moderado",IF(OR(R19='Tabla Impacto'!$C$15,R19='Tabla Impacto'!$D$15),"Mayor",IF(OR(R19='Tabla Impacto'!$C$16,R19='Tabla Impacto'!$D$16),"Catastrófico","")))))</f>
        <v/>
      </c>
      <c r="T19" s="487" t="str">
        <f>IF(S19="","",IF(S19="Leve",0.2,IF(S19="Menor",0.4,IF(S19="Moderado",0.6,IF(S19="Mayor",0.8,IF(S19="Catastrófico",1,))))))</f>
        <v/>
      </c>
      <c r="U19" s="50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381">
        <v>1</v>
      </c>
      <c r="W19" s="382"/>
      <c r="X19" s="381"/>
      <c r="Y19" s="381"/>
      <c r="Z19" s="379" t="str">
        <f t="shared" si="6"/>
        <v xml:space="preserve">  </v>
      </c>
      <c r="AA19" s="383" t="str">
        <f>IF(OR(AB19="Preventivo",AB19="Detectivo"),"Probabilidad",IF(AB19="Correctivo","Impacto",""))</f>
        <v/>
      </c>
      <c r="AB19" s="384"/>
      <c r="AC19" s="384"/>
      <c r="AD19" s="385" t="str">
        <f>IF(AND(AB19="Preventivo",AC19="Automático"),"50%",IF(AND(AB19="Preventivo",AC19="Manual"),"40%",IF(AND(AB19="Detectivo",AC19="Automático"),"40%",IF(AND(AB19="Detectivo",AC19="Manual"),"30%",IF(AND(AB19="Correctivo",AC19="Automático"),"35%",IF(AND(AB19="Correctivo",AC19="Manual"),"25%",""))))))</f>
        <v/>
      </c>
      <c r="AE19" s="384"/>
      <c r="AF19" s="384"/>
      <c r="AG19" s="384"/>
      <c r="AH19" s="386" t="str">
        <f>IFERROR(IF(AA19="Probabilidad",(P19-(+P19*AD19)),IF(AA19="Impacto",P19,"")),"")</f>
        <v/>
      </c>
      <c r="AI19" s="387" t="str">
        <f>IFERROR(IF(AH19="","",IF(AH19&lt;=0.2,"Muy Baja",IF(AH19&lt;=0.4,"Baja",IF(AH19&lt;=0.6,"Media",IF(AH19&lt;=0.8,"Alta","Muy Alta"))))),"")</f>
        <v/>
      </c>
      <c r="AJ19" s="385" t="str">
        <f>+AH19</f>
        <v/>
      </c>
      <c r="AK19" s="387" t="str">
        <f>IFERROR(IF(AL19="","",IF(AL19&lt;=0.2,"Leve",IF(AL19&lt;=0.4,"Menor",IF(AL19&lt;=0.6,"Moderado",IF(AL19&lt;=0.8,"Mayor","Catastrófico"))))),"")</f>
        <v/>
      </c>
      <c r="AL19" s="385" t="str">
        <f t="shared" ref="AL19" si="11">IFERROR(IF(AA19="Impacto",(T19-(+T19*AD19)),IF(AA19="Probabilidad",T19,"")),"")</f>
        <v/>
      </c>
      <c r="AM19" s="388"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389"/>
      <c r="AO19" s="378"/>
      <c r="AP19" s="380"/>
      <c r="AQ19" s="380"/>
      <c r="AR19" s="390"/>
      <c r="AS19" s="485"/>
      <c r="AT19" s="485"/>
      <c r="AU19" s="485"/>
    </row>
    <row r="20" spans="1:47" s="391" customFormat="1" ht="14.25" customHeight="1" x14ac:dyDescent="0.2">
      <c r="A20" s="474"/>
      <c r="B20" s="475"/>
      <c r="C20" s="475"/>
      <c r="D20" s="475"/>
      <c r="E20" s="475"/>
      <c r="F20" s="527"/>
      <c r="G20" s="475"/>
      <c r="H20" s="489"/>
      <c r="I20" s="489"/>
      <c r="J20" s="489"/>
      <c r="K20" s="489"/>
      <c r="L20" s="489"/>
      <c r="M20" s="489"/>
      <c r="N20" s="485"/>
      <c r="O20" s="486"/>
      <c r="P20" s="487"/>
      <c r="Q20" s="505"/>
      <c r="R20" s="487">
        <f>IF(NOT(ISERROR(MATCH(Q20,_xlfn.ANCHORARRAY(F31),0))),P33&amp;"Por favor no seleccionar los criterios de impacto",Q20)</f>
        <v>0</v>
      </c>
      <c r="S20" s="486"/>
      <c r="T20" s="487"/>
      <c r="U20" s="504"/>
      <c r="V20" s="381">
        <v>2</v>
      </c>
      <c r="W20" s="382"/>
      <c r="X20" s="381"/>
      <c r="Y20" s="381"/>
      <c r="Z20" s="379" t="str">
        <f t="shared" si="6"/>
        <v xml:space="preserve">  </v>
      </c>
      <c r="AA20" s="383" t="str">
        <f>IF(OR(AB20="Preventivo",AB20="Detectivo"),"Probabilidad",IF(AB20="Correctivo","Impacto",""))</f>
        <v/>
      </c>
      <c r="AB20" s="384"/>
      <c r="AC20" s="384"/>
      <c r="AD20" s="385" t="str">
        <f t="shared" ref="AD20:AD24" si="12">IF(AND(AB20="Preventivo",AC20="Automático"),"50%",IF(AND(AB20="Preventivo",AC20="Manual"),"40%",IF(AND(AB20="Detectivo",AC20="Automático"),"40%",IF(AND(AB20="Detectivo",AC20="Manual"),"30%",IF(AND(AB20="Correctivo",AC20="Automático"),"35%",IF(AND(AB20="Correctivo",AC20="Manual"),"25%",""))))))</f>
        <v/>
      </c>
      <c r="AE20" s="384"/>
      <c r="AF20" s="384"/>
      <c r="AG20" s="384"/>
      <c r="AH20" s="386" t="str">
        <f>IFERROR(IF(AND(AA19="Probabilidad",AA20="Probabilidad"),(AJ19-(+AJ19*AD20)),IF(AA20="Probabilidad",(P19-(+P19*AD20)),IF(AA20="Impacto",AJ19,""))),"")</f>
        <v/>
      </c>
      <c r="AI20" s="387" t="str">
        <f t="shared" si="2"/>
        <v/>
      </c>
      <c r="AJ20" s="385" t="str">
        <f t="shared" ref="AJ20:AJ24" si="13">+AH20</f>
        <v/>
      </c>
      <c r="AK20" s="387" t="str">
        <f t="shared" si="4"/>
        <v/>
      </c>
      <c r="AL20" s="385" t="str">
        <f t="shared" ref="AL20" si="14">IFERROR(IF(AND(AA19="Impacto",AA20="Impacto"),(AL19-(+AL19*AD20)),IF(AA20="Impacto",($T$13-(+$T$13*AD20)),IF(AA20="Probabilidad",AL19,""))),"")</f>
        <v/>
      </c>
      <c r="AM20" s="388" t="str">
        <f t="shared" ref="AM20:AM21" si="15">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389"/>
      <c r="AO20" s="378"/>
      <c r="AP20" s="380"/>
      <c r="AQ20" s="378"/>
      <c r="AR20" s="390"/>
      <c r="AS20" s="485"/>
      <c r="AT20" s="485"/>
      <c r="AU20" s="485"/>
    </row>
    <row r="21" spans="1:47" s="391" customFormat="1" x14ac:dyDescent="0.2">
      <c r="A21" s="474"/>
      <c r="B21" s="475"/>
      <c r="C21" s="475"/>
      <c r="D21" s="475"/>
      <c r="E21" s="475"/>
      <c r="F21" s="527"/>
      <c r="G21" s="475"/>
      <c r="H21" s="489"/>
      <c r="I21" s="489"/>
      <c r="J21" s="489"/>
      <c r="K21" s="489"/>
      <c r="L21" s="489"/>
      <c r="M21" s="489"/>
      <c r="N21" s="485"/>
      <c r="O21" s="486"/>
      <c r="P21" s="487"/>
      <c r="Q21" s="505"/>
      <c r="R21" s="487">
        <f>IF(NOT(ISERROR(MATCH(Q21,_xlfn.ANCHORARRAY(F32),0))),P34&amp;"Por favor no seleccionar los criterios de impacto",Q21)</f>
        <v>0</v>
      </c>
      <c r="S21" s="486"/>
      <c r="T21" s="487"/>
      <c r="U21" s="504"/>
      <c r="V21" s="381">
        <v>3</v>
      </c>
      <c r="W21" s="382"/>
      <c r="X21" s="381"/>
      <c r="Y21" s="381"/>
      <c r="Z21" s="379" t="str">
        <f t="shared" si="6"/>
        <v xml:space="preserve">  </v>
      </c>
      <c r="AA21" s="383" t="str">
        <f>IF(OR(AB21="Preventivo",AB21="Detectivo"),"Probabilidad",IF(AB21="Correctivo","Impacto",""))</f>
        <v/>
      </c>
      <c r="AB21" s="384"/>
      <c r="AC21" s="384"/>
      <c r="AD21" s="385" t="str">
        <f t="shared" si="12"/>
        <v/>
      </c>
      <c r="AE21" s="384"/>
      <c r="AF21" s="384"/>
      <c r="AG21" s="384"/>
      <c r="AH21" s="386" t="str">
        <f>IFERROR(IF(AND(AA20="Probabilidad",AA21="Probabilidad"),(AJ20-(+AJ20*AD21)),IF(AND(AA20="Impacto",AA21="Probabilidad"),(AJ19-(+AJ19*AD21)),IF(AA21="Impacto",AJ20,""))),"")</f>
        <v/>
      </c>
      <c r="AI21" s="387" t="str">
        <f t="shared" si="2"/>
        <v/>
      </c>
      <c r="AJ21" s="385" t="str">
        <f t="shared" si="13"/>
        <v/>
      </c>
      <c r="AK21" s="387" t="str">
        <f t="shared" si="4"/>
        <v/>
      </c>
      <c r="AL21" s="385" t="str">
        <f t="shared" ref="AL21:AL72" si="16">IFERROR(IF(AND(AA20="Impacto",AA21="Impacto"),(AL20-(+AL20*AD21)),IF(AND(AA20="Probabilidad",AA21="Impacto"),(AL19-(+AL19*AD21)),IF(AA21="Probabilidad",AL20,""))),"")</f>
        <v/>
      </c>
      <c r="AM21" s="388" t="str">
        <f t="shared" si="15"/>
        <v/>
      </c>
      <c r="AN21" s="389"/>
      <c r="AO21" s="378"/>
      <c r="AP21" s="380"/>
      <c r="AQ21" s="380"/>
      <c r="AR21" s="390"/>
      <c r="AS21" s="485"/>
      <c r="AT21" s="485"/>
      <c r="AU21" s="485"/>
    </row>
    <row r="22" spans="1:47" s="391" customFormat="1" x14ac:dyDescent="0.2">
      <c r="A22" s="474"/>
      <c r="B22" s="475"/>
      <c r="C22" s="475"/>
      <c r="D22" s="475"/>
      <c r="E22" s="475"/>
      <c r="F22" s="527"/>
      <c r="G22" s="475"/>
      <c r="H22" s="489"/>
      <c r="I22" s="489"/>
      <c r="J22" s="489"/>
      <c r="K22" s="489"/>
      <c r="L22" s="489"/>
      <c r="M22" s="489"/>
      <c r="N22" s="485"/>
      <c r="O22" s="486"/>
      <c r="P22" s="487"/>
      <c r="Q22" s="505"/>
      <c r="R22" s="487">
        <f>IF(NOT(ISERROR(MATCH(Q22,_xlfn.ANCHORARRAY(F33),0))),P35&amp;"Por favor no seleccionar los criterios de impacto",Q22)</f>
        <v>0</v>
      </c>
      <c r="S22" s="486"/>
      <c r="T22" s="487"/>
      <c r="U22" s="504"/>
      <c r="V22" s="381">
        <v>4</v>
      </c>
      <c r="W22" s="382"/>
      <c r="X22" s="381"/>
      <c r="Y22" s="381"/>
      <c r="Z22" s="379" t="str">
        <f t="shared" si="6"/>
        <v xml:space="preserve">  </v>
      </c>
      <c r="AA22" s="383" t="str">
        <f t="shared" ref="AA22:AA24" si="17">IF(OR(AB22="Preventivo",AB22="Detectivo"),"Probabilidad",IF(AB22="Correctivo","Impacto",""))</f>
        <v/>
      </c>
      <c r="AB22" s="384"/>
      <c r="AC22" s="384"/>
      <c r="AD22" s="385" t="str">
        <f t="shared" si="12"/>
        <v/>
      </c>
      <c r="AE22" s="384"/>
      <c r="AF22" s="384"/>
      <c r="AG22" s="384"/>
      <c r="AH22" s="386" t="str">
        <f t="shared" ref="AH22:AH24" si="18">IFERROR(IF(AND(AA21="Probabilidad",AA22="Probabilidad"),(AJ21-(+AJ21*AD22)),IF(AND(AA21="Impacto",AA22="Probabilidad"),(AJ20-(+AJ20*AD22)),IF(AA22="Impacto",AJ21,""))),"")</f>
        <v/>
      </c>
      <c r="AI22" s="387" t="str">
        <f t="shared" si="2"/>
        <v/>
      </c>
      <c r="AJ22" s="385" t="str">
        <f t="shared" si="13"/>
        <v/>
      </c>
      <c r="AK22" s="387" t="str">
        <f t="shared" si="4"/>
        <v/>
      </c>
      <c r="AL22" s="385" t="str">
        <f t="shared" si="16"/>
        <v/>
      </c>
      <c r="AM22" s="388"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389"/>
      <c r="AO22" s="378"/>
      <c r="AP22" s="380"/>
      <c r="AQ22" s="380"/>
      <c r="AR22" s="390"/>
      <c r="AS22" s="485"/>
      <c r="AT22" s="485"/>
      <c r="AU22" s="485"/>
    </row>
    <row r="23" spans="1:47" s="391" customFormat="1" x14ac:dyDescent="0.2">
      <c r="A23" s="474"/>
      <c r="B23" s="475"/>
      <c r="C23" s="475"/>
      <c r="D23" s="475"/>
      <c r="E23" s="475"/>
      <c r="F23" s="527"/>
      <c r="G23" s="475"/>
      <c r="H23" s="489"/>
      <c r="I23" s="489"/>
      <c r="J23" s="489"/>
      <c r="K23" s="489"/>
      <c r="L23" s="489"/>
      <c r="M23" s="489"/>
      <c r="N23" s="485"/>
      <c r="O23" s="486"/>
      <c r="P23" s="487"/>
      <c r="Q23" s="505"/>
      <c r="R23" s="487">
        <f>IF(NOT(ISERROR(MATCH(Q23,_xlfn.ANCHORARRAY(F34),0))),P36&amp;"Por favor no seleccionar los criterios de impacto",Q23)</f>
        <v>0</v>
      </c>
      <c r="S23" s="486"/>
      <c r="T23" s="487"/>
      <c r="U23" s="504"/>
      <c r="V23" s="381">
        <v>5</v>
      </c>
      <c r="W23" s="382"/>
      <c r="X23" s="381"/>
      <c r="Y23" s="381"/>
      <c r="Z23" s="379" t="str">
        <f t="shared" si="6"/>
        <v xml:space="preserve">  </v>
      </c>
      <c r="AA23" s="383" t="str">
        <f t="shared" si="17"/>
        <v/>
      </c>
      <c r="AB23" s="384"/>
      <c r="AC23" s="384"/>
      <c r="AD23" s="385" t="str">
        <f t="shared" si="12"/>
        <v/>
      </c>
      <c r="AE23" s="384"/>
      <c r="AF23" s="384"/>
      <c r="AG23" s="384"/>
      <c r="AH23" s="386" t="str">
        <f t="shared" si="18"/>
        <v/>
      </c>
      <c r="AI23" s="387" t="str">
        <f t="shared" si="2"/>
        <v/>
      </c>
      <c r="AJ23" s="385" t="str">
        <f t="shared" si="13"/>
        <v/>
      </c>
      <c r="AK23" s="387" t="str">
        <f t="shared" si="4"/>
        <v/>
      </c>
      <c r="AL23" s="385" t="str">
        <f t="shared" si="16"/>
        <v/>
      </c>
      <c r="AM23" s="388" t="str">
        <f t="shared" ref="AM23:AM24" si="19">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389"/>
      <c r="AO23" s="378"/>
      <c r="AP23" s="380"/>
      <c r="AQ23" s="380"/>
      <c r="AR23" s="390"/>
      <c r="AS23" s="485"/>
      <c r="AT23" s="485"/>
      <c r="AU23" s="485"/>
    </row>
    <row r="24" spans="1:47" s="391" customFormat="1" x14ac:dyDescent="0.2">
      <c r="A24" s="474"/>
      <c r="B24" s="475"/>
      <c r="C24" s="475"/>
      <c r="D24" s="475"/>
      <c r="E24" s="475"/>
      <c r="F24" s="527"/>
      <c r="G24" s="475"/>
      <c r="H24" s="490"/>
      <c r="I24" s="490"/>
      <c r="J24" s="490"/>
      <c r="K24" s="490"/>
      <c r="L24" s="490"/>
      <c r="M24" s="490"/>
      <c r="N24" s="485"/>
      <c r="O24" s="486"/>
      <c r="P24" s="487"/>
      <c r="Q24" s="505"/>
      <c r="R24" s="487">
        <f>IF(NOT(ISERROR(MATCH(Q24,_xlfn.ANCHORARRAY(F35),0))),P37&amp;"Por favor no seleccionar los criterios de impacto",Q24)</f>
        <v>0</v>
      </c>
      <c r="S24" s="486"/>
      <c r="T24" s="487"/>
      <c r="U24" s="504"/>
      <c r="V24" s="381">
        <v>6</v>
      </c>
      <c r="W24" s="381"/>
      <c r="X24" s="381"/>
      <c r="Y24" s="381"/>
      <c r="Z24" s="379" t="str">
        <f t="shared" si="6"/>
        <v xml:space="preserve">  </v>
      </c>
      <c r="AA24" s="383" t="str">
        <f t="shared" si="17"/>
        <v/>
      </c>
      <c r="AB24" s="384"/>
      <c r="AC24" s="384"/>
      <c r="AD24" s="385" t="str">
        <f t="shared" si="12"/>
        <v/>
      </c>
      <c r="AE24" s="384"/>
      <c r="AF24" s="384"/>
      <c r="AG24" s="384"/>
      <c r="AH24" s="386" t="str">
        <f t="shared" si="18"/>
        <v/>
      </c>
      <c r="AI24" s="387" t="str">
        <f t="shared" si="2"/>
        <v/>
      </c>
      <c r="AJ24" s="385" t="str">
        <f t="shared" si="13"/>
        <v/>
      </c>
      <c r="AK24" s="387" t="str">
        <f t="shared" si="4"/>
        <v/>
      </c>
      <c r="AL24" s="385" t="str">
        <f t="shared" si="16"/>
        <v/>
      </c>
      <c r="AM24" s="388" t="str">
        <f t="shared" si="19"/>
        <v/>
      </c>
      <c r="AN24" s="389"/>
      <c r="AO24" s="378"/>
      <c r="AP24" s="380"/>
      <c r="AQ24" s="380"/>
      <c r="AR24" s="390"/>
      <c r="AS24" s="485"/>
      <c r="AT24" s="485"/>
      <c r="AU24" s="485"/>
    </row>
    <row r="25" spans="1:47" s="391" customFormat="1" x14ac:dyDescent="0.2">
      <c r="A25" s="474">
        <v>3</v>
      </c>
      <c r="B25" s="475"/>
      <c r="C25" s="475"/>
      <c r="D25" s="475"/>
      <c r="E25" s="475"/>
      <c r="F25" s="527" t="str">
        <f t="shared" ref="F25" si="20">+CONCATENATE(B25," ",C25," ",D25)</f>
        <v xml:space="preserve">  </v>
      </c>
      <c r="G25" s="475"/>
      <c r="H25" s="488"/>
      <c r="I25" s="488"/>
      <c r="J25" s="488"/>
      <c r="K25" s="488"/>
      <c r="L25" s="488"/>
      <c r="M25" s="488"/>
      <c r="N25" s="485"/>
      <c r="O25" s="486" t="str">
        <f>IF(N25&lt;=0,"",IF(N25&lt;=2,"Muy Baja",IF(N25&lt;=24,"Baja",IF(N25&lt;=500,"Media",IF(N25&lt;=5000,"Alta","Muy Alta")))))</f>
        <v/>
      </c>
      <c r="P25" s="487" t="str">
        <f>IF(O25="","",IF(O25="Muy Baja",0.2,IF(O25="Baja",0.4,IF(O25="Media",0.6,IF(O25="Alta",0.8,IF(O25="Muy Alta",1,))))))</f>
        <v/>
      </c>
      <c r="Q25" s="505"/>
      <c r="R25" s="487">
        <f>IF(NOT(ISERROR(MATCH(Q25,'Tabla Impacto'!$B$245:$B$247,0))),'Tabla Impacto'!$F$224&amp;"Por favor no seleccionar los criterios de impacto(Afectación Económica o presupuestal y Pérdida Reputacional)",Q25)</f>
        <v>0</v>
      </c>
      <c r="S25" s="486" t="str">
        <f>IF(OR(R25='Tabla Impacto'!$C$12,R25='Tabla Impacto'!$D$12),"Leve",IF(OR(R25='Tabla Impacto'!$C$13,R25='Tabla Impacto'!$D$13),"Menor",IF(OR(R25='Tabla Impacto'!$C$14,R25='Tabla Impacto'!$D$14),"Moderado",IF(OR(R25='Tabla Impacto'!$C$15,R25='Tabla Impacto'!$D$15),"Mayor",IF(OR(R25='Tabla Impacto'!$C$16,R25='Tabla Impacto'!$D$16),"Catastrófico","")))))</f>
        <v/>
      </c>
      <c r="T25" s="487" t="str">
        <f>IF(S25="","",IF(S25="Leve",0.2,IF(S25="Menor",0.4,IF(S25="Moderado",0.6,IF(S25="Mayor",0.8,IF(S25="Catastrófico",1,))))))</f>
        <v/>
      </c>
      <c r="U25" s="50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381">
        <v>1</v>
      </c>
      <c r="W25" s="381"/>
      <c r="X25" s="381"/>
      <c r="Y25" s="381"/>
      <c r="Z25" s="379" t="str">
        <f t="shared" si="6"/>
        <v xml:space="preserve">  </v>
      </c>
      <c r="AA25" s="383" t="str">
        <f>IF(OR(AB25="Preventivo",AB25="Detectivo"),"Probabilidad",IF(AB25="Correctivo","Impacto",""))</f>
        <v/>
      </c>
      <c r="AB25" s="384"/>
      <c r="AC25" s="384"/>
      <c r="AD25" s="385" t="str">
        <f>IF(AND(AB25="Preventivo",AC25="Automático"),"50%",IF(AND(AB25="Preventivo",AC25="Manual"),"40%",IF(AND(AB25="Detectivo",AC25="Automático"),"40%",IF(AND(AB25="Detectivo",AC25="Manual"),"30%",IF(AND(AB25="Correctivo",AC25="Automático"),"35%",IF(AND(AB25="Correctivo",AC25="Manual"),"25%",""))))))</f>
        <v/>
      </c>
      <c r="AE25" s="384"/>
      <c r="AF25" s="384"/>
      <c r="AG25" s="384"/>
      <c r="AH25" s="386" t="str">
        <f>IFERROR(IF(AA25="Probabilidad",(P25-(+P25*AD25)),IF(AA25="Impacto",P25,"")),"")</f>
        <v/>
      </c>
      <c r="AI25" s="387" t="str">
        <f>IFERROR(IF(AH25="","",IF(AH25&lt;=0.2,"Muy Baja",IF(AH25&lt;=0.4,"Baja",IF(AH25&lt;=0.6,"Media",IF(AH25&lt;=0.8,"Alta","Muy Alta"))))),"")</f>
        <v/>
      </c>
      <c r="AJ25" s="385" t="str">
        <f>+AH25</f>
        <v/>
      </c>
      <c r="AK25" s="387" t="str">
        <f>IFERROR(IF(AL25="","",IF(AL25&lt;=0.2,"Leve",IF(AL25&lt;=0.4,"Menor",IF(AL25&lt;=0.6,"Moderado",IF(AL25&lt;=0.8,"Mayor","Catastrófico"))))),"")</f>
        <v/>
      </c>
      <c r="AL25" s="385" t="str">
        <f t="shared" ref="AL25" si="21">IFERROR(IF(AA25="Impacto",(T25-(+T25*AD25)),IF(AA25="Probabilidad",T25,"")),"")</f>
        <v/>
      </c>
      <c r="AM25" s="388"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389"/>
      <c r="AO25" s="378"/>
      <c r="AP25" s="380"/>
      <c r="AQ25" s="380"/>
      <c r="AR25" s="390"/>
      <c r="AS25" s="485"/>
      <c r="AT25" s="485"/>
      <c r="AU25" s="485"/>
    </row>
    <row r="26" spans="1:47" s="391" customFormat="1" x14ac:dyDescent="0.2">
      <c r="A26" s="474"/>
      <c r="B26" s="475"/>
      <c r="C26" s="475"/>
      <c r="D26" s="475"/>
      <c r="E26" s="475"/>
      <c r="F26" s="527"/>
      <c r="G26" s="475"/>
      <c r="H26" s="489"/>
      <c r="I26" s="489"/>
      <c r="J26" s="489"/>
      <c r="K26" s="489"/>
      <c r="L26" s="489"/>
      <c r="M26" s="489"/>
      <c r="N26" s="485"/>
      <c r="O26" s="486"/>
      <c r="P26" s="487"/>
      <c r="Q26" s="505"/>
      <c r="R26" s="487">
        <f>IF(NOT(ISERROR(MATCH(Q26,_xlfn.ANCHORARRAY(F37),0))),P39&amp;"Por favor no seleccionar los criterios de impacto",Q26)</f>
        <v>0</v>
      </c>
      <c r="S26" s="486"/>
      <c r="T26" s="487"/>
      <c r="U26" s="504"/>
      <c r="V26" s="381">
        <v>2</v>
      </c>
      <c r="W26" s="381"/>
      <c r="X26" s="381"/>
      <c r="Y26" s="381"/>
      <c r="Z26" s="379" t="str">
        <f t="shared" si="6"/>
        <v xml:space="preserve">  </v>
      </c>
      <c r="AA26" s="383" t="str">
        <f>IF(OR(AB26="Preventivo",AB26="Detectivo"),"Probabilidad",IF(AB26="Correctivo","Impacto",""))</f>
        <v/>
      </c>
      <c r="AB26" s="384"/>
      <c r="AC26" s="384"/>
      <c r="AD26" s="385" t="str">
        <f t="shared" ref="AD26:AD30" si="22">IF(AND(AB26="Preventivo",AC26="Automático"),"50%",IF(AND(AB26="Preventivo",AC26="Manual"),"40%",IF(AND(AB26="Detectivo",AC26="Automático"),"40%",IF(AND(AB26="Detectivo",AC26="Manual"),"30%",IF(AND(AB26="Correctivo",AC26="Automático"),"35%",IF(AND(AB26="Correctivo",AC26="Manual"),"25%",""))))))</f>
        <v/>
      </c>
      <c r="AE26" s="384"/>
      <c r="AF26" s="384"/>
      <c r="AG26" s="384"/>
      <c r="AH26" s="386" t="str">
        <f>IFERROR(IF(AND(AA25="Probabilidad",AA26="Probabilidad"),(AJ25-(+AJ25*AD26)),IF(AA26="Probabilidad",(P25-(+P25*AD26)),IF(AA26="Impacto",AJ25,""))),"")</f>
        <v/>
      </c>
      <c r="AI26" s="387" t="str">
        <f t="shared" si="2"/>
        <v/>
      </c>
      <c r="AJ26" s="385" t="str">
        <f t="shared" ref="AJ26:AJ30" si="23">+AH26</f>
        <v/>
      </c>
      <c r="AK26" s="387" t="str">
        <f t="shared" si="4"/>
        <v/>
      </c>
      <c r="AL26" s="385" t="str">
        <f t="shared" ref="AL26" si="24">IFERROR(IF(AND(AA25="Impacto",AA26="Impacto"),(AL25-(+AL25*AD26)),IF(AA26="Impacto",($T$13-(+$T$13*AD26)),IF(AA26="Probabilidad",AL25,""))),"")</f>
        <v/>
      </c>
      <c r="AM26" s="388" t="str">
        <f t="shared" ref="AM26:AM27" si="25">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389"/>
      <c r="AO26" s="378"/>
      <c r="AP26" s="380"/>
      <c r="AQ26" s="380"/>
      <c r="AR26" s="390"/>
      <c r="AS26" s="485"/>
      <c r="AT26" s="485"/>
      <c r="AU26" s="485"/>
    </row>
    <row r="27" spans="1:47" s="391" customFormat="1" x14ac:dyDescent="0.2">
      <c r="A27" s="474"/>
      <c r="B27" s="475"/>
      <c r="C27" s="475"/>
      <c r="D27" s="475"/>
      <c r="E27" s="475"/>
      <c r="F27" s="527"/>
      <c r="G27" s="475"/>
      <c r="H27" s="489"/>
      <c r="I27" s="489"/>
      <c r="J27" s="489"/>
      <c r="K27" s="489"/>
      <c r="L27" s="489"/>
      <c r="M27" s="489"/>
      <c r="N27" s="485"/>
      <c r="O27" s="486"/>
      <c r="P27" s="487"/>
      <c r="Q27" s="505"/>
      <c r="R27" s="487">
        <f>IF(NOT(ISERROR(MATCH(Q27,_xlfn.ANCHORARRAY(F38),0))),P40&amp;"Por favor no seleccionar los criterios de impacto",Q27)</f>
        <v>0</v>
      </c>
      <c r="S27" s="486"/>
      <c r="T27" s="487"/>
      <c r="U27" s="504"/>
      <c r="V27" s="381">
        <v>3</v>
      </c>
      <c r="W27" s="381"/>
      <c r="X27" s="381"/>
      <c r="Y27" s="381"/>
      <c r="Z27" s="379" t="str">
        <f t="shared" si="6"/>
        <v xml:space="preserve">  </v>
      </c>
      <c r="AA27" s="383" t="str">
        <f>IF(OR(AB27="Preventivo",AB27="Detectivo"),"Probabilidad",IF(AB27="Correctivo","Impacto",""))</f>
        <v/>
      </c>
      <c r="AB27" s="384"/>
      <c r="AC27" s="384"/>
      <c r="AD27" s="385" t="str">
        <f t="shared" si="22"/>
        <v/>
      </c>
      <c r="AE27" s="384"/>
      <c r="AF27" s="384"/>
      <c r="AG27" s="384"/>
      <c r="AH27" s="386" t="str">
        <f>IFERROR(IF(AND(AA26="Probabilidad",AA27="Probabilidad"),(AJ26-(+AJ26*AD27)),IF(AND(AA26="Impacto",AA27="Probabilidad"),(AJ25-(+AJ25*AD27)),IF(AA27="Impacto",AJ26,""))),"")</f>
        <v/>
      </c>
      <c r="AI27" s="387" t="str">
        <f t="shared" si="2"/>
        <v/>
      </c>
      <c r="AJ27" s="385" t="str">
        <f t="shared" si="23"/>
        <v/>
      </c>
      <c r="AK27" s="387" t="str">
        <f t="shared" si="4"/>
        <v/>
      </c>
      <c r="AL27" s="385" t="str">
        <f t="shared" ref="AL27" si="26">IFERROR(IF(AND(AA26="Impacto",AA27="Impacto"),(AL26-(+AL26*AD27)),IF(AND(AA26="Probabilidad",AA27="Impacto"),(AL25-(+AL25*AD27)),IF(AA27="Probabilidad",AL26,""))),"")</f>
        <v/>
      </c>
      <c r="AM27" s="388" t="str">
        <f t="shared" si="25"/>
        <v/>
      </c>
      <c r="AN27" s="389"/>
      <c r="AO27" s="378"/>
      <c r="AP27" s="380"/>
      <c r="AQ27" s="380"/>
      <c r="AR27" s="390"/>
      <c r="AS27" s="485"/>
      <c r="AT27" s="485"/>
      <c r="AU27" s="485"/>
    </row>
    <row r="28" spans="1:47" s="391" customFormat="1" x14ac:dyDescent="0.2">
      <c r="A28" s="474"/>
      <c r="B28" s="475"/>
      <c r="C28" s="475"/>
      <c r="D28" s="475"/>
      <c r="E28" s="475"/>
      <c r="F28" s="527"/>
      <c r="G28" s="475"/>
      <c r="H28" s="489"/>
      <c r="I28" s="489"/>
      <c r="J28" s="489"/>
      <c r="K28" s="489"/>
      <c r="L28" s="489"/>
      <c r="M28" s="489"/>
      <c r="N28" s="485"/>
      <c r="O28" s="486"/>
      <c r="P28" s="487"/>
      <c r="Q28" s="505"/>
      <c r="R28" s="487">
        <f>IF(NOT(ISERROR(MATCH(Q28,_xlfn.ANCHORARRAY(F39),0))),P41&amp;"Por favor no seleccionar los criterios de impacto",Q28)</f>
        <v>0</v>
      </c>
      <c r="S28" s="486"/>
      <c r="T28" s="487"/>
      <c r="U28" s="504"/>
      <c r="V28" s="381">
        <v>4</v>
      </c>
      <c r="W28" s="381"/>
      <c r="X28" s="381"/>
      <c r="Y28" s="381"/>
      <c r="Z28" s="379" t="str">
        <f t="shared" si="6"/>
        <v xml:space="preserve">  </v>
      </c>
      <c r="AA28" s="383" t="str">
        <f t="shared" ref="AA28:AA30" si="27">IF(OR(AB28="Preventivo",AB28="Detectivo"),"Probabilidad",IF(AB28="Correctivo","Impacto",""))</f>
        <v/>
      </c>
      <c r="AB28" s="384"/>
      <c r="AC28" s="384"/>
      <c r="AD28" s="385" t="str">
        <f t="shared" si="22"/>
        <v/>
      </c>
      <c r="AE28" s="384"/>
      <c r="AF28" s="384"/>
      <c r="AG28" s="384"/>
      <c r="AH28" s="386" t="str">
        <f t="shared" ref="AH28:AH30" si="28">IFERROR(IF(AND(AA27="Probabilidad",AA28="Probabilidad"),(AJ27-(+AJ27*AD28)),IF(AND(AA27="Impacto",AA28="Probabilidad"),(AJ26-(+AJ26*AD28)),IF(AA28="Impacto",AJ27,""))),"")</f>
        <v/>
      </c>
      <c r="AI28" s="387" t="str">
        <f t="shared" si="2"/>
        <v/>
      </c>
      <c r="AJ28" s="385" t="str">
        <f t="shared" si="23"/>
        <v/>
      </c>
      <c r="AK28" s="387" t="str">
        <f t="shared" si="4"/>
        <v/>
      </c>
      <c r="AL28" s="385" t="str">
        <f t="shared" si="16"/>
        <v/>
      </c>
      <c r="AM28" s="388"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389"/>
      <c r="AO28" s="378"/>
      <c r="AP28" s="380"/>
      <c r="AQ28" s="380"/>
      <c r="AR28" s="390"/>
      <c r="AS28" s="485"/>
      <c r="AT28" s="485"/>
      <c r="AU28" s="485"/>
    </row>
    <row r="29" spans="1:47" s="391" customFormat="1" x14ac:dyDescent="0.2">
      <c r="A29" s="474"/>
      <c r="B29" s="475"/>
      <c r="C29" s="475"/>
      <c r="D29" s="475"/>
      <c r="E29" s="475"/>
      <c r="F29" s="527"/>
      <c r="G29" s="475"/>
      <c r="H29" s="489"/>
      <c r="I29" s="489"/>
      <c r="J29" s="489"/>
      <c r="K29" s="489"/>
      <c r="L29" s="489"/>
      <c r="M29" s="489"/>
      <c r="N29" s="485"/>
      <c r="O29" s="486"/>
      <c r="P29" s="487"/>
      <c r="Q29" s="505"/>
      <c r="R29" s="487">
        <f>IF(NOT(ISERROR(MATCH(Q29,_xlfn.ANCHORARRAY(F40),0))),P42&amp;"Por favor no seleccionar los criterios de impacto",Q29)</f>
        <v>0</v>
      </c>
      <c r="S29" s="486"/>
      <c r="T29" s="487"/>
      <c r="U29" s="504"/>
      <c r="V29" s="381">
        <v>5</v>
      </c>
      <c r="W29" s="381"/>
      <c r="X29" s="381"/>
      <c r="Y29" s="381"/>
      <c r="Z29" s="379" t="str">
        <f t="shared" si="6"/>
        <v xml:space="preserve">  </v>
      </c>
      <c r="AA29" s="383" t="str">
        <f t="shared" si="27"/>
        <v/>
      </c>
      <c r="AB29" s="384"/>
      <c r="AC29" s="384"/>
      <c r="AD29" s="385" t="str">
        <f t="shared" si="22"/>
        <v/>
      </c>
      <c r="AE29" s="384"/>
      <c r="AF29" s="384"/>
      <c r="AG29" s="384"/>
      <c r="AH29" s="386" t="str">
        <f t="shared" si="28"/>
        <v/>
      </c>
      <c r="AI29" s="387" t="str">
        <f t="shared" si="2"/>
        <v/>
      </c>
      <c r="AJ29" s="385" t="str">
        <f t="shared" si="23"/>
        <v/>
      </c>
      <c r="AK29" s="387" t="str">
        <f t="shared" si="4"/>
        <v/>
      </c>
      <c r="AL29" s="385" t="str">
        <f t="shared" si="16"/>
        <v/>
      </c>
      <c r="AM29" s="388" t="str">
        <f t="shared" ref="AM29:AM30" si="29">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389"/>
      <c r="AO29" s="378"/>
      <c r="AP29" s="380"/>
      <c r="AQ29" s="380"/>
      <c r="AR29" s="390"/>
      <c r="AS29" s="485"/>
      <c r="AT29" s="485"/>
      <c r="AU29" s="485"/>
    </row>
    <row r="30" spans="1:47" s="391" customFormat="1" x14ac:dyDescent="0.2">
      <c r="A30" s="474"/>
      <c r="B30" s="475"/>
      <c r="C30" s="475"/>
      <c r="D30" s="475"/>
      <c r="E30" s="475"/>
      <c r="F30" s="527"/>
      <c r="G30" s="475"/>
      <c r="H30" s="490"/>
      <c r="I30" s="490"/>
      <c r="J30" s="490"/>
      <c r="K30" s="490"/>
      <c r="L30" s="490"/>
      <c r="M30" s="490"/>
      <c r="N30" s="485"/>
      <c r="O30" s="486"/>
      <c r="P30" s="487"/>
      <c r="Q30" s="505"/>
      <c r="R30" s="487">
        <f>IF(NOT(ISERROR(MATCH(Q30,_xlfn.ANCHORARRAY(F41),0))),P43&amp;"Por favor no seleccionar los criterios de impacto",Q30)</f>
        <v>0</v>
      </c>
      <c r="S30" s="486"/>
      <c r="T30" s="487"/>
      <c r="U30" s="504"/>
      <c r="V30" s="381">
        <v>6</v>
      </c>
      <c r="W30" s="381"/>
      <c r="X30" s="381"/>
      <c r="Y30" s="381"/>
      <c r="Z30" s="379" t="str">
        <f t="shared" si="6"/>
        <v xml:space="preserve">  </v>
      </c>
      <c r="AA30" s="383" t="str">
        <f t="shared" si="27"/>
        <v/>
      </c>
      <c r="AB30" s="384"/>
      <c r="AC30" s="384"/>
      <c r="AD30" s="385" t="str">
        <f t="shared" si="22"/>
        <v/>
      </c>
      <c r="AE30" s="384"/>
      <c r="AF30" s="384"/>
      <c r="AG30" s="384"/>
      <c r="AH30" s="386" t="str">
        <f t="shared" si="28"/>
        <v/>
      </c>
      <c r="AI30" s="387" t="str">
        <f t="shared" si="2"/>
        <v/>
      </c>
      <c r="AJ30" s="385" t="str">
        <f t="shared" si="23"/>
        <v/>
      </c>
      <c r="AK30" s="387" t="str">
        <f t="shared" si="4"/>
        <v/>
      </c>
      <c r="AL30" s="385" t="str">
        <f t="shared" si="16"/>
        <v/>
      </c>
      <c r="AM30" s="388" t="str">
        <f t="shared" si="29"/>
        <v/>
      </c>
      <c r="AN30" s="389"/>
      <c r="AO30" s="378"/>
      <c r="AP30" s="380"/>
      <c r="AQ30" s="380"/>
      <c r="AR30" s="390"/>
      <c r="AS30" s="485"/>
      <c r="AT30" s="485"/>
      <c r="AU30" s="485"/>
    </row>
    <row r="31" spans="1:47" x14ac:dyDescent="0.2">
      <c r="A31" s="523">
        <v>4</v>
      </c>
      <c r="B31" s="515"/>
      <c r="C31" s="515"/>
      <c r="D31" s="515"/>
      <c r="E31" s="515"/>
      <c r="F31" s="520" t="str">
        <f t="shared" ref="F31" si="30">+CONCATENATE(B31," ",C31," ",D31)</f>
        <v xml:space="preserve">  </v>
      </c>
      <c r="G31" s="515"/>
      <c r="H31" s="516"/>
      <c r="I31" s="516"/>
      <c r="J31" s="516"/>
      <c r="K31" s="516"/>
      <c r="L31" s="516"/>
      <c r="M31" s="516"/>
      <c r="N31" s="519"/>
      <c r="O31" s="514" t="str">
        <f>IF(N31&lt;=0,"",IF(N31&lt;=2,"Muy Baja",IF(N31&lt;=24,"Baja",IF(N31&lt;=500,"Media",IF(N31&lt;=5000,"Alta","Muy Alta")))))</f>
        <v/>
      </c>
      <c r="P31" s="512" t="str">
        <f>IF(O31="","",IF(O31="Muy Baja",0.2,IF(O31="Baja",0.4,IF(O31="Media",0.6,IF(O31="Alta",0.8,IF(O31="Muy Alta",1,))))))</f>
        <v/>
      </c>
      <c r="Q31" s="513"/>
      <c r="R31" s="512">
        <f>IF(NOT(ISERROR(MATCH(Q31,'Tabla Impacto'!$B$245:$B$247,0))),'Tabla Impacto'!$F$224&amp;"Por favor no seleccionar los criterios de impacto(Afectación Económica o presupuestal y Pérdida Reputacional)",Q31)</f>
        <v>0</v>
      </c>
      <c r="S31" s="514" t="str">
        <f>IF(OR(R31='Tabla Impacto'!$C$12,R31='Tabla Impacto'!$D$12),"Leve",IF(OR(R31='Tabla Impacto'!$C$13,R31='Tabla Impacto'!$D$13),"Menor",IF(OR(R31='Tabla Impacto'!$C$14,R31='Tabla Impacto'!$D$14),"Moderado",IF(OR(R31='Tabla Impacto'!$C$15,R31='Tabla Impacto'!$D$15),"Mayor",IF(OR(R31='Tabla Impacto'!$C$16,R31='Tabla Impacto'!$D$16),"Catastrófico","")))))</f>
        <v/>
      </c>
      <c r="T31" s="512" t="str">
        <f>IF(S31="","",IF(S31="Leve",0.2,IF(S31="Menor",0.4,IF(S31="Moderado",0.6,IF(S31="Mayor",0.8,IF(S31="Catastrófico",1,))))))</f>
        <v/>
      </c>
      <c r="U31" s="511"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6"/>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31">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519"/>
      <c r="AT31" s="519"/>
      <c r="AU31" s="519"/>
    </row>
    <row r="32" spans="1:47" x14ac:dyDescent="0.2">
      <c r="A32" s="523"/>
      <c r="B32" s="515"/>
      <c r="C32" s="515"/>
      <c r="D32" s="515"/>
      <c r="E32" s="515"/>
      <c r="F32" s="520"/>
      <c r="G32" s="515"/>
      <c r="H32" s="517"/>
      <c r="I32" s="517"/>
      <c r="J32" s="517"/>
      <c r="K32" s="517"/>
      <c r="L32" s="517"/>
      <c r="M32" s="517"/>
      <c r="N32" s="519"/>
      <c r="O32" s="514"/>
      <c r="P32" s="512"/>
      <c r="Q32" s="513"/>
      <c r="R32" s="512">
        <f>IF(NOT(ISERROR(MATCH(Q32,_xlfn.ANCHORARRAY(F43),0))),P45&amp;"Por favor no seleccionar los criterios de impacto",Q32)</f>
        <v>0</v>
      </c>
      <c r="S32" s="514"/>
      <c r="T32" s="512"/>
      <c r="U32" s="511"/>
      <c r="V32" s="199">
        <v>2</v>
      </c>
      <c r="W32" s="199"/>
      <c r="X32" s="199"/>
      <c r="Y32" s="199"/>
      <c r="Z32" s="224" t="str">
        <f t="shared" si="6"/>
        <v xml:space="preserve">  </v>
      </c>
      <c r="AA32" s="176" t="str">
        <f>IF(OR(AB32="Preventivo",AB32="Detectivo"),"Probabilidad",IF(AB32="Correctivo","Impacto",""))</f>
        <v/>
      </c>
      <c r="AB32" s="177"/>
      <c r="AC32" s="177"/>
      <c r="AD32" s="178" t="str">
        <f t="shared" ref="AD32:AD36" si="32">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2"/>
        <v/>
      </c>
      <c r="AJ32" s="178" t="str">
        <f t="shared" ref="AJ32:AJ36" si="33">+AH32</f>
        <v/>
      </c>
      <c r="AK32" s="180" t="str">
        <f t="shared" si="4"/>
        <v/>
      </c>
      <c r="AL32" s="178" t="str">
        <f t="shared" ref="AL32" si="34">IFERROR(IF(AND(AA31="Impacto",AA32="Impacto"),(AL31-(+AL31*AD32)),IF(AA32="Impacto",($T$13-(+$T$13*AD32)),IF(AA32="Probabilidad",AL31,""))),"")</f>
        <v/>
      </c>
      <c r="AM32" s="181" t="str">
        <f t="shared" ref="AM32:AM33" si="35">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519"/>
      <c r="AT32" s="519"/>
      <c r="AU32" s="519"/>
    </row>
    <row r="33" spans="1:47" x14ac:dyDescent="0.2">
      <c r="A33" s="523"/>
      <c r="B33" s="515"/>
      <c r="C33" s="515"/>
      <c r="D33" s="515"/>
      <c r="E33" s="515"/>
      <c r="F33" s="520"/>
      <c r="G33" s="515"/>
      <c r="H33" s="517"/>
      <c r="I33" s="517"/>
      <c r="J33" s="517"/>
      <c r="K33" s="517"/>
      <c r="L33" s="517"/>
      <c r="M33" s="517"/>
      <c r="N33" s="519"/>
      <c r="O33" s="514"/>
      <c r="P33" s="512"/>
      <c r="Q33" s="513"/>
      <c r="R33" s="512">
        <f>IF(NOT(ISERROR(MATCH(Q33,_xlfn.ANCHORARRAY(F44),0))),P46&amp;"Por favor no seleccionar los criterios de impacto",Q33)</f>
        <v>0</v>
      </c>
      <c r="S33" s="514"/>
      <c r="T33" s="512"/>
      <c r="U33" s="511"/>
      <c r="V33" s="199">
        <v>3</v>
      </c>
      <c r="W33" s="199"/>
      <c r="X33" s="199"/>
      <c r="Y33" s="199"/>
      <c r="Z33" s="224" t="str">
        <f t="shared" si="6"/>
        <v xml:space="preserve">  </v>
      </c>
      <c r="AA33" s="176" t="str">
        <f>IF(OR(AB33="Preventivo",AB33="Detectivo"),"Probabilidad",IF(AB33="Correctivo","Impacto",""))</f>
        <v/>
      </c>
      <c r="AB33" s="177"/>
      <c r="AC33" s="177"/>
      <c r="AD33" s="178" t="str">
        <f t="shared" si="32"/>
        <v/>
      </c>
      <c r="AE33" s="177"/>
      <c r="AF33" s="177"/>
      <c r="AG33" s="177"/>
      <c r="AH33" s="179" t="str">
        <f>IFERROR(IF(AND(AA32="Probabilidad",AA33="Probabilidad"),(AJ32-(+AJ32*AD33)),IF(AND(AA32="Impacto",AA33="Probabilidad"),(AJ31-(+AJ31*AD33)),IF(AA33="Impacto",AJ32,""))),"")</f>
        <v/>
      </c>
      <c r="AI33" s="180" t="str">
        <f t="shared" si="2"/>
        <v/>
      </c>
      <c r="AJ33" s="178" t="str">
        <f t="shared" si="33"/>
        <v/>
      </c>
      <c r="AK33" s="180" t="str">
        <f t="shared" si="4"/>
        <v/>
      </c>
      <c r="AL33" s="178" t="str">
        <f t="shared" ref="AL33" si="36">IFERROR(IF(AND(AA32="Impacto",AA33="Impacto"),(AL32-(+AL32*AD33)),IF(AND(AA32="Probabilidad",AA33="Impacto"),(AL31-(+AL31*AD33)),IF(AA33="Probabilidad",AL32,""))),"")</f>
        <v/>
      </c>
      <c r="AM33" s="181" t="str">
        <f t="shared" si="35"/>
        <v/>
      </c>
      <c r="AN33" s="182"/>
      <c r="AO33" s="175"/>
      <c r="AP33" s="183"/>
      <c r="AQ33" s="183"/>
      <c r="AR33" s="184"/>
      <c r="AS33" s="519"/>
      <c r="AT33" s="519"/>
      <c r="AU33" s="519"/>
    </row>
    <row r="34" spans="1:47" x14ac:dyDescent="0.2">
      <c r="A34" s="523"/>
      <c r="B34" s="515"/>
      <c r="C34" s="515"/>
      <c r="D34" s="515"/>
      <c r="E34" s="515"/>
      <c r="F34" s="520"/>
      <c r="G34" s="515"/>
      <c r="H34" s="517"/>
      <c r="I34" s="517"/>
      <c r="J34" s="517"/>
      <c r="K34" s="517"/>
      <c r="L34" s="517"/>
      <c r="M34" s="517"/>
      <c r="N34" s="519"/>
      <c r="O34" s="514"/>
      <c r="P34" s="512"/>
      <c r="Q34" s="513"/>
      <c r="R34" s="512">
        <f>IF(NOT(ISERROR(MATCH(Q34,_xlfn.ANCHORARRAY(F45),0))),P47&amp;"Por favor no seleccionar los criterios de impacto",Q34)</f>
        <v>0</v>
      </c>
      <c r="S34" s="514"/>
      <c r="T34" s="512"/>
      <c r="U34" s="511"/>
      <c r="V34" s="199">
        <v>4</v>
      </c>
      <c r="W34" s="199"/>
      <c r="X34" s="199"/>
      <c r="Y34" s="199"/>
      <c r="Z34" s="224" t="str">
        <f t="shared" si="6"/>
        <v xml:space="preserve">  </v>
      </c>
      <c r="AA34" s="176" t="str">
        <f t="shared" ref="AA34:AA36" si="37">IF(OR(AB34="Preventivo",AB34="Detectivo"),"Probabilidad",IF(AB34="Correctivo","Impacto",""))</f>
        <v/>
      </c>
      <c r="AB34" s="177"/>
      <c r="AC34" s="177"/>
      <c r="AD34" s="178" t="str">
        <f t="shared" si="32"/>
        <v/>
      </c>
      <c r="AE34" s="177"/>
      <c r="AF34" s="177"/>
      <c r="AG34" s="177"/>
      <c r="AH34" s="179" t="str">
        <f t="shared" ref="AH34:AH36" si="38">IFERROR(IF(AND(AA33="Probabilidad",AA34="Probabilidad"),(AJ33-(+AJ33*AD34)),IF(AND(AA33="Impacto",AA34="Probabilidad"),(AJ32-(+AJ32*AD34)),IF(AA34="Impacto",AJ33,""))),"")</f>
        <v/>
      </c>
      <c r="AI34" s="180" t="str">
        <f t="shared" si="2"/>
        <v/>
      </c>
      <c r="AJ34" s="178" t="str">
        <f t="shared" si="33"/>
        <v/>
      </c>
      <c r="AK34" s="180" t="str">
        <f t="shared" si="4"/>
        <v/>
      </c>
      <c r="AL34" s="178" t="str">
        <f t="shared" si="16"/>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519"/>
      <c r="AT34" s="519"/>
      <c r="AU34" s="519"/>
    </row>
    <row r="35" spans="1:47" x14ac:dyDescent="0.2">
      <c r="A35" s="523"/>
      <c r="B35" s="515"/>
      <c r="C35" s="515"/>
      <c r="D35" s="515"/>
      <c r="E35" s="515"/>
      <c r="F35" s="520"/>
      <c r="G35" s="515"/>
      <c r="H35" s="517"/>
      <c r="I35" s="517"/>
      <c r="J35" s="517"/>
      <c r="K35" s="517"/>
      <c r="L35" s="517"/>
      <c r="M35" s="517"/>
      <c r="N35" s="519"/>
      <c r="O35" s="514"/>
      <c r="P35" s="512"/>
      <c r="Q35" s="513"/>
      <c r="R35" s="512">
        <f>IF(NOT(ISERROR(MATCH(Q35,_xlfn.ANCHORARRAY(F46),0))),P48&amp;"Por favor no seleccionar los criterios de impacto",Q35)</f>
        <v>0</v>
      </c>
      <c r="S35" s="514"/>
      <c r="T35" s="512"/>
      <c r="U35" s="511"/>
      <c r="V35" s="199">
        <v>5</v>
      </c>
      <c r="W35" s="199"/>
      <c r="X35" s="199"/>
      <c r="Y35" s="199"/>
      <c r="Z35" s="224" t="str">
        <f t="shared" si="6"/>
        <v xml:space="preserve">  </v>
      </c>
      <c r="AA35" s="176" t="str">
        <f t="shared" si="37"/>
        <v/>
      </c>
      <c r="AB35" s="177"/>
      <c r="AC35" s="177"/>
      <c r="AD35" s="178" t="str">
        <f t="shared" si="32"/>
        <v/>
      </c>
      <c r="AE35" s="177"/>
      <c r="AF35" s="177"/>
      <c r="AG35" s="177"/>
      <c r="AH35" s="179" t="str">
        <f t="shared" si="38"/>
        <v/>
      </c>
      <c r="AI35" s="180" t="str">
        <f>IFERROR(IF(AH35="","",IF(AH35&lt;=0.2,"Muy Baja",IF(AH35&lt;=0.4,"Baja",IF(AH35&lt;=0.6,"Media",IF(AH35&lt;=0.8,"Alta","Muy Alta"))))),"")</f>
        <v/>
      </c>
      <c r="AJ35" s="178" t="str">
        <f t="shared" si="33"/>
        <v/>
      </c>
      <c r="AK35" s="180" t="str">
        <f t="shared" si="4"/>
        <v/>
      </c>
      <c r="AL35" s="178" t="str">
        <f t="shared" si="16"/>
        <v/>
      </c>
      <c r="AM35" s="181" t="str">
        <f t="shared" ref="AM35:AM36" si="39">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519"/>
      <c r="AT35" s="519"/>
      <c r="AU35" s="519"/>
    </row>
    <row r="36" spans="1:47" x14ac:dyDescent="0.2">
      <c r="A36" s="523"/>
      <c r="B36" s="515"/>
      <c r="C36" s="515"/>
      <c r="D36" s="515"/>
      <c r="E36" s="515"/>
      <c r="F36" s="520"/>
      <c r="G36" s="515"/>
      <c r="H36" s="518"/>
      <c r="I36" s="518"/>
      <c r="J36" s="518"/>
      <c r="K36" s="518"/>
      <c r="L36" s="518"/>
      <c r="M36" s="518"/>
      <c r="N36" s="519"/>
      <c r="O36" s="514"/>
      <c r="P36" s="512"/>
      <c r="Q36" s="513"/>
      <c r="R36" s="512">
        <f>IF(NOT(ISERROR(MATCH(Q36,_xlfn.ANCHORARRAY(F47),0))),P49&amp;"Por favor no seleccionar los criterios de impacto",Q36)</f>
        <v>0</v>
      </c>
      <c r="S36" s="514"/>
      <c r="T36" s="512"/>
      <c r="U36" s="511"/>
      <c r="V36" s="199">
        <v>6</v>
      </c>
      <c r="W36" s="199"/>
      <c r="X36" s="199"/>
      <c r="Y36" s="199"/>
      <c r="Z36" s="224" t="str">
        <f t="shared" si="6"/>
        <v xml:space="preserve">  </v>
      </c>
      <c r="AA36" s="176" t="str">
        <f t="shared" si="37"/>
        <v/>
      </c>
      <c r="AB36" s="177"/>
      <c r="AC36" s="177"/>
      <c r="AD36" s="178" t="str">
        <f t="shared" si="32"/>
        <v/>
      </c>
      <c r="AE36" s="177"/>
      <c r="AF36" s="177"/>
      <c r="AG36" s="177"/>
      <c r="AH36" s="179" t="str">
        <f t="shared" si="38"/>
        <v/>
      </c>
      <c r="AI36" s="180" t="str">
        <f t="shared" si="2"/>
        <v/>
      </c>
      <c r="AJ36" s="178" t="str">
        <f t="shared" si="33"/>
        <v/>
      </c>
      <c r="AK36" s="180" t="str">
        <f t="shared" si="4"/>
        <v/>
      </c>
      <c r="AL36" s="178" t="str">
        <f t="shared" si="16"/>
        <v/>
      </c>
      <c r="AM36" s="181" t="str">
        <f t="shared" si="39"/>
        <v/>
      </c>
      <c r="AN36" s="182"/>
      <c r="AO36" s="175"/>
      <c r="AP36" s="183"/>
      <c r="AQ36" s="183"/>
      <c r="AR36" s="184"/>
      <c r="AS36" s="519"/>
      <c r="AT36" s="519"/>
      <c r="AU36" s="519"/>
    </row>
    <row r="37" spans="1:47" x14ac:dyDescent="0.2">
      <c r="A37" s="523">
        <v>5</v>
      </c>
      <c r="B37" s="515"/>
      <c r="C37" s="515"/>
      <c r="D37" s="515"/>
      <c r="E37" s="515"/>
      <c r="F37" s="520" t="str">
        <f t="shared" ref="F37" si="40">+CONCATENATE(B37," ",C37," ",D37)</f>
        <v xml:space="preserve">  </v>
      </c>
      <c r="G37" s="515"/>
      <c r="H37" s="516"/>
      <c r="I37" s="516"/>
      <c r="J37" s="516"/>
      <c r="K37" s="516"/>
      <c r="L37" s="516"/>
      <c r="M37" s="516"/>
      <c r="N37" s="519"/>
      <c r="O37" s="514" t="str">
        <f>IF(N37&lt;=0,"",IF(N37&lt;=2,"Muy Baja",IF(N37&lt;=24,"Baja",IF(N37&lt;=500,"Media",IF(N37&lt;=5000,"Alta","Muy Alta")))))</f>
        <v/>
      </c>
      <c r="P37" s="512" t="str">
        <f>IF(O37="","",IF(O37="Muy Baja",0.2,IF(O37="Baja",0.4,IF(O37="Media",0.6,IF(O37="Alta",0.8,IF(O37="Muy Alta",1,))))))</f>
        <v/>
      </c>
      <c r="Q37" s="513"/>
      <c r="R37" s="512">
        <f>IF(NOT(ISERROR(MATCH(Q37,'Tabla Impacto'!$B$245:$B$247,0))),'Tabla Impacto'!$F$224&amp;"Por favor no seleccionar los criterios de impacto(Afectación Económica o presupuestal y Pérdida Reputacional)",Q37)</f>
        <v>0</v>
      </c>
      <c r="S37" s="514" t="str">
        <f>IF(OR(R37='Tabla Impacto'!$C$12,R37='Tabla Impacto'!$D$12),"Leve",IF(OR(R37='Tabla Impacto'!$C$13,R37='Tabla Impacto'!$D$13),"Menor",IF(OR(R37='Tabla Impacto'!$C$14,R37='Tabla Impacto'!$D$14),"Moderado",IF(OR(R37='Tabla Impacto'!$C$15,R37='Tabla Impacto'!$D$15),"Mayor",IF(OR(R37='Tabla Impacto'!$C$16,R37='Tabla Impacto'!$D$16),"Catastrófico","")))))</f>
        <v/>
      </c>
      <c r="T37" s="512" t="str">
        <f>IF(S37="","",IF(S37="Leve",0.2,IF(S37="Menor",0.4,IF(S37="Moderado",0.6,IF(S37="Mayor",0.8,IF(S37="Catastrófico",1,))))))</f>
        <v/>
      </c>
      <c r="U37" s="511"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9">
        <v>1</v>
      </c>
      <c r="W37" s="199"/>
      <c r="X37" s="199"/>
      <c r="Y37" s="199"/>
      <c r="Z37" s="224" t="str">
        <f t="shared" si="6"/>
        <v xml:space="preserve">  </v>
      </c>
      <c r="AA37" s="176" t="str">
        <f>IF(OR(AB37="Preventivo",AB37="Detectivo"),"Probabilidad",IF(AB37="Correctivo","Impacto",""))</f>
        <v/>
      </c>
      <c r="AB37" s="177"/>
      <c r="AC37" s="177"/>
      <c r="AD37" s="178" t="str">
        <f>IF(AND(AB37="Preventivo",AC37="Automático"),"50%",IF(AND(AB37="Preventivo",AC37="Manual"),"40%",IF(AND(AB37="Detectivo",AC37="Automático"),"40%",IF(AND(AB37="Detectivo",AC37="Manual"),"30%",IF(AND(AB37="Correctivo",AC37="Automático"),"35%",IF(AND(AB37="Correctivo",AC37="Manual"),"25%",""))))))</f>
        <v/>
      </c>
      <c r="AE37" s="177"/>
      <c r="AF37" s="177"/>
      <c r="AG37" s="177"/>
      <c r="AH37" s="179" t="str">
        <f>IFERROR(IF(AA37="Probabilidad",(P37-(+P37*AD37)),IF(AA37="Impacto",P37,"")),"")</f>
        <v/>
      </c>
      <c r="AI37" s="180" t="str">
        <f>IFERROR(IF(AH37="","",IF(AH37&lt;=0.2,"Muy Baja",IF(AH37&lt;=0.4,"Baja",IF(AH37&lt;=0.6,"Media",IF(AH37&lt;=0.8,"Alta","Muy Alta"))))),"")</f>
        <v/>
      </c>
      <c r="AJ37" s="178" t="str">
        <f>+AH37</f>
        <v/>
      </c>
      <c r="AK37" s="180" t="str">
        <f>IFERROR(IF(AL37="","",IF(AL37&lt;=0.2,"Leve",IF(AL37&lt;=0.4,"Menor",IF(AL37&lt;=0.6,"Moderado",IF(AL37&lt;=0.8,"Mayor","Catastrófico"))))),"")</f>
        <v/>
      </c>
      <c r="AL37" s="178" t="str">
        <f t="shared" ref="AL37" si="41">IFERROR(IF(AA37="Impacto",(T37-(+T37*AD37)),IF(AA37="Probabilidad",T37,"")),"")</f>
        <v/>
      </c>
      <c r="AM37" s="181"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82"/>
      <c r="AO37" s="175"/>
      <c r="AP37" s="183"/>
      <c r="AQ37" s="183"/>
      <c r="AR37" s="184"/>
      <c r="AS37" s="519"/>
      <c r="AT37" s="519"/>
      <c r="AU37" s="519"/>
    </row>
    <row r="38" spans="1:47" x14ac:dyDescent="0.2">
      <c r="A38" s="523"/>
      <c r="B38" s="515"/>
      <c r="C38" s="515"/>
      <c r="D38" s="515"/>
      <c r="E38" s="515"/>
      <c r="F38" s="520"/>
      <c r="G38" s="515"/>
      <c r="H38" s="517"/>
      <c r="I38" s="517"/>
      <c r="J38" s="517"/>
      <c r="K38" s="517"/>
      <c r="L38" s="517"/>
      <c r="M38" s="517"/>
      <c r="N38" s="519"/>
      <c r="O38" s="514"/>
      <c r="P38" s="512"/>
      <c r="Q38" s="513"/>
      <c r="R38" s="512">
        <f>IF(NOT(ISERROR(MATCH(Q38,_xlfn.ANCHORARRAY(F49),0))),P51&amp;"Por favor no seleccionar los criterios de impacto",Q38)</f>
        <v>0</v>
      </c>
      <c r="S38" s="514"/>
      <c r="T38" s="512"/>
      <c r="U38" s="511"/>
      <c r="V38" s="199">
        <v>2</v>
      </c>
      <c r="W38" s="199"/>
      <c r="X38" s="199"/>
      <c r="Y38" s="199"/>
      <c r="Z38" s="224" t="str">
        <f t="shared" si="6"/>
        <v xml:space="preserve">  </v>
      </c>
      <c r="AA38" s="176" t="str">
        <f>IF(OR(AB38="Preventivo",AB38="Detectivo"),"Probabilidad",IF(AB38="Correctivo","Impacto",""))</f>
        <v/>
      </c>
      <c r="AB38" s="177"/>
      <c r="AC38" s="177"/>
      <c r="AD38" s="178" t="str">
        <f t="shared" ref="AD38:AD42" si="42">IF(AND(AB38="Preventivo",AC38="Automático"),"50%",IF(AND(AB38="Preventivo",AC38="Manual"),"40%",IF(AND(AB38="Detectivo",AC38="Automático"),"40%",IF(AND(AB38="Detectivo",AC38="Manual"),"30%",IF(AND(AB38="Correctivo",AC38="Automático"),"35%",IF(AND(AB38="Correctivo",AC38="Manual"),"25%",""))))))</f>
        <v/>
      </c>
      <c r="AE38" s="177"/>
      <c r="AF38" s="177"/>
      <c r="AG38" s="177"/>
      <c r="AH38" s="179" t="str">
        <f>IFERROR(IF(AND(AA37="Probabilidad",AA38="Probabilidad"),(AJ37-(+AJ37*AD38)),IF(AA38="Probabilidad",(P37-(+P37*AD38)),IF(AA38="Impacto",AJ37,""))),"")</f>
        <v/>
      </c>
      <c r="AI38" s="180" t="str">
        <f t="shared" si="2"/>
        <v/>
      </c>
      <c r="AJ38" s="178" t="str">
        <f t="shared" ref="AJ38:AJ42" si="43">+AH38</f>
        <v/>
      </c>
      <c r="AK38" s="180" t="str">
        <f t="shared" si="4"/>
        <v/>
      </c>
      <c r="AL38" s="178" t="str">
        <f t="shared" ref="AL38" si="44">IFERROR(IF(AND(AA37="Impacto",AA38="Impacto"),(AL37-(+AL37*AD38)),IF(AA38="Impacto",($T$13-(+$T$13*AD38)),IF(AA38="Probabilidad",AL37,""))),"")</f>
        <v/>
      </c>
      <c r="AM38" s="181" t="str">
        <f t="shared" ref="AM38:AM39" si="45">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82"/>
      <c r="AO38" s="175"/>
      <c r="AP38" s="183"/>
      <c r="AQ38" s="183"/>
      <c r="AR38" s="184"/>
      <c r="AS38" s="519"/>
      <c r="AT38" s="519"/>
      <c r="AU38" s="519"/>
    </row>
    <row r="39" spans="1:47" x14ac:dyDescent="0.2">
      <c r="A39" s="523"/>
      <c r="B39" s="515"/>
      <c r="C39" s="515"/>
      <c r="D39" s="515"/>
      <c r="E39" s="515"/>
      <c r="F39" s="520"/>
      <c r="G39" s="515"/>
      <c r="H39" s="517"/>
      <c r="I39" s="517"/>
      <c r="J39" s="517"/>
      <c r="K39" s="517"/>
      <c r="L39" s="517"/>
      <c r="M39" s="517"/>
      <c r="N39" s="519"/>
      <c r="O39" s="514"/>
      <c r="P39" s="512"/>
      <c r="Q39" s="513"/>
      <c r="R39" s="512">
        <f>IF(NOT(ISERROR(MATCH(Q39,_xlfn.ANCHORARRAY(F50),0))),P52&amp;"Por favor no seleccionar los criterios de impacto",Q39)</f>
        <v>0</v>
      </c>
      <c r="S39" s="514"/>
      <c r="T39" s="512"/>
      <c r="U39" s="511"/>
      <c r="V39" s="199">
        <v>3</v>
      </c>
      <c r="W39" s="199"/>
      <c r="X39" s="199"/>
      <c r="Y39" s="199"/>
      <c r="Z39" s="224" t="str">
        <f t="shared" si="6"/>
        <v xml:space="preserve">  </v>
      </c>
      <c r="AA39" s="176" t="str">
        <f>IF(OR(AB39="Preventivo",AB39="Detectivo"),"Probabilidad",IF(AB39="Correctivo","Impacto",""))</f>
        <v/>
      </c>
      <c r="AB39" s="177"/>
      <c r="AC39" s="177"/>
      <c r="AD39" s="178" t="str">
        <f t="shared" si="42"/>
        <v/>
      </c>
      <c r="AE39" s="177"/>
      <c r="AF39" s="177"/>
      <c r="AG39" s="177"/>
      <c r="AH39" s="179" t="str">
        <f>IFERROR(IF(AND(AA38="Probabilidad",AA39="Probabilidad"),(AJ38-(+AJ38*AD39)),IF(AND(AA38="Impacto",AA39="Probabilidad"),(AJ37-(+AJ37*AD39)),IF(AA39="Impacto",AJ38,""))),"")</f>
        <v/>
      </c>
      <c r="AI39" s="180" t="str">
        <f t="shared" si="2"/>
        <v/>
      </c>
      <c r="AJ39" s="178" t="str">
        <f t="shared" si="43"/>
        <v/>
      </c>
      <c r="AK39" s="180" t="str">
        <f t="shared" si="4"/>
        <v/>
      </c>
      <c r="AL39" s="178" t="str">
        <f t="shared" ref="AL39" si="46">IFERROR(IF(AND(AA38="Impacto",AA39="Impacto"),(AL38-(+AL38*AD39)),IF(AND(AA38="Probabilidad",AA39="Impacto"),(AL37-(+AL37*AD39)),IF(AA39="Probabilidad",AL38,""))),"")</f>
        <v/>
      </c>
      <c r="AM39" s="181" t="str">
        <f t="shared" si="45"/>
        <v/>
      </c>
      <c r="AN39" s="182"/>
      <c r="AO39" s="175"/>
      <c r="AP39" s="183"/>
      <c r="AQ39" s="183"/>
      <c r="AR39" s="184"/>
      <c r="AS39" s="519"/>
      <c r="AT39" s="519"/>
      <c r="AU39" s="519"/>
    </row>
    <row r="40" spans="1:47" x14ac:dyDescent="0.2">
      <c r="A40" s="523"/>
      <c r="B40" s="515"/>
      <c r="C40" s="515"/>
      <c r="D40" s="515"/>
      <c r="E40" s="515"/>
      <c r="F40" s="520"/>
      <c r="G40" s="515"/>
      <c r="H40" s="517"/>
      <c r="I40" s="517"/>
      <c r="J40" s="517"/>
      <c r="K40" s="517"/>
      <c r="L40" s="517"/>
      <c r="M40" s="517"/>
      <c r="N40" s="519"/>
      <c r="O40" s="514"/>
      <c r="P40" s="512"/>
      <c r="Q40" s="513"/>
      <c r="R40" s="512">
        <f>IF(NOT(ISERROR(MATCH(Q40,_xlfn.ANCHORARRAY(F51),0))),P53&amp;"Por favor no seleccionar los criterios de impacto",Q40)</f>
        <v>0</v>
      </c>
      <c r="S40" s="514"/>
      <c r="T40" s="512"/>
      <c r="U40" s="511"/>
      <c r="V40" s="199">
        <v>4</v>
      </c>
      <c r="W40" s="199"/>
      <c r="X40" s="199"/>
      <c r="Y40" s="199"/>
      <c r="Z40" s="224" t="str">
        <f t="shared" si="6"/>
        <v xml:space="preserve">  </v>
      </c>
      <c r="AA40" s="176" t="str">
        <f t="shared" ref="AA40:AA42" si="47">IF(OR(AB40="Preventivo",AB40="Detectivo"),"Probabilidad",IF(AB40="Correctivo","Impacto",""))</f>
        <v/>
      </c>
      <c r="AB40" s="177"/>
      <c r="AC40" s="177"/>
      <c r="AD40" s="178" t="str">
        <f t="shared" si="42"/>
        <v/>
      </c>
      <c r="AE40" s="177"/>
      <c r="AF40" s="177"/>
      <c r="AG40" s="177"/>
      <c r="AH40" s="179" t="str">
        <f t="shared" ref="AH40:AH42" si="48">IFERROR(IF(AND(AA39="Probabilidad",AA40="Probabilidad"),(AJ39-(+AJ39*AD40)),IF(AND(AA39="Impacto",AA40="Probabilidad"),(AJ38-(+AJ38*AD40)),IF(AA40="Impacto",AJ39,""))),"")</f>
        <v/>
      </c>
      <c r="AI40" s="180" t="str">
        <f t="shared" si="2"/>
        <v/>
      </c>
      <c r="AJ40" s="178" t="str">
        <f t="shared" si="43"/>
        <v/>
      </c>
      <c r="AK40" s="180" t="str">
        <f t="shared" si="4"/>
        <v/>
      </c>
      <c r="AL40" s="178" t="str">
        <f t="shared" si="16"/>
        <v/>
      </c>
      <c r="AM40" s="181"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82"/>
      <c r="AO40" s="175"/>
      <c r="AP40" s="183"/>
      <c r="AQ40" s="183"/>
      <c r="AR40" s="184"/>
      <c r="AS40" s="519"/>
      <c r="AT40" s="519"/>
      <c r="AU40" s="519"/>
    </row>
    <row r="41" spans="1:47" x14ac:dyDescent="0.2">
      <c r="A41" s="523"/>
      <c r="B41" s="515"/>
      <c r="C41" s="515"/>
      <c r="D41" s="515"/>
      <c r="E41" s="515"/>
      <c r="F41" s="520"/>
      <c r="G41" s="515"/>
      <c r="H41" s="517"/>
      <c r="I41" s="517"/>
      <c r="J41" s="517"/>
      <c r="K41" s="517"/>
      <c r="L41" s="517"/>
      <c r="M41" s="517"/>
      <c r="N41" s="519"/>
      <c r="O41" s="514"/>
      <c r="P41" s="512"/>
      <c r="Q41" s="513"/>
      <c r="R41" s="512">
        <f>IF(NOT(ISERROR(MATCH(Q41,_xlfn.ANCHORARRAY(F52),0))),P54&amp;"Por favor no seleccionar los criterios de impacto",Q41)</f>
        <v>0</v>
      </c>
      <c r="S41" s="514"/>
      <c r="T41" s="512"/>
      <c r="U41" s="511"/>
      <c r="V41" s="199">
        <v>5</v>
      </c>
      <c r="W41" s="199"/>
      <c r="X41" s="199"/>
      <c r="Y41" s="199"/>
      <c r="Z41" s="224" t="str">
        <f t="shared" si="6"/>
        <v xml:space="preserve">  </v>
      </c>
      <c r="AA41" s="176" t="str">
        <f t="shared" si="47"/>
        <v/>
      </c>
      <c r="AB41" s="177"/>
      <c r="AC41" s="177"/>
      <c r="AD41" s="178" t="str">
        <f t="shared" si="42"/>
        <v/>
      </c>
      <c r="AE41" s="177"/>
      <c r="AF41" s="177"/>
      <c r="AG41" s="177"/>
      <c r="AH41" s="179" t="str">
        <f t="shared" si="48"/>
        <v/>
      </c>
      <c r="AI41" s="180" t="str">
        <f t="shared" si="2"/>
        <v/>
      </c>
      <c r="AJ41" s="178" t="str">
        <f t="shared" si="43"/>
        <v/>
      </c>
      <c r="AK41" s="180" t="str">
        <f t="shared" si="4"/>
        <v/>
      </c>
      <c r="AL41" s="178" t="str">
        <f t="shared" si="16"/>
        <v/>
      </c>
      <c r="AM41" s="181" t="str">
        <f t="shared" ref="AM41:AM42" si="49">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82"/>
      <c r="AO41" s="175"/>
      <c r="AP41" s="183"/>
      <c r="AQ41" s="183"/>
      <c r="AR41" s="184"/>
      <c r="AS41" s="519"/>
      <c r="AT41" s="519"/>
      <c r="AU41" s="519"/>
    </row>
    <row r="42" spans="1:47" x14ac:dyDescent="0.2">
      <c r="A42" s="523"/>
      <c r="B42" s="515"/>
      <c r="C42" s="515"/>
      <c r="D42" s="515"/>
      <c r="E42" s="515"/>
      <c r="F42" s="520"/>
      <c r="G42" s="515"/>
      <c r="H42" s="518"/>
      <c r="I42" s="518"/>
      <c r="J42" s="518"/>
      <c r="K42" s="518"/>
      <c r="L42" s="518"/>
      <c r="M42" s="518"/>
      <c r="N42" s="519"/>
      <c r="O42" s="514"/>
      <c r="P42" s="512"/>
      <c r="Q42" s="513"/>
      <c r="R42" s="512">
        <f>IF(NOT(ISERROR(MATCH(Q42,_xlfn.ANCHORARRAY(F53),0))),P55&amp;"Por favor no seleccionar los criterios de impacto",Q42)</f>
        <v>0</v>
      </c>
      <c r="S42" s="514"/>
      <c r="T42" s="512"/>
      <c r="U42" s="511"/>
      <c r="V42" s="199">
        <v>6</v>
      </c>
      <c r="W42" s="199"/>
      <c r="X42" s="199"/>
      <c r="Y42" s="199"/>
      <c r="Z42" s="224" t="str">
        <f t="shared" si="6"/>
        <v xml:space="preserve">  </v>
      </c>
      <c r="AA42" s="176" t="str">
        <f t="shared" si="47"/>
        <v/>
      </c>
      <c r="AB42" s="177"/>
      <c r="AC42" s="177"/>
      <c r="AD42" s="178" t="str">
        <f t="shared" si="42"/>
        <v/>
      </c>
      <c r="AE42" s="177"/>
      <c r="AF42" s="177"/>
      <c r="AG42" s="177"/>
      <c r="AH42" s="179" t="str">
        <f t="shared" si="48"/>
        <v/>
      </c>
      <c r="AI42" s="180" t="str">
        <f t="shared" si="2"/>
        <v/>
      </c>
      <c r="AJ42" s="178" t="str">
        <f t="shared" si="43"/>
        <v/>
      </c>
      <c r="AK42" s="180" t="str">
        <f t="shared" si="4"/>
        <v/>
      </c>
      <c r="AL42" s="178" t="str">
        <f t="shared" si="16"/>
        <v/>
      </c>
      <c r="AM42" s="181" t="str">
        <f t="shared" si="49"/>
        <v/>
      </c>
      <c r="AN42" s="182"/>
      <c r="AO42" s="175"/>
      <c r="AP42" s="183"/>
      <c r="AQ42" s="183"/>
      <c r="AR42" s="184"/>
      <c r="AS42" s="519"/>
      <c r="AT42" s="519"/>
      <c r="AU42" s="519"/>
    </row>
    <row r="43" spans="1:47" x14ac:dyDescent="0.2">
      <c r="A43" s="523">
        <v>6</v>
      </c>
      <c r="B43" s="515"/>
      <c r="C43" s="515"/>
      <c r="D43" s="515"/>
      <c r="E43" s="515"/>
      <c r="F43" s="520" t="str">
        <f t="shared" ref="F43" si="50">+CONCATENATE(B43," ",C43," ",D43)</f>
        <v xml:space="preserve">  </v>
      </c>
      <c r="G43" s="515"/>
      <c r="H43" s="516"/>
      <c r="I43" s="516"/>
      <c r="J43" s="516"/>
      <c r="K43" s="516"/>
      <c r="L43" s="516"/>
      <c r="M43" s="516"/>
      <c r="N43" s="519"/>
      <c r="O43" s="514" t="str">
        <f>IF(N43&lt;=0,"",IF(N43&lt;=2,"Muy Baja",IF(N43&lt;=24,"Baja",IF(N43&lt;=500,"Media",IF(N43&lt;=5000,"Alta","Muy Alta")))))</f>
        <v/>
      </c>
      <c r="P43" s="512" t="str">
        <f>IF(O43="","",IF(O43="Muy Baja",0.2,IF(O43="Baja",0.4,IF(O43="Media",0.6,IF(O43="Alta",0.8,IF(O43="Muy Alta",1,))))))</f>
        <v/>
      </c>
      <c r="Q43" s="513"/>
      <c r="R43" s="512">
        <f>IF(NOT(ISERROR(MATCH(Q43,'Tabla Impacto'!$B$245:$B$247,0))),'Tabla Impacto'!$F$224&amp;"Por favor no seleccionar los criterios de impacto(Afectación Económica o presupuestal y Pérdida Reputacional)",Q43)</f>
        <v>0</v>
      </c>
      <c r="S43" s="514" t="str">
        <f>IF(OR(R43='Tabla Impacto'!$C$12,R43='Tabla Impacto'!$D$12),"Leve",IF(OR(R43='Tabla Impacto'!$C$13,R43='Tabla Impacto'!$D$13),"Menor",IF(OR(R43='Tabla Impacto'!$C$14,R43='Tabla Impacto'!$D$14),"Moderado",IF(OR(R43='Tabla Impacto'!$C$15,R43='Tabla Impacto'!$D$15),"Mayor",IF(OR(R43='Tabla Impacto'!$C$16,R43='Tabla Impacto'!$D$16),"Catastrófico","")))))</f>
        <v/>
      </c>
      <c r="T43" s="512" t="str">
        <f>IF(S43="","",IF(S43="Leve",0.2,IF(S43="Menor",0.4,IF(S43="Moderado",0.6,IF(S43="Mayor",0.8,IF(S43="Catastrófico",1,))))))</f>
        <v/>
      </c>
      <c r="U43" s="511"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9">
        <v>1</v>
      </c>
      <c r="W43" s="199"/>
      <c r="X43" s="199"/>
      <c r="Y43" s="199"/>
      <c r="Z43" s="224" t="str">
        <f t="shared" si="6"/>
        <v xml:space="preserve">  </v>
      </c>
      <c r="AA43" s="176" t="str">
        <f>IF(OR(AB43="Preventivo",AB43="Detectivo"),"Probabilidad",IF(AB43="Correctivo","Impacto",""))</f>
        <v/>
      </c>
      <c r="AB43" s="177"/>
      <c r="AC43" s="177"/>
      <c r="AD43" s="178" t="str">
        <f>IF(AND(AB43="Preventivo",AC43="Automático"),"50%",IF(AND(AB43="Preventivo",AC43="Manual"),"40%",IF(AND(AB43="Detectivo",AC43="Automático"),"40%",IF(AND(AB43="Detectivo",AC43="Manual"),"30%",IF(AND(AB43="Correctivo",AC43="Automático"),"35%",IF(AND(AB43="Correctivo",AC43="Manual"),"25%",""))))))</f>
        <v/>
      </c>
      <c r="AE43" s="177"/>
      <c r="AF43" s="177"/>
      <c r="AG43" s="177"/>
      <c r="AH43" s="179" t="str">
        <f>IFERROR(IF(AA43="Probabilidad",(P43-(+P43*AD43)),IF(AA43="Impacto",P43,"")),"")</f>
        <v/>
      </c>
      <c r="AI43" s="180" t="str">
        <f>IFERROR(IF(AH43="","",IF(AH43&lt;=0.2,"Muy Baja",IF(AH43&lt;=0.4,"Baja",IF(AH43&lt;=0.6,"Media",IF(AH43&lt;=0.8,"Alta","Muy Alta"))))),"")</f>
        <v/>
      </c>
      <c r="AJ43" s="178" t="str">
        <f>+AH43</f>
        <v/>
      </c>
      <c r="AK43" s="180" t="str">
        <f>IFERROR(IF(AL43="","",IF(AL43&lt;=0.2,"Leve",IF(AL43&lt;=0.4,"Menor",IF(AL43&lt;=0.6,"Moderado",IF(AL43&lt;=0.8,"Mayor","Catastrófico"))))),"")</f>
        <v/>
      </c>
      <c r="AL43" s="178" t="str">
        <f t="shared" ref="AL43" si="51">IFERROR(IF(AA43="Impacto",(T43-(+T43*AD43)),IF(AA43="Probabilidad",T43,"")),"")</f>
        <v/>
      </c>
      <c r="AM43" s="181"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7"/>
      <c r="AO43" s="175"/>
      <c r="AP43" s="183"/>
      <c r="AQ43" s="183"/>
      <c r="AR43" s="184"/>
      <c r="AS43" s="519"/>
      <c r="AT43" s="519"/>
      <c r="AU43" s="519"/>
    </row>
    <row r="44" spans="1:47" x14ac:dyDescent="0.2">
      <c r="A44" s="523"/>
      <c r="B44" s="515"/>
      <c r="C44" s="515"/>
      <c r="D44" s="515"/>
      <c r="E44" s="515"/>
      <c r="F44" s="520"/>
      <c r="G44" s="515"/>
      <c r="H44" s="517"/>
      <c r="I44" s="517"/>
      <c r="J44" s="517"/>
      <c r="K44" s="517"/>
      <c r="L44" s="517"/>
      <c r="M44" s="517"/>
      <c r="N44" s="519"/>
      <c r="O44" s="514"/>
      <c r="P44" s="512"/>
      <c r="Q44" s="513"/>
      <c r="R44" s="512">
        <f>IF(NOT(ISERROR(MATCH(Q44,_xlfn.ANCHORARRAY(F55),0))),P57&amp;"Por favor no seleccionar los criterios de impacto",Q44)</f>
        <v>0</v>
      </c>
      <c r="S44" s="514"/>
      <c r="T44" s="512"/>
      <c r="U44" s="511"/>
      <c r="V44" s="199">
        <v>2</v>
      </c>
      <c r="W44" s="199"/>
      <c r="X44" s="199"/>
      <c r="Y44" s="199"/>
      <c r="Z44" s="224" t="str">
        <f t="shared" si="6"/>
        <v xml:space="preserve">  </v>
      </c>
      <c r="AA44" s="176" t="str">
        <f>IF(OR(AB44="Preventivo",AB44="Detectivo"),"Probabilidad",IF(AB44="Correctivo","Impacto",""))</f>
        <v/>
      </c>
      <c r="AB44" s="177"/>
      <c r="AC44" s="177"/>
      <c r="AD44" s="178" t="str">
        <f t="shared" ref="AD44:AD48" si="52">IF(AND(AB44="Preventivo",AC44="Automático"),"50%",IF(AND(AB44="Preventivo",AC44="Manual"),"40%",IF(AND(AB44="Detectivo",AC44="Automático"),"40%",IF(AND(AB44="Detectivo",AC44="Manual"),"30%",IF(AND(AB44="Correctivo",AC44="Automático"),"35%",IF(AND(AB44="Correctivo",AC44="Manual"),"25%",""))))))</f>
        <v/>
      </c>
      <c r="AE44" s="177"/>
      <c r="AF44" s="177"/>
      <c r="AG44" s="177"/>
      <c r="AH44" s="179" t="str">
        <f>IFERROR(IF(AND(AA43="Probabilidad",AA44="Probabilidad"),(AJ43-(+AJ43*AD44)),IF(AA44="Probabilidad",(P43-(+P43*AD44)),IF(AA44="Impacto",AJ43,""))),"")</f>
        <v/>
      </c>
      <c r="AI44" s="180" t="str">
        <f t="shared" si="2"/>
        <v/>
      </c>
      <c r="AJ44" s="178" t="str">
        <f t="shared" ref="AJ44:AJ48" si="53">+AH44</f>
        <v/>
      </c>
      <c r="AK44" s="180" t="str">
        <f t="shared" si="4"/>
        <v/>
      </c>
      <c r="AL44" s="178" t="str">
        <f t="shared" ref="AL44" si="54">IFERROR(IF(AND(AA43="Impacto",AA44="Impacto"),(AL43-(+AL43*AD44)),IF(AA44="Impacto",($T$13-(+$T$13*AD44)),IF(AA44="Probabilidad",AL43,""))),"")</f>
        <v/>
      </c>
      <c r="AM44" s="181" t="str">
        <f t="shared" ref="AM44:AM45" si="55">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82"/>
      <c r="AO44" s="175"/>
      <c r="AP44" s="183"/>
      <c r="AQ44" s="183"/>
      <c r="AR44" s="184"/>
      <c r="AS44" s="519"/>
      <c r="AT44" s="519"/>
      <c r="AU44" s="519"/>
    </row>
    <row r="45" spans="1:47" x14ac:dyDescent="0.2">
      <c r="A45" s="523"/>
      <c r="B45" s="515"/>
      <c r="C45" s="515"/>
      <c r="D45" s="515"/>
      <c r="E45" s="515"/>
      <c r="F45" s="520"/>
      <c r="G45" s="515"/>
      <c r="H45" s="517"/>
      <c r="I45" s="517"/>
      <c r="J45" s="517"/>
      <c r="K45" s="517"/>
      <c r="L45" s="517"/>
      <c r="M45" s="517"/>
      <c r="N45" s="519"/>
      <c r="O45" s="514"/>
      <c r="P45" s="512"/>
      <c r="Q45" s="513"/>
      <c r="R45" s="512">
        <f>IF(NOT(ISERROR(MATCH(Q45,_xlfn.ANCHORARRAY(F56),0))),P58&amp;"Por favor no seleccionar los criterios de impacto",Q45)</f>
        <v>0</v>
      </c>
      <c r="S45" s="514"/>
      <c r="T45" s="512"/>
      <c r="U45" s="511"/>
      <c r="V45" s="199">
        <v>3</v>
      </c>
      <c r="W45" s="199"/>
      <c r="X45" s="199"/>
      <c r="Y45" s="199"/>
      <c r="Z45" s="224" t="str">
        <f t="shared" si="6"/>
        <v xml:space="preserve">  </v>
      </c>
      <c r="AA45" s="176" t="str">
        <f>IF(OR(AB45="Preventivo",AB45="Detectivo"),"Probabilidad",IF(AB45="Correctivo","Impacto",""))</f>
        <v/>
      </c>
      <c r="AB45" s="177"/>
      <c r="AC45" s="177"/>
      <c r="AD45" s="178" t="str">
        <f t="shared" si="52"/>
        <v/>
      </c>
      <c r="AE45" s="177"/>
      <c r="AF45" s="177"/>
      <c r="AG45" s="177"/>
      <c r="AH45" s="179" t="str">
        <f>IFERROR(IF(AND(AA44="Probabilidad",AA45="Probabilidad"),(AJ44-(+AJ44*AD45)),IF(AND(AA44="Impacto",AA45="Probabilidad"),(AJ43-(+AJ43*AD45)),IF(AA45="Impacto",AJ44,""))),"")</f>
        <v/>
      </c>
      <c r="AI45" s="180" t="str">
        <f t="shared" si="2"/>
        <v/>
      </c>
      <c r="AJ45" s="178" t="str">
        <f t="shared" si="53"/>
        <v/>
      </c>
      <c r="AK45" s="180" t="str">
        <f t="shared" si="4"/>
        <v/>
      </c>
      <c r="AL45" s="178" t="str">
        <f t="shared" ref="AL45" si="56">IFERROR(IF(AND(AA44="Impacto",AA45="Impacto"),(AL44-(+AL44*AD45)),IF(AND(AA44="Probabilidad",AA45="Impacto"),(AL43-(+AL43*AD45)),IF(AA45="Probabilidad",AL44,""))),"")</f>
        <v/>
      </c>
      <c r="AM45" s="181" t="str">
        <f t="shared" si="55"/>
        <v/>
      </c>
      <c r="AN45" s="182"/>
      <c r="AO45" s="175"/>
      <c r="AP45" s="183"/>
      <c r="AQ45" s="183"/>
      <c r="AR45" s="184"/>
      <c r="AS45" s="519"/>
      <c r="AT45" s="519"/>
      <c r="AU45" s="519"/>
    </row>
    <row r="46" spans="1:47" x14ac:dyDescent="0.2">
      <c r="A46" s="523"/>
      <c r="B46" s="515"/>
      <c r="C46" s="515"/>
      <c r="D46" s="515"/>
      <c r="E46" s="515"/>
      <c r="F46" s="520"/>
      <c r="G46" s="515"/>
      <c r="H46" s="517"/>
      <c r="I46" s="517"/>
      <c r="J46" s="517"/>
      <c r="K46" s="517"/>
      <c r="L46" s="517"/>
      <c r="M46" s="517"/>
      <c r="N46" s="519"/>
      <c r="O46" s="514"/>
      <c r="P46" s="512"/>
      <c r="Q46" s="513"/>
      <c r="R46" s="512">
        <f>IF(NOT(ISERROR(MATCH(Q46,_xlfn.ANCHORARRAY(F57),0))),P59&amp;"Por favor no seleccionar los criterios de impacto",Q46)</f>
        <v>0</v>
      </c>
      <c r="S46" s="514"/>
      <c r="T46" s="512"/>
      <c r="U46" s="511"/>
      <c r="V46" s="199">
        <v>4</v>
      </c>
      <c r="W46" s="199"/>
      <c r="X46" s="199"/>
      <c r="Y46" s="199"/>
      <c r="Z46" s="224" t="str">
        <f t="shared" si="6"/>
        <v xml:space="preserve">  </v>
      </c>
      <c r="AA46" s="176" t="str">
        <f t="shared" ref="AA46:AA48" si="57">IF(OR(AB46="Preventivo",AB46="Detectivo"),"Probabilidad",IF(AB46="Correctivo","Impacto",""))</f>
        <v/>
      </c>
      <c r="AB46" s="177"/>
      <c r="AC46" s="177"/>
      <c r="AD46" s="178" t="str">
        <f t="shared" si="52"/>
        <v/>
      </c>
      <c r="AE46" s="177"/>
      <c r="AF46" s="177"/>
      <c r="AG46" s="177"/>
      <c r="AH46" s="179" t="str">
        <f t="shared" ref="AH46:AH48" si="58">IFERROR(IF(AND(AA45="Probabilidad",AA46="Probabilidad"),(AJ45-(+AJ45*AD46)),IF(AND(AA45="Impacto",AA46="Probabilidad"),(AJ44-(+AJ44*AD46)),IF(AA46="Impacto",AJ45,""))),"")</f>
        <v/>
      </c>
      <c r="AI46" s="180" t="str">
        <f t="shared" si="2"/>
        <v/>
      </c>
      <c r="AJ46" s="178" t="str">
        <f t="shared" si="53"/>
        <v/>
      </c>
      <c r="AK46" s="180" t="str">
        <f t="shared" si="4"/>
        <v/>
      </c>
      <c r="AL46" s="178" t="str">
        <f t="shared" si="16"/>
        <v/>
      </c>
      <c r="AM46" s="181"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82"/>
      <c r="AO46" s="175"/>
      <c r="AP46" s="183"/>
      <c r="AQ46" s="183"/>
      <c r="AR46" s="184"/>
      <c r="AS46" s="519"/>
      <c r="AT46" s="519"/>
      <c r="AU46" s="519"/>
    </row>
    <row r="47" spans="1:47" x14ac:dyDescent="0.2">
      <c r="A47" s="523"/>
      <c r="B47" s="515"/>
      <c r="C47" s="515"/>
      <c r="D47" s="515"/>
      <c r="E47" s="515"/>
      <c r="F47" s="520"/>
      <c r="G47" s="515"/>
      <c r="H47" s="517"/>
      <c r="I47" s="517"/>
      <c r="J47" s="517"/>
      <c r="K47" s="517"/>
      <c r="L47" s="517"/>
      <c r="M47" s="517"/>
      <c r="N47" s="519"/>
      <c r="O47" s="514"/>
      <c r="P47" s="512"/>
      <c r="Q47" s="513"/>
      <c r="R47" s="512">
        <f>IF(NOT(ISERROR(MATCH(Q47,_xlfn.ANCHORARRAY(F58),0))),P60&amp;"Por favor no seleccionar los criterios de impacto",Q47)</f>
        <v>0</v>
      </c>
      <c r="S47" s="514"/>
      <c r="T47" s="512"/>
      <c r="U47" s="511"/>
      <c r="V47" s="199">
        <v>5</v>
      </c>
      <c r="W47" s="199"/>
      <c r="X47" s="199"/>
      <c r="Y47" s="199"/>
      <c r="Z47" s="224" t="str">
        <f t="shared" si="6"/>
        <v xml:space="preserve">  </v>
      </c>
      <c r="AA47" s="176" t="str">
        <f t="shared" si="57"/>
        <v/>
      </c>
      <c r="AB47" s="177"/>
      <c r="AC47" s="177"/>
      <c r="AD47" s="178" t="str">
        <f t="shared" si="52"/>
        <v/>
      </c>
      <c r="AE47" s="177"/>
      <c r="AF47" s="177"/>
      <c r="AG47" s="177"/>
      <c r="AH47" s="179" t="str">
        <f t="shared" si="58"/>
        <v/>
      </c>
      <c r="AI47" s="180" t="str">
        <f t="shared" si="2"/>
        <v/>
      </c>
      <c r="AJ47" s="178" t="str">
        <f t="shared" si="53"/>
        <v/>
      </c>
      <c r="AK47" s="180" t="str">
        <f t="shared" si="4"/>
        <v/>
      </c>
      <c r="AL47" s="178" t="str">
        <f t="shared" si="16"/>
        <v/>
      </c>
      <c r="AM47" s="181" t="str">
        <f t="shared" ref="AM47" si="59">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82"/>
      <c r="AO47" s="175"/>
      <c r="AP47" s="183"/>
      <c r="AQ47" s="183"/>
      <c r="AR47" s="184"/>
      <c r="AS47" s="519"/>
      <c r="AT47" s="519"/>
      <c r="AU47" s="519"/>
    </row>
    <row r="48" spans="1:47" x14ac:dyDescent="0.2">
      <c r="A48" s="523"/>
      <c r="B48" s="515"/>
      <c r="C48" s="515"/>
      <c r="D48" s="515"/>
      <c r="E48" s="515"/>
      <c r="F48" s="520"/>
      <c r="G48" s="515"/>
      <c r="H48" s="518"/>
      <c r="I48" s="518"/>
      <c r="J48" s="518"/>
      <c r="K48" s="518"/>
      <c r="L48" s="518"/>
      <c r="M48" s="518"/>
      <c r="N48" s="519"/>
      <c r="O48" s="514"/>
      <c r="P48" s="512"/>
      <c r="Q48" s="513"/>
      <c r="R48" s="512">
        <f>IF(NOT(ISERROR(MATCH(Q48,_xlfn.ANCHORARRAY(F59),0))),P61&amp;"Por favor no seleccionar los criterios de impacto",Q48)</f>
        <v>0</v>
      </c>
      <c r="S48" s="514"/>
      <c r="T48" s="512"/>
      <c r="U48" s="511"/>
      <c r="V48" s="199">
        <v>6</v>
      </c>
      <c r="W48" s="199"/>
      <c r="X48" s="199"/>
      <c r="Y48" s="199"/>
      <c r="Z48" s="224" t="str">
        <f t="shared" si="6"/>
        <v xml:space="preserve">  </v>
      </c>
      <c r="AA48" s="176" t="str">
        <f t="shared" si="57"/>
        <v/>
      </c>
      <c r="AB48" s="177"/>
      <c r="AC48" s="177"/>
      <c r="AD48" s="178" t="str">
        <f t="shared" si="52"/>
        <v/>
      </c>
      <c r="AE48" s="177"/>
      <c r="AF48" s="177"/>
      <c r="AG48" s="177"/>
      <c r="AH48" s="179" t="str">
        <f t="shared" si="58"/>
        <v/>
      </c>
      <c r="AI48" s="180" t="str">
        <f t="shared" si="2"/>
        <v/>
      </c>
      <c r="AJ48" s="178" t="str">
        <f t="shared" si="53"/>
        <v/>
      </c>
      <c r="AK48" s="180" t="str">
        <f>IFERROR(IF(AL48="","",IF(AL48&lt;=0.2,"Leve",IF(AL48&lt;=0.4,"Menor",IF(AL48&lt;=0.6,"Moderado",IF(AL48&lt;=0.8,"Mayor","Catastrófico"))))),"")</f>
        <v/>
      </c>
      <c r="AL48" s="178" t="str">
        <f t="shared" si="16"/>
        <v/>
      </c>
      <c r="AM48" s="181"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82"/>
      <c r="AO48" s="175"/>
      <c r="AP48" s="183"/>
      <c r="AQ48" s="183"/>
      <c r="AR48" s="184"/>
      <c r="AS48" s="519"/>
      <c r="AT48" s="519"/>
      <c r="AU48" s="519"/>
    </row>
    <row r="49" spans="1:47" x14ac:dyDescent="0.2">
      <c r="A49" s="523">
        <v>7</v>
      </c>
      <c r="B49" s="515"/>
      <c r="C49" s="515"/>
      <c r="D49" s="524"/>
      <c r="E49" s="524"/>
      <c r="F49" s="520" t="str">
        <f t="shared" ref="F49" si="60">+CONCATENATE(B49," ",C49," ",D49)</f>
        <v xml:space="preserve">  </v>
      </c>
      <c r="G49" s="515"/>
      <c r="H49" s="516"/>
      <c r="I49" s="516"/>
      <c r="J49" s="516"/>
      <c r="K49" s="516"/>
      <c r="L49" s="516"/>
      <c r="M49" s="516"/>
      <c r="N49" s="519"/>
      <c r="O49" s="514" t="str">
        <f>IF(N49&lt;=0,"",IF(N49&lt;=2,"Muy Baja",IF(N49&lt;=24,"Baja",IF(N49&lt;=500,"Media",IF(N49&lt;=5000,"Alta","Muy Alta")))))</f>
        <v/>
      </c>
      <c r="P49" s="512" t="str">
        <f>IF(O49="","",IF(O49="Muy Baja",0.2,IF(O49="Baja",0.4,IF(O49="Media",0.6,IF(O49="Alta",0.8,IF(O49="Muy Alta",1,))))))</f>
        <v/>
      </c>
      <c r="Q49" s="513"/>
      <c r="R49" s="512">
        <f>IF(NOT(ISERROR(MATCH(Q49,'Tabla Impacto'!$B$245:$B$247,0))),'Tabla Impacto'!$F$224&amp;"Por favor no seleccionar los criterios de impacto(Afectación Económica o presupuestal y Pérdida Reputacional)",Q49)</f>
        <v>0</v>
      </c>
      <c r="S49" s="514" t="str">
        <f>IF(OR(R49='Tabla Impacto'!$C$12,R49='Tabla Impacto'!$D$12),"Leve",IF(OR(R49='Tabla Impacto'!$C$13,R49='Tabla Impacto'!$D$13),"Menor",IF(OR(R49='Tabla Impacto'!$C$14,R49='Tabla Impacto'!$D$14),"Moderado",IF(OR(R49='Tabla Impacto'!$C$15,R49='Tabla Impacto'!$D$15),"Mayor",IF(OR(R49='Tabla Impacto'!$C$16,R49='Tabla Impacto'!$D$16),"Catastrófico","")))))</f>
        <v/>
      </c>
      <c r="T49" s="512" t="str">
        <f>IF(S49="","",IF(S49="Leve",0.2,IF(S49="Menor",0.4,IF(S49="Moderado",0.6,IF(S49="Mayor",0.8,IF(S49="Catastrófico",1,))))))</f>
        <v/>
      </c>
      <c r="U49" s="511"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9">
        <v>1</v>
      </c>
      <c r="W49" s="199"/>
      <c r="X49" s="199"/>
      <c r="Y49" s="199"/>
      <c r="Z49" s="224" t="str">
        <f t="shared" si="6"/>
        <v xml:space="preserve">  </v>
      </c>
      <c r="AA49" s="176" t="str">
        <f>IF(OR(AB49="Preventivo",AB49="Detectivo"),"Probabilidad",IF(AB49="Correctivo","Impacto",""))</f>
        <v/>
      </c>
      <c r="AB49" s="177"/>
      <c r="AC49" s="177"/>
      <c r="AD49" s="178" t="str">
        <f>IF(AND(AB49="Preventivo",AC49="Automático"),"50%",IF(AND(AB49="Preventivo",AC49="Manual"),"40%",IF(AND(AB49="Detectivo",AC49="Automático"),"40%",IF(AND(AB49="Detectivo",AC49="Manual"),"30%",IF(AND(AB49="Correctivo",AC49="Automático"),"35%",IF(AND(AB49="Correctivo",AC49="Manual"),"25%",""))))))</f>
        <v/>
      </c>
      <c r="AE49" s="177"/>
      <c r="AF49" s="177"/>
      <c r="AG49" s="177"/>
      <c r="AH49" s="179" t="str">
        <f>IFERROR(IF(AA49="Probabilidad",(P49-(+P49*AD49)),IF(AA49="Impacto",P49,"")),"")</f>
        <v/>
      </c>
      <c r="AI49" s="180" t="str">
        <f>IFERROR(IF(AH49="","",IF(AH49&lt;=0.2,"Muy Baja",IF(AH49&lt;=0.4,"Baja",IF(AH49&lt;=0.6,"Media",IF(AH49&lt;=0.8,"Alta","Muy Alta"))))),"")</f>
        <v/>
      </c>
      <c r="AJ49" s="178" t="str">
        <f>+AH49</f>
        <v/>
      </c>
      <c r="AK49" s="180" t="str">
        <f>IFERROR(IF(AL49="","",IF(AL49&lt;=0.2,"Leve",IF(AL49&lt;=0.4,"Menor",IF(AL49&lt;=0.6,"Moderado",IF(AL49&lt;=0.8,"Mayor","Catastrófico"))))),"")</f>
        <v/>
      </c>
      <c r="AL49" s="178" t="str">
        <f t="shared" ref="AL49" si="61">IFERROR(IF(AA49="Impacto",(T49-(+T49*AD49)),IF(AA49="Probabilidad",T49,"")),"")</f>
        <v/>
      </c>
      <c r="AM49" s="181"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82"/>
      <c r="AO49" s="175"/>
      <c r="AP49" s="183"/>
      <c r="AQ49" s="183"/>
      <c r="AR49" s="184"/>
      <c r="AS49" s="519"/>
      <c r="AT49" s="519"/>
      <c r="AU49" s="519"/>
    </row>
    <row r="50" spans="1:47" x14ac:dyDescent="0.2">
      <c r="A50" s="523"/>
      <c r="B50" s="515"/>
      <c r="C50" s="515"/>
      <c r="D50" s="524"/>
      <c r="E50" s="524"/>
      <c r="F50" s="520"/>
      <c r="G50" s="515"/>
      <c r="H50" s="517"/>
      <c r="I50" s="517"/>
      <c r="J50" s="517"/>
      <c r="K50" s="517"/>
      <c r="L50" s="517"/>
      <c r="M50" s="517"/>
      <c r="N50" s="519"/>
      <c r="O50" s="514"/>
      <c r="P50" s="512"/>
      <c r="Q50" s="513"/>
      <c r="R50" s="512">
        <f>IF(NOT(ISERROR(MATCH(Q50,_xlfn.ANCHORARRAY(F61),0))),P63&amp;"Por favor no seleccionar los criterios de impacto",Q50)</f>
        <v>0</v>
      </c>
      <c r="S50" s="514"/>
      <c r="T50" s="512"/>
      <c r="U50" s="511"/>
      <c r="V50" s="199">
        <v>2</v>
      </c>
      <c r="W50" s="199"/>
      <c r="X50" s="199"/>
      <c r="Y50" s="199"/>
      <c r="Z50" s="224" t="str">
        <f t="shared" si="6"/>
        <v xml:space="preserve">  </v>
      </c>
      <c r="AA50" s="176" t="str">
        <f>IF(OR(AB50="Preventivo",AB50="Detectivo"),"Probabilidad",IF(AB50="Correctivo","Impacto",""))</f>
        <v/>
      </c>
      <c r="AB50" s="177"/>
      <c r="AC50" s="177"/>
      <c r="AD50" s="178" t="str">
        <f t="shared" ref="AD50:AD54" si="62">IF(AND(AB50="Preventivo",AC50="Automático"),"50%",IF(AND(AB50="Preventivo",AC50="Manual"),"40%",IF(AND(AB50="Detectivo",AC50="Automático"),"40%",IF(AND(AB50="Detectivo",AC50="Manual"),"30%",IF(AND(AB50="Correctivo",AC50="Automático"),"35%",IF(AND(AB50="Correctivo",AC50="Manual"),"25%",""))))))</f>
        <v/>
      </c>
      <c r="AE50" s="177"/>
      <c r="AF50" s="177"/>
      <c r="AG50" s="177"/>
      <c r="AH50" s="179" t="str">
        <f>IFERROR(IF(AND(AA49="Probabilidad",AA50="Probabilidad"),(AJ49-(+AJ49*AD50)),IF(AA50="Probabilidad",(P49-(+P49*AD50)),IF(AA50="Impacto",AJ49,""))),"")</f>
        <v/>
      </c>
      <c r="AI50" s="180" t="str">
        <f t="shared" si="2"/>
        <v/>
      </c>
      <c r="AJ50" s="178" t="str">
        <f t="shared" ref="AJ50:AJ54" si="63">+AH50</f>
        <v/>
      </c>
      <c r="AK50" s="180" t="str">
        <f t="shared" si="4"/>
        <v/>
      </c>
      <c r="AL50" s="178" t="str">
        <f t="shared" ref="AL50" si="64">IFERROR(IF(AND(AA49="Impacto",AA50="Impacto"),(AL49-(+AL49*AD50)),IF(AA50="Impacto",($T$13-(+$T$13*AD50)),IF(AA50="Probabilidad",AL49,""))),"")</f>
        <v/>
      </c>
      <c r="AM50" s="181" t="str">
        <f t="shared" ref="AM50:AM51" si="65">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82"/>
      <c r="AO50" s="175"/>
      <c r="AP50" s="183"/>
      <c r="AQ50" s="183"/>
      <c r="AR50" s="184"/>
      <c r="AS50" s="519"/>
      <c r="AT50" s="519"/>
      <c r="AU50" s="519"/>
    </row>
    <row r="51" spans="1:47" x14ac:dyDescent="0.2">
      <c r="A51" s="523"/>
      <c r="B51" s="515"/>
      <c r="C51" s="515"/>
      <c r="D51" s="524"/>
      <c r="E51" s="524"/>
      <c r="F51" s="520"/>
      <c r="G51" s="515"/>
      <c r="H51" s="517"/>
      <c r="I51" s="517"/>
      <c r="J51" s="517"/>
      <c r="K51" s="517"/>
      <c r="L51" s="517"/>
      <c r="M51" s="517"/>
      <c r="N51" s="519"/>
      <c r="O51" s="514"/>
      <c r="P51" s="512"/>
      <c r="Q51" s="513"/>
      <c r="R51" s="512">
        <f>IF(NOT(ISERROR(MATCH(Q51,_xlfn.ANCHORARRAY(F62),0))),P64&amp;"Por favor no seleccionar los criterios de impacto",Q51)</f>
        <v>0</v>
      </c>
      <c r="S51" s="514"/>
      <c r="T51" s="512"/>
      <c r="U51" s="511"/>
      <c r="V51" s="199">
        <v>3</v>
      </c>
      <c r="W51" s="199"/>
      <c r="X51" s="199"/>
      <c r="Y51" s="199"/>
      <c r="Z51" s="224" t="str">
        <f t="shared" si="6"/>
        <v xml:space="preserve">  </v>
      </c>
      <c r="AA51" s="176" t="str">
        <f>IF(OR(AB51="Preventivo",AB51="Detectivo"),"Probabilidad",IF(AB51="Correctivo","Impacto",""))</f>
        <v/>
      </c>
      <c r="AB51" s="177"/>
      <c r="AC51" s="177"/>
      <c r="AD51" s="178" t="str">
        <f t="shared" si="62"/>
        <v/>
      </c>
      <c r="AE51" s="177"/>
      <c r="AF51" s="177"/>
      <c r="AG51" s="177"/>
      <c r="AH51" s="179" t="str">
        <f>IFERROR(IF(AND(AA50="Probabilidad",AA51="Probabilidad"),(AJ50-(+AJ50*AD51)),IF(AND(AA50="Impacto",AA51="Probabilidad"),(AJ49-(+AJ49*AD51)),IF(AA51="Impacto",AJ50,""))),"")</f>
        <v/>
      </c>
      <c r="AI51" s="180" t="str">
        <f t="shared" si="2"/>
        <v/>
      </c>
      <c r="AJ51" s="178" t="str">
        <f t="shared" si="63"/>
        <v/>
      </c>
      <c r="AK51" s="180" t="str">
        <f t="shared" si="4"/>
        <v/>
      </c>
      <c r="AL51" s="178" t="str">
        <f t="shared" ref="AL51" si="66">IFERROR(IF(AND(AA50="Impacto",AA51="Impacto"),(AL50-(+AL50*AD51)),IF(AND(AA50="Probabilidad",AA51="Impacto"),(AL49-(+AL49*AD51)),IF(AA51="Probabilidad",AL50,""))),"")</f>
        <v/>
      </c>
      <c r="AM51" s="181" t="str">
        <f t="shared" si="65"/>
        <v/>
      </c>
      <c r="AN51" s="182"/>
      <c r="AO51" s="175"/>
      <c r="AP51" s="183"/>
      <c r="AQ51" s="183"/>
      <c r="AR51" s="184"/>
      <c r="AS51" s="519"/>
      <c r="AT51" s="519"/>
      <c r="AU51" s="519"/>
    </row>
    <row r="52" spans="1:47" x14ac:dyDescent="0.2">
      <c r="A52" s="523"/>
      <c r="B52" s="515"/>
      <c r="C52" s="515"/>
      <c r="D52" s="524"/>
      <c r="E52" s="524"/>
      <c r="F52" s="520"/>
      <c r="G52" s="515"/>
      <c r="H52" s="517"/>
      <c r="I52" s="517"/>
      <c r="J52" s="517"/>
      <c r="K52" s="517"/>
      <c r="L52" s="517"/>
      <c r="M52" s="517"/>
      <c r="N52" s="519"/>
      <c r="O52" s="514"/>
      <c r="P52" s="512"/>
      <c r="Q52" s="513"/>
      <c r="R52" s="512">
        <f>IF(NOT(ISERROR(MATCH(Q52,_xlfn.ANCHORARRAY(F63),0))),P65&amp;"Por favor no seleccionar los criterios de impacto",Q52)</f>
        <v>0</v>
      </c>
      <c r="S52" s="514"/>
      <c r="T52" s="512"/>
      <c r="U52" s="511"/>
      <c r="V52" s="199">
        <v>4</v>
      </c>
      <c r="W52" s="199"/>
      <c r="X52" s="199"/>
      <c r="Y52" s="199"/>
      <c r="Z52" s="224" t="str">
        <f t="shared" si="6"/>
        <v xml:space="preserve">  </v>
      </c>
      <c r="AA52" s="176" t="str">
        <f t="shared" ref="AA52:AA54" si="67">IF(OR(AB52="Preventivo",AB52="Detectivo"),"Probabilidad",IF(AB52="Correctivo","Impacto",""))</f>
        <v/>
      </c>
      <c r="AB52" s="177"/>
      <c r="AC52" s="177"/>
      <c r="AD52" s="178" t="str">
        <f t="shared" si="62"/>
        <v/>
      </c>
      <c r="AE52" s="177"/>
      <c r="AF52" s="177"/>
      <c r="AG52" s="177"/>
      <c r="AH52" s="179" t="str">
        <f t="shared" ref="AH52:AH54" si="68">IFERROR(IF(AND(AA51="Probabilidad",AA52="Probabilidad"),(AJ51-(+AJ51*AD52)),IF(AND(AA51="Impacto",AA52="Probabilidad"),(AJ50-(+AJ50*AD52)),IF(AA52="Impacto",AJ51,""))),"")</f>
        <v/>
      </c>
      <c r="AI52" s="180" t="str">
        <f t="shared" si="2"/>
        <v/>
      </c>
      <c r="AJ52" s="178" t="str">
        <f t="shared" si="63"/>
        <v/>
      </c>
      <c r="AK52" s="180" t="str">
        <f t="shared" si="4"/>
        <v/>
      </c>
      <c r="AL52" s="178" t="str">
        <f t="shared" si="16"/>
        <v/>
      </c>
      <c r="AM52" s="181"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82"/>
      <c r="AO52" s="175"/>
      <c r="AP52" s="183"/>
      <c r="AQ52" s="183"/>
      <c r="AR52" s="184"/>
      <c r="AS52" s="519"/>
      <c r="AT52" s="519"/>
      <c r="AU52" s="519"/>
    </row>
    <row r="53" spans="1:47" x14ac:dyDescent="0.2">
      <c r="A53" s="523"/>
      <c r="B53" s="515"/>
      <c r="C53" s="515"/>
      <c r="D53" s="524"/>
      <c r="E53" s="524"/>
      <c r="F53" s="520"/>
      <c r="G53" s="515"/>
      <c r="H53" s="517"/>
      <c r="I53" s="517"/>
      <c r="J53" s="517"/>
      <c r="K53" s="517"/>
      <c r="L53" s="517"/>
      <c r="M53" s="517"/>
      <c r="N53" s="519"/>
      <c r="O53" s="514"/>
      <c r="P53" s="512"/>
      <c r="Q53" s="513"/>
      <c r="R53" s="512">
        <f>IF(NOT(ISERROR(MATCH(Q53,_xlfn.ANCHORARRAY(F64),0))),P66&amp;"Por favor no seleccionar los criterios de impacto",Q53)</f>
        <v>0</v>
      </c>
      <c r="S53" s="514"/>
      <c r="T53" s="512"/>
      <c r="U53" s="511"/>
      <c r="V53" s="199">
        <v>5</v>
      </c>
      <c r="W53" s="199"/>
      <c r="X53" s="199"/>
      <c r="Y53" s="199"/>
      <c r="Z53" s="224" t="str">
        <f t="shared" si="6"/>
        <v xml:space="preserve">  </v>
      </c>
      <c r="AA53" s="176" t="str">
        <f t="shared" si="67"/>
        <v/>
      </c>
      <c r="AB53" s="177"/>
      <c r="AC53" s="177"/>
      <c r="AD53" s="178" t="str">
        <f t="shared" si="62"/>
        <v/>
      </c>
      <c r="AE53" s="177"/>
      <c r="AF53" s="177"/>
      <c r="AG53" s="177"/>
      <c r="AH53" s="179" t="str">
        <f t="shared" si="68"/>
        <v/>
      </c>
      <c r="AI53" s="180" t="str">
        <f t="shared" si="2"/>
        <v/>
      </c>
      <c r="AJ53" s="178" t="str">
        <f t="shared" si="63"/>
        <v/>
      </c>
      <c r="AK53" s="180" t="str">
        <f t="shared" si="4"/>
        <v/>
      </c>
      <c r="AL53" s="178" t="str">
        <f t="shared" si="16"/>
        <v/>
      </c>
      <c r="AM53" s="181" t="str">
        <f t="shared" ref="AM53:AM54" si="69">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82"/>
      <c r="AO53" s="175"/>
      <c r="AP53" s="183"/>
      <c r="AQ53" s="183"/>
      <c r="AR53" s="184"/>
      <c r="AS53" s="519"/>
      <c r="AT53" s="519"/>
      <c r="AU53" s="519"/>
    </row>
    <row r="54" spans="1:47" x14ac:dyDescent="0.2">
      <c r="A54" s="523"/>
      <c r="B54" s="515"/>
      <c r="C54" s="515"/>
      <c r="D54" s="524"/>
      <c r="E54" s="524"/>
      <c r="F54" s="520"/>
      <c r="G54" s="515"/>
      <c r="H54" s="518"/>
      <c r="I54" s="518"/>
      <c r="J54" s="518"/>
      <c r="K54" s="518"/>
      <c r="L54" s="518"/>
      <c r="M54" s="518"/>
      <c r="N54" s="519"/>
      <c r="O54" s="514"/>
      <c r="P54" s="512"/>
      <c r="Q54" s="513"/>
      <c r="R54" s="512">
        <f>IF(NOT(ISERROR(MATCH(Q54,_xlfn.ANCHORARRAY(F65),0))),P67&amp;"Por favor no seleccionar los criterios de impacto",Q54)</f>
        <v>0</v>
      </c>
      <c r="S54" s="514"/>
      <c r="T54" s="512"/>
      <c r="U54" s="511"/>
      <c r="V54" s="199">
        <v>6</v>
      </c>
      <c r="W54" s="199"/>
      <c r="X54" s="199"/>
      <c r="Y54" s="199"/>
      <c r="Z54" s="224" t="str">
        <f t="shared" si="6"/>
        <v xml:space="preserve">  </v>
      </c>
      <c r="AA54" s="176" t="str">
        <f t="shared" si="67"/>
        <v/>
      </c>
      <c r="AB54" s="177"/>
      <c r="AC54" s="177"/>
      <c r="AD54" s="178" t="str">
        <f t="shared" si="62"/>
        <v/>
      </c>
      <c r="AE54" s="177"/>
      <c r="AF54" s="177"/>
      <c r="AG54" s="177"/>
      <c r="AH54" s="179" t="str">
        <f t="shared" si="68"/>
        <v/>
      </c>
      <c r="AI54" s="180" t="str">
        <f t="shared" si="2"/>
        <v/>
      </c>
      <c r="AJ54" s="178" t="str">
        <f t="shared" si="63"/>
        <v/>
      </c>
      <c r="AK54" s="180" t="str">
        <f t="shared" si="4"/>
        <v/>
      </c>
      <c r="AL54" s="178" t="str">
        <f t="shared" si="16"/>
        <v/>
      </c>
      <c r="AM54" s="181" t="str">
        <f t="shared" si="69"/>
        <v/>
      </c>
      <c r="AN54" s="182"/>
      <c r="AO54" s="175"/>
      <c r="AP54" s="183"/>
      <c r="AQ54" s="183"/>
      <c r="AR54" s="184"/>
      <c r="AS54" s="519"/>
      <c r="AT54" s="519"/>
      <c r="AU54" s="519"/>
    </row>
    <row r="55" spans="1:47" x14ac:dyDescent="0.2">
      <c r="A55" s="523">
        <v>8</v>
      </c>
      <c r="B55" s="515"/>
      <c r="C55" s="515"/>
      <c r="D55" s="515"/>
      <c r="E55" s="515"/>
      <c r="F55" s="520" t="str">
        <f t="shared" ref="F55" si="70">+CONCATENATE(B55," ",C55," ",D55)</f>
        <v xml:space="preserve">  </v>
      </c>
      <c r="G55" s="515"/>
      <c r="H55" s="516"/>
      <c r="I55" s="516"/>
      <c r="J55" s="516"/>
      <c r="K55" s="516"/>
      <c r="L55" s="516"/>
      <c r="M55" s="516"/>
      <c r="N55" s="519"/>
      <c r="O55" s="514" t="str">
        <f>IF(N55&lt;=0,"",IF(N55&lt;=2,"Muy Baja",IF(N55&lt;=24,"Baja",IF(N55&lt;=500,"Media",IF(N55&lt;=5000,"Alta","Muy Alta")))))</f>
        <v/>
      </c>
      <c r="P55" s="512" t="str">
        <f>IF(O55="","",IF(O55="Muy Baja",0.2,IF(O55="Baja",0.4,IF(O55="Media",0.6,IF(O55="Alta",0.8,IF(O55="Muy Alta",1,))))))</f>
        <v/>
      </c>
      <c r="Q55" s="513"/>
      <c r="R55" s="512">
        <f>IF(NOT(ISERROR(MATCH(Q55,'Tabla Impacto'!$B$245:$B$247,0))),'Tabla Impacto'!$F$224&amp;"Por favor no seleccionar los criterios de impacto(Afectación Económica o presupuestal y Pérdida Reputacional)",Q55)</f>
        <v>0</v>
      </c>
      <c r="S55" s="514" t="str">
        <f>IF(OR(R55='Tabla Impacto'!$C$12,R55='Tabla Impacto'!$D$12),"Leve",IF(OR(R55='Tabla Impacto'!$C$13,R55='Tabla Impacto'!$D$13),"Menor",IF(OR(R55='Tabla Impacto'!$C$14,R55='Tabla Impacto'!$D$14),"Moderado",IF(OR(R55='Tabla Impacto'!$C$15,R55='Tabla Impacto'!$D$15),"Mayor",IF(OR(R55='Tabla Impacto'!$C$16,R55='Tabla Impacto'!$D$16),"Catastrófico","")))))</f>
        <v/>
      </c>
      <c r="T55" s="512" t="str">
        <f>IF(S55="","",IF(S55="Leve",0.2,IF(S55="Menor",0.4,IF(S55="Moderado",0.6,IF(S55="Mayor",0.8,IF(S55="Catastrófico",1,))))))</f>
        <v/>
      </c>
      <c r="U55" s="511"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9">
        <v>1</v>
      </c>
      <c r="W55" s="199"/>
      <c r="X55" s="199"/>
      <c r="Y55" s="199"/>
      <c r="Z55" s="224" t="str">
        <f t="shared" si="6"/>
        <v xml:space="preserve">  </v>
      </c>
      <c r="AA55" s="176" t="str">
        <f>IF(OR(AB55="Preventivo",AB55="Detectivo"),"Probabilidad",IF(AB55="Correctivo","Impacto",""))</f>
        <v/>
      </c>
      <c r="AB55" s="177"/>
      <c r="AC55" s="177"/>
      <c r="AD55" s="178" t="str">
        <f>IF(AND(AB55="Preventivo",AC55="Automático"),"50%",IF(AND(AB55="Preventivo",AC55="Manual"),"40%",IF(AND(AB55="Detectivo",AC55="Automático"),"40%",IF(AND(AB55="Detectivo",AC55="Manual"),"30%",IF(AND(AB55="Correctivo",AC55="Automático"),"35%",IF(AND(AB55="Correctivo",AC55="Manual"),"25%",""))))))</f>
        <v/>
      </c>
      <c r="AE55" s="177"/>
      <c r="AF55" s="177"/>
      <c r="AG55" s="177"/>
      <c r="AH55" s="179" t="str">
        <f>IFERROR(IF(AA55="Probabilidad",(P55-(+P55*AD55)),IF(AA55="Impacto",P55,"")),"")</f>
        <v/>
      </c>
      <c r="AI55" s="180" t="str">
        <f>IFERROR(IF(AH55="","",IF(AH55&lt;=0.2,"Muy Baja",IF(AH55&lt;=0.4,"Baja",IF(AH55&lt;=0.6,"Media",IF(AH55&lt;=0.8,"Alta","Muy Alta"))))),"")</f>
        <v/>
      </c>
      <c r="AJ55" s="178" t="str">
        <f>+AH55</f>
        <v/>
      </c>
      <c r="AK55" s="180" t="str">
        <f>IFERROR(IF(AL55="","",IF(AL55&lt;=0.2,"Leve",IF(AL55&lt;=0.4,"Menor",IF(AL55&lt;=0.6,"Moderado",IF(AL55&lt;=0.8,"Mayor","Catastrófico"))))),"")</f>
        <v/>
      </c>
      <c r="AL55" s="178" t="str">
        <f t="shared" ref="AL55" si="71">IFERROR(IF(AA55="Impacto",(T55-(+T55*AD55)),IF(AA55="Probabilidad",T55,"")),"")</f>
        <v/>
      </c>
      <c r="AM55" s="181"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82"/>
      <c r="AO55" s="175"/>
      <c r="AP55" s="183"/>
      <c r="AQ55" s="183"/>
      <c r="AR55" s="184"/>
      <c r="AS55" s="519"/>
      <c r="AT55" s="519"/>
      <c r="AU55" s="519"/>
    </row>
    <row r="56" spans="1:47" x14ac:dyDescent="0.2">
      <c r="A56" s="523"/>
      <c r="B56" s="515"/>
      <c r="C56" s="515"/>
      <c r="D56" s="515"/>
      <c r="E56" s="515"/>
      <c r="F56" s="520"/>
      <c r="G56" s="515"/>
      <c r="H56" s="517"/>
      <c r="I56" s="517"/>
      <c r="J56" s="517"/>
      <c r="K56" s="517"/>
      <c r="L56" s="517"/>
      <c r="M56" s="517"/>
      <c r="N56" s="519"/>
      <c r="O56" s="514"/>
      <c r="P56" s="512"/>
      <c r="Q56" s="513"/>
      <c r="R56" s="512">
        <f>IF(NOT(ISERROR(MATCH(Q56,_xlfn.ANCHORARRAY(F67),0))),P69&amp;"Por favor no seleccionar los criterios de impacto",Q56)</f>
        <v>0</v>
      </c>
      <c r="S56" s="514"/>
      <c r="T56" s="512"/>
      <c r="U56" s="511"/>
      <c r="V56" s="199">
        <v>2</v>
      </c>
      <c r="W56" s="199"/>
      <c r="X56" s="199"/>
      <c r="Y56" s="199"/>
      <c r="Z56" s="224" t="str">
        <f t="shared" si="6"/>
        <v xml:space="preserve">  </v>
      </c>
      <c r="AA56" s="176" t="str">
        <f>IF(OR(AB56="Preventivo",AB56="Detectivo"),"Probabilidad",IF(AB56="Correctivo","Impacto",""))</f>
        <v/>
      </c>
      <c r="AB56" s="177"/>
      <c r="AC56" s="177"/>
      <c r="AD56" s="178" t="str">
        <f t="shared" ref="AD56:AD60" si="72">IF(AND(AB56="Preventivo",AC56="Automático"),"50%",IF(AND(AB56="Preventivo",AC56="Manual"),"40%",IF(AND(AB56="Detectivo",AC56="Automático"),"40%",IF(AND(AB56="Detectivo",AC56="Manual"),"30%",IF(AND(AB56="Correctivo",AC56="Automático"),"35%",IF(AND(AB56="Correctivo",AC56="Manual"),"25%",""))))))</f>
        <v/>
      </c>
      <c r="AE56" s="177"/>
      <c r="AF56" s="177"/>
      <c r="AG56" s="177"/>
      <c r="AH56" s="179" t="str">
        <f>IFERROR(IF(AND(AA55="Probabilidad",AA56="Probabilidad"),(AJ55-(+AJ55*AD56)),IF(AA56="Probabilidad",(P55-(+P55*AD56)),IF(AA56="Impacto",AJ55,""))),"")</f>
        <v/>
      </c>
      <c r="AI56" s="180" t="str">
        <f t="shared" si="2"/>
        <v/>
      </c>
      <c r="AJ56" s="178" t="str">
        <f t="shared" ref="AJ56:AJ60" si="73">+AH56</f>
        <v/>
      </c>
      <c r="AK56" s="180" t="str">
        <f t="shared" si="4"/>
        <v/>
      </c>
      <c r="AL56" s="178" t="str">
        <f t="shared" ref="AL56" si="74">IFERROR(IF(AND(AA55="Impacto",AA56="Impacto"),(AL55-(+AL55*AD56)),IF(AA56="Impacto",($T$13-(+$T$13*AD56)),IF(AA56="Probabilidad",AL55,""))),"")</f>
        <v/>
      </c>
      <c r="AM56" s="181" t="str">
        <f t="shared" ref="AM56:AM57" si="75">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82"/>
      <c r="AO56" s="175"/>
      <c r="AP56" s="183"/>
      <c r="AQ56" s="183"/>
      <c r="AR56" s="184"/>
      <c r="AS56" s="519"/>
      <c r="AT56" s="519"/>
      <c r="AU56" s="519"/>
    </row>
    <row r="57" spans="1:47" x14ac:dyDescent="0.2">
      <c r="A57" s="523"/>
      <c r="B57" s="515"/>
      <c r="C57" s="515"/>
      <c r="D57" s="515"/>
      <c r="E57" s="515"/>
      <c r="F57" s="520"/>
      <c r="G57" s="515"/>
      <c r="H57" s="517"/>
      <c r="I57" s="517"/>
      <c r="J57" s="517"/>
      <c r="K57" s="517"/>
      <c r="L57" s="517"/>
      <c r="M57" s="517"/>
      <c r="N57" s="519"/>
      <c r="O57" s="514"/>
      <c r="P57" s="512"/>
      <c r="Q57" s="513"/>
      <c r="R57" s="512">
        <f>IF(NOT(ISERROR(MATCH(Q57,_xlfn.ANCHORARRAY(F68),0))),P70&amp;"Por favor no seleccionar los criterios de impacto",Q57)</f>
        <v>0</v>
      </c>
      <c r="S57" s="514"/>
      <c r="T57" s="512"/>
      <c r="U57" s="511"/>
      <c r="V57" s="199">
        <v>3</v>
      </c>
      <c r="W57" s="199"/>
      <c r="X57" s="199"/>
      <c r="Y57" s="199"/>
      <c r="Z57" s="224" t="str">
        <f t="shared" si="6"/>
        <v xml:space="preserve">  </v>
      </c>
      <c r="AA57" s="176" t="str">
        <f>IF(OR(AB57="Preventivo",AB57="Detectivo"),"Probabilidad",IF(AB57="Correctivo","Impacto",""))</f>
        <v/>
      </c>
      <c r="AB57" s="177"/>
      <c r="AC57" s="177"/>
      <c r="AD57" s="178" t="str">
        <f t="shared" si="72"/>
        <v/>
      </c>
      <c r="AE57" s="177"/>
      <c r="AF57" s="177"/>
      <c r="AG57" s="177"/>
      <c r="AH57" s="179" t="str">
        <f>IFERROR(IF(AND(AA56="Probabilidad",AA57="Probabilidad"),(AJ56-(+AJ56*AD57)),IF(AND(AA56="Impacto",AA57="Probabilidad"),(AJ55-(+AJ55*AD57)),IF(AA57="Impacto",AJ56,""))),"")</f>
        <v/>
      </c>
      <c r="AI57" s="180" t="str">
        <f t="shared" si="2"/>
        <v/>
      </c>
      <c r="AJ57" s="178" t="str">
        <f t="shared" si="73"/>
        <v/>
      </c>
      <c r="AK57" s="180" t="str">
        <f t="shared" si="4"/>
        <v/>
      </c>
      <c r="AL57" s="178" t="str">
        <f t="shared" ref="AL57" si="76">IFERROR(IF(AND(AA56="Impacto",AA57="Impacto"),(AL56-(+AL56*AD57)),IF(AND(AA56="Probabilidad",AA57="Impacto"),(AL55-(+AL55*AD57)),IF(AA57="Probabilidad",AL56,""))),"")</f>
        <v/>
      </c>
      <c r="AM57" s="181" t="str">
        <f t="shared" si="75"/>
        <v/>
      </c>
      <c r="AN57" s="182"/>
      <c r="AO57" s="175"/>
      <c r="AP57" s="183"/>
      <c r="AQ57" s="183"/>
      <c r="AR57" s="184"/>
      <c r="AS57" s="519"/>
      <c r="AT57" s="519"/>
      <c r="AU57" s="519"/>
    </row>
    <row r="58" spans="1:47" x14ac:dyDescent="0.2">
      <c r="A58" s="523"/>
      <c r="B58" s="515"/>
      <c r="C58" s="515"/>
      <c r="D58" s="515"/>
      <c r="E58" s="515"/>
      <c r="F58" s="520"/>
      <c r="G58" s="515"/>
      <c r="H58" s="517"/>
      <c r="I58" s="517"/>
      <c r="J58" s="517"/>
      <c r="K58" s="517"/>
      <c r="L58" s="517"/>
      <c r="M58" s="517"/>
      <c r="N58" s="519"/>
      <c r="O58" s="514"/>
      <c r="P58" s="512"/>
      <c r="Q58" s="513"/>
      <c r="R58" s="512">
        <f>IF(NOT(ISERROR(MATCH(Q58,_xlfn.ANCHORARRAY(F69),0))),P71&amp;"Por favor no seleccionar los criterios de impacto",Q58)</f>
        <v>0</v>
      </c>
      <c r="S58" s="514"/>
      <c r="T58" s="512"/>
      <c r="U58" s="511"/>
      <c r="V58" s="199">
        <v>4</v>
      </c>
      <c r="W58" s="199"/>
      <c r="X58" s="199"/>
      <c r="Y58" s="199"/>
      <c r="Z58" s="224" t="str">
        <f t="shared" si="6"/>
        <v xml:space="preserve">  </v>
      </c>
      <c r="AA58" s="176" t="str">
        <f t="shared" ref="AA58:AA60" si="77">IF(OR(AB58="Preventivo",AB58="Detectivo"),"Probabilidad",IF(AB58="Correctivo","Impacto",""))</f>
        <v/>
      </c>
      <c r="AB58" s="177"/>
      <c r="AC58" s="177"/>
      <c r="AD58" s="178" t="str">
        <f t="shared" si="72"/>
        <v/>
      </c>
      <c r="AE58" s="177"/>
      <c r="AF58" s="177"/>
      <c r="AG58" s="177"/>
      <c r="AH58" s="179" t="str">
        <f t="shared" ref="AH58:AH60" si="78">IFERROR(IF(AND(AA57="Probabilidad",AA58="Probabilidad"),(AJ57-(+AJ57*AD58)),IF(AND(AA57="Impacto",AA58="Probabilidad"),(AJ56-(+AJ56*AD58)),IF(AA58="Impacto",AJ57,""))),"")</f>
        <v/>
      </c>
      <c r="AI58" s="180" t="str">
        <f t="shared" si="2"/>
        <v/>
      </c>
      <c r="AJ58" s="178" t="str">
        <f t="shared" si="73"/>
        <v/>
      </c>
      <c r="AK58" s="180" t="str">
        <f t="shared" si="4"/>
        <v/>
      </c>
      <c r="AL58" s="178" t="str">
        <f t="shared" si="16"/>
        <v/>
      </c>
      <c r="AM58" s="181"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82"/>
      <c r="AO58" s="175"/>
      <c r="AP58" s="183"/>
      <c r="AQ58" s="183"/>
      <c r="AR58" s="184"/>
      <c r="AS58" s="519"/>
      <c r="AT58" s="519"/>
      <c r="AU58" s="519"/>
    </row>
    <row r="59" spans="1:47" x14ac:dyDescent="0.2">
      <c r="A59" s="523"/>
      <c r="B59" s="515"/>
      <c r="C59" s="515"/>
      <c r="D59" s="515"/>
      <c r="E59" s="515"/>
      <c r="F59" s="520"/>
      <c r="G59" s="515"/>
      <c r="H59" s="517"/>
      <c r="I59" s="517"/>
      <c r="J59" s="517"/>
      <c r="K59" s="517"/>
      <c r="L59" s="517"/>
      <c r="M59" s="517"/>
      <c r="N59" s="519"/>
      <c r="O59" s="514"/>
      <c r="P59" s="512"/>
      <c r="Q59" s="513"/>
      <c r="R59" s="512">
        <f>IF(NOT(ISERROR(MATCH(Q59,_xlfn.ANCHORARRAY(F70),0))),P72&amp;"Por favor no seleccionar los criterios de impacto",Q59)</f>
        <v>0</v>
      </c>
      <c r="S59" s="514"/>
      <c r="T59" s="512"/>
      <c r="U59" s="511"/>
      <c r="V59" s="199">
        <v>5</v>
      </c>
      <c r="W59" s="199"/>
      <c r="X59" s="199"/>
      <c r="Y59" s="199"/>
      <c r="Z59" s="224" t="str">
        <f t="shared" si="6"/>
        <v xml:space="preserve">  </v>
      </c>
      <c r="AA59" s="176" t="str">
        <f t="shared" si="77"/>
        <v/>
      </c>
      <c r="AB59" s="177"/>
      <c r="AC59" s="177"/>
      <c r="AD59" s="178" t="str">
        <f t="shared" si="72"/>
        <v/>
      </c>
      <c r="AE59" s="177"/>
      <c r="AF59" s="177"/>
      <c r="AG59" s="177"/>
      <c r="AH59" s="179" t="str">
        <f t="shared" si="78"/>
        <v/>
      </c>
      <c r="AI59" s="180" t="str">
        <f t="shared" si="2"/>
        <v/>
      </c>
      <c r="AJ59" s="178" t="str">
        <f t="shared" si="73"/>
        <v/>
      </c>
      <c r="AK59" s="180" t="str">
        <f t="shared" si="4"/>
        <v/>
      </c>
      <c r="AL59" s="178" t="str">
        <f t="shared" si="16"/>
        <v/>
      </c>
      <c r="AM59" s="181" t="str">
        <f t="shared" ref="AM59:AM60" si="79">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82"/>
      <c r="AO59" s="175"/>
      <c r="AP59" s="183"/>
      <c r="AQ59" s="183"/>
      <c r="AR59" s="184"/>
      <c r="AS59" s="519"/>
      <c r="AT59" s="519"/>
      <c r="AU59" s="519"/>
    </row>
    <row r="60" spans="1:47" x14ac:dyDescent="0.2">
      <c r="A60" s="523"/>
      <c r="B60" s="515"/>
      <c r="C60" s="515"/>
      <c r="D60" s="515"/>
      <c r="E60" s="515"/>
      <c r="F60" s="520"/>
      <c r="G60" s="515"/>
      <c r="H60" s="518"/>
      <c r="I60" s="518"/>
      <c r="J60" s="518"/>
      <c r="K60" s="518"/>
      <c r="L60" s="518"/>
      <c r="M60" s="518"/>
      <c r="N60" s="519"/>
      <c r="O60" s="514"/>
      <c r="P60" s="512"/>
      <c r="Q60" s="513"/>
      <c r="R60" s="512">
        <f>IF(NOT(ISERROR(MATCH(Q60,_xlfn.ANCHORARRAY(F71),0))),Q73&amp;"Por favor no seleccionar los criterios de impacto",Q60)</f>
        <v>0</v>
      </c>
      <c r="S60" s="514"/>
      <c r="T60" s="512"/>
      <c r="U60" s="511"/>
      <c r="V60" s="199">
        <v>6</v>
      </c>
      <c r="W60" s="199"/>
      <c r="X60" s="199"/>
      <c r="Y60" s="199"/>
      <c r="Z60" s="224" t="str">
        <f t="shared" si="6"/>
        <v xml:space="preserve">  </v>
      </c>
      <c r="AA60" s="176" t="str">
        <f t="shared" si="77"/>
        <v/>
      </c>
      <c r="AB60" s="177"/>
      <c r="AC60" s="177"/>
      <c r="AD60" s="178" t="str">
        <f t="shared" si="72"/>
        <v/>
      </c>
      <c r="AE60" s="177"/>
      <c r="AF60" s="177"/>
      <c r="AG60" s="177"/>
      <c r="AH60" s="179" t="str">
        <f t="shared" si="78"/>
        <v/>
      </c>
      <c r="AI60" s="180" t="str">
        <f t="shared" si="2"/>
        <v/>
      </c>
      <c r="AJ60" s="178" t="str">
        <f t="shared" si="73"/>
        <v/>
      </c>
      <c r="AK60" s="180" t="str">
        <f t="shared" si="4"/>
        <v/>
      </c>
      <c r="AL60" s="178" t="str">
        <f t="shared" si="16"/>
        <v/>
      </c>
      <c r="AM60" s="181" t="str">
        <f t="shared" si="79"/>
        <v/>
      </c>
      <c r="AN60" s="182"/>
      <c r="AO60" s="175"/>
      <c r="AP60" s="183"/>
      <c r="AQ60" s="183"/>
      <c r="AR60" s="184"/>
      <c r="AS60" s="519"/>
      <c r="AT60" s="519"/>
      <c r="AU60" s="519"/>
    </row>
    <row r="61" spans="1:47" x14ac:dyDescent="0.2">
      <c r="A61" s="523">
        <v>9</v>
      </c>
      <c r="B61" s="515"/>
      <c r="C61" s="515"/>
      <c r="D61" s="515"/>
      <c r="E61" s="515"/>
      <c r="F61" s="520" t="str">
        <f t="shared" ref="F61" si="80">+CONCATENATE(B61," ",C61," ",D61)</f>
        <v xml:space="preserve">  </v>
      </c>
      <c r="G61" s="515"/>
      <c r="H61" s="516"/>
      <c r="I61" s="206"/>
      <c r="J61" s="206"/>
      <c r="K61" s="206"/>
      <c r="L61" s="516"/>
      <c r="M61" s="516"/>
      <c r="N61" s="519"/>
      <c r="O61" s="514" t="str">
        <f>IF(N61&lt;=0,"",IF(N61&lt;=2,"Muy Baja",IF(N61&lt;=24,"Baja",IF(N61&lt;=500,"Media",IF(N61&lt;=5000,"Alta","Muy Alta")))))</f>
        <v/>
      </c>
      <c r="P61" s="512" t="str">
        <f>IF(O61="","",IF(O61="Muy Baja",0.2,IF(O61="Baja",0.4,IF(O61="Media",0.6,IF(O61="Alta",0.8,IF(O61="Muy Alta",1,))))))</f>
        <v/>
      </c>
      <c r="Q61" s="513"/>
      <c r="R61" s="512">
        <f>IF(NOT(ISERROR(MATCH(Q61,'Tabla Impacto'!$B$245:$B$247,0))),'Tabla Impacto'!$F$224&amp;"Por favor no seleccionar los criterios de impacto(Afectación Económica o presupuestal y Pérdida Reputacional)",Q61)</f>
        <v>0</v>
      </c>
      <c r="S61" s="514" t="str">
        <f>IF(OR(R61='Tabla Impacto'!$C$12,R61='Tabla Impacto'!$D$12),"Leve",IF(OR(R61='Tabla Impacto'!$C$13,R61='Tabla Impacto'!$D$13),"Menor",IF(OR(R61='Tabla Impacto'!$C$14,R61='Tabla Impacto'!$D$14),"Moderado",IF(OR(R61='Tabla Impacto'!$C$15,R61='Tabla Impacto'!$D$15),"Mayor",IF(OR(R61='Tabla Impacto'!$C$16,R61='Tabla Impacto'!$D$16),"Catastrófico","")))))</f>
        <v/>
      </c>
      <c r="T61" s="512" t="str">
        <f>IF(S61="","",IF(S61="Leve",0.2,IF(S61="Menor",0.4,IF(S61="Moderado",0.6,IF(S61="Mayor",0.8,IF(S61="Catastrófico",1,))))))</f>
        <v/>
      </c>
      <c r="U61" s="511"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9">
        <v>1</v>
      </c>
      <c r="W61" s="199"/>
      <c r="X61" s="199"/>
      <c r="Y61" s="199"/>
      <c r="Z61" s="224" t="str">
        <f t="shared" si="6"/>
        <v xml:space="preserve">  </v>
      </c>
      <c r="AA61" s="176" t="str">
        <f>IF(OR(AB61="Preventivo",AB61="Detectivo"),"Probabilidad",IF(AB61="Correctivo","Impacto",""))</f>
        <v/>
      </c>
      <c r="AB61" s="177"/>
      <c r="AC61" s="177"/>
      <c r="AD61" s="178" t="str">
        <f>IF(AND(AB61="Preventivo",AC61="Automático"),"50%",IF(AND(AB61="Preventivo",AC61="Manual"),"40%",IF(AND(AB61="Detectivo",AC61="Automático"),"40%",IF(AND(AB61="Detectivo",AC61="Manual"),"30%",IF(AND(AB61="Correctivo",AC61="Automático"),"35%",IF(AND(AB61="Correctivo",AC61="Manual"),"25%",""))))))</f>
        <v/>
      </c>
      <c r="AE61" s="177"/>
      <c r="AF61" s="177"/>
      <c r="AG61" s="177"/>
      <c r="AH61" s="179" t="str">
        <f>IFERROR(IF(AA61="Probabilidad",(P61-(+P61*AD61)),IF(AA61="Impacto",P61,"")),"")</f>
        <v/>
      </c>
      <c r="AI61" s="180" t="str">
        <f>IFERROR(IF(AH61="","",IF(AH61&lt;=0.2,"Muy Baja",IF(AH61&lt;=0.4,"Baja",IF(AH61&lt;=0.6,"Media",IF(AH61&lt;=0.8,"Alta","Muy Alta"))))),"")</f>
        <v/>
      </c>
      <c r="AJ61" s="178" t="str">
        <f>+AH61</f>
        <v/>
      </c>
      <c r="AK61" s="180" t="str">
        <f>IFERROR(IF(AL61="","",IF(AL61&lt;=0.2,"Leve",IF(AL61&lt;=0.4,"Menor",IF(AL61&lt;=0.6,"Moderado",IF(AL61&lt;=0.8,"Mayor","Catastrófico"))))),"")</f>
        <v/>
      </c>
      <c r="AL61" s="178" t="str">
        <f t="shared" ref="AL61" si="81">IFERROR(IF(AA61="Impacto",(T61-(+T61*AD61)),IF(AA61="Probabilidad",T61,"")),"")</f>
        <v/>
      </c>
      <c r="AM61" s="181"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82"/>
      <c r="AO61" s="175"/>
      <c r="AP61" s="183"/>
      <c r="AQ61" s="183"/>
      <c r="AR61" s="184"/>
      <c r="AS61" s="519"/>
      <c r="AT61" s="519"/>
      <c r="AU61" s="519"/>
    </row>
    <row r="62" spans="1:47" x14ac:dyDescent="0.2">
      <c r="A62" s="523"/>
      <c r="B62" s="515"/>
      <c r="C62" s="515"/>
      <c r="D62" s="515"/>
      <c r="E62" s="515"/>
      <c r="F62" s="520"/>
      <c r="G62" s="515"/>
      <c r="H62" s="517"/>
      <c r="I62" s="207"/>
      <c r="J62" s="207"/>
      <c r="K62" s="207"/>
      <c r="L62" s="517"/>
      <c r="M62" s="517"/>
      <c r="N62" s="519"/>
      <c r="O62" s="514"/>
      <c r="P62" s="512"/>
      <c r="Q62" s="513"/>
      <c r="R62" s="512">
        <f>IF(NOT(ISERROR(MATCH(Q62,_xlfn.ANCHORARRAY(G73),0))),Q75&amp;"Por favor no seleccionar los criterios de impacto",Q62)</f>
        <v>0</v>
      </c>
      <c r="S62" s="514"/>
      <c r="T62" s="512"/>
      <c r="U62" s="511"/>
      <c r="V62" s="199">
        <v>2</v>
      </c>
      <c r="W62" s="199"/>
      <c r="X62" s="199"/>
      <c r="Y62" s="199"/>
      <c r="Z62" s="224" t="str">
        <f t="shared" si="6"/>
        <v xml:space="preserve">  </v>
      </c>
      <c r="AA62" s="176" t="str">
        <f>IF(OR(AB62="Preventivo",AB62="Detectivo"),"Probabilidad",IF(AB62="Correctivo","Impacto",""))</f>
        <v/>
      </c>
      <c r="AB62" s="177"/>
      <c r="AC62" s="177"/>
      <c r="AD62" s="178" t="str">
        <f t="shared" ref="AD62:AD66" si="82">IF(AND(AB62="Preventivo",AC62="Automático"),"50%",IF(AND(AB62="Preventivo",AC62="Manual"),"40%",IF(AND(AB62="Detectivo",AC62="Automático"),"40%",IF(AND(AB62="Detectivo",AC62="Manual"),"30%",IF(AND(AB62="Correctivo",AC62="Automático"),"35%",IF(AND(AB62="Correctivo",AC62="Manual"),"25%",""))))))</f>
        <v/>
      </c>
      <c r="AE62" s="177"/>
      <c r="AF62" s="177"/>
      <c r="AG62" s="177"/>
      <c r="AH62" s="179" t="str">
        <f>IFERROR(IF(AND(AA61="Probabilidad",AA62="Probabilidad"),(AJ61-(+AJ61*AD62)),IF(AA62="Probabilidad",(P61-(+P61*AD62)),IF(AA62="Impacto",AJ61,""))),"")</f>
        <v/>
      </c>
      <c r="AI62" s="180" t="str">
        <f t="shared" si="2"/>
        <v/>
      </c>
      <c r="AJ62" s="178" t="str">
        <f t="shared" ref="AJ62:AJ66" si="83">+AH62</f>
        <v/>
      </c>
      <c r="AK62" s="180" t="str">
        <f t="shared" si="4"/>
        <v/>
      </c>
      <c r="AL62" s="178" t="str">
        <f t="shared" ref="AL62" si="84">IFERROR(IF(AND(AA61="Impacto",AA62="Impacto"),(AL61-(+AL61*AD62)),IF(AA62="Impacto",($T$13-(+$T$13*AD62)),IF(AA62="Probabilidad",AL61,""))),"")</f>
        <v/>
      </c>
      <c r="AM62" s="181" t="str">
        <f t="shared" ref="AM62:AM63" si="85">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82"/>
      <c r="AO62" s="175"/>
      <c r="AP62" s="183"/>
      <c r="AQ62" s="183"/>
      <c r="AR62" s="184"/>
      <c r="AS62" s="519"/>
      <c r="AT62" s="519"/>
      <c r="AU62" s="519"/>
    </row>
    <row r="63" spans="1:47" x14ac:dyDescent="0.2">
      <c r="A63" s="523"/>
      <c r="B63" s="515"/>
      <c r="C63" s="515"/>
      <c r="D63" s="515"/>
      <c r="E63" s="515"/>
      <c r="F63" s="520"/>
      <c r="G63" s="515"/>
      <c r="H63" s="517"/>
      <c r="I63" s="207"/>
      <c r="J63" s="207"/>
      <c r="K63" s="207"/>
      <c r="L63" s="517"/>
      <c r="M63" s="517"/>
      <c r="N63" s="519"/>
      <c r="O63" s="514"/>
      <c r="P63" s="512"/>
      <c r="Q63" s="513"/>
      <c r="R63" s="512">
        <f>IF(NOT(ISERROR(MATCH(Q63,_xlfn.ANCHORARRAY(G74),0))),Q76&amp;"Por favor no seleccionar los criterios de impacto",Q63)</f>
        <v>0</v>
      </c>
      <c r="S63" s="514"/>
      <c r="T63" s="512"/>
      <c r="U63" s="511"/>
      <c r="V63" s="199">
        <v>3</v>
      </c>
      <c r="W63" s="199"/>
      <c r="X63" s="199"/>
      <c r="Y63" s="199"/>
      <c r="Z63" s="224" t="str">
        <f t="shared" si="6"/>
        <v xml:space="preserve">  </v>
      </c>
      <c r="AA63" s="176" t="str">
        <f>IF(OR(AB63="Preventivo",AB63="Detectivo"),"Probabilidad",IF(AB63="Correctivo","Impacto",""))</f>
        <v/>
      </c>
      <c r="AB63" s="177"/>
      <c r="AC63" s="177"/>
      <c r="AD63" s="178" t="str">
        <f t="shared" si="82"/>
        <v/>
      </c>
      <c r="AE63" s="177"/>
      <c r="AF63" s="177"/>
      <c r="AG63" s="177"/>
      <c r="AH63" s="179" t="str">
        <f>IFERROR(IF(AND(AA62="Probabilidad",AA63="Probabilidad"),(AJ62-(+AJ62*AD63)),IF(AND(AA62="Impacto",AA63="Probabilidad"),(AJ61-(+AJ61*AD63)),IF(AA63="Impacto",AJ62,""))),"")</f>
        <v/>
      </c>
      <c r="AI63" s="180" t="str">
        <f t="shared" si="2"/>
        <v/>
      </c>
      <c r="AJ63" s="178" t="str">
        <f t="shared" si="83"/>
        <v/>
      </c>
      <c r="AK63" s="180" t="str">
        <f t="shared" si="4"/>
        <v/>
      </c>
      <c r="AL63" s="178" t="str">
        <f t="shared" ref="AL63" si="86">IFERROR(IF(AND(AA62="Impacto",AA63="Impacto"),(AL62-(+AL62*AD63)),IF(AND(AA62="Probabilidad",AA63="Impacto"),(AL61-(+AL61*AD63)),IF(AA63="Probabilidad",AL62,""))),"")</f>
        <v/>
      </c>
      <c r="AM63" s="181" t="str">
        <f t="shared" si="85"/>
        <v/>
      </c>
      <c r="AN63" s="182"/>
      <c r="AO63" s="175"/>
      <c r="AP63" s="183"/>
      <c r="AQ63" s="183"/>
      <c r="AR63" s="184"/>
      <c r="AS63" s="519"/>
      <c r="AT63" s="519"/>
      <c r="AU63" s="519"/>
    </row>
    <row r="64" spans="1:47" x14ac:dyDescent="0.2">
      <c r="A64" s="523"/>
      <c r="B64" s="515"/>
      <c r="C64" s="515"/>
      <c r="D64" s="515"/>
      <c r="E64" s="515"/>
      <c r="F64" s="520"/>
      <c r="G64" s="515"/>
      <c r="H64" s="517"/>
      <c r="I64" s="207"/>
      <c r="J64" s="207"/>
      <c r="K64" s="207"/>
      <c r="L64" s="517"/>
      <c r="M64" s="517"/>
      <c r="N64" s="519"/>
      <c r="O64" s="514"/>
      <c r="P64" s="512"/>
      <c r="Q64" s="513"/>
      <c r="R64" s="512">
        <f>IF(NOT(ISERROR(MATCH(Q64,_xlfn.ANCHORARRAY(G75),0))),Q77&amp;"Por favor no seleccionar los criterios de impacto",Q64)</f>
        <v>0</v>
      </c>
      <c r="S64" s="514"/>
      <c r="T64" s="512"/>
      <c r="U64" s="511"/>
      <c r="V64" s="199">
        <v>4</v>
      </c>
      <c r="W64" s="199"/>
      <c r="X64" s="199"/>
      <c r="Y64" s="199"/>
      <c r="Z64" s="224" t="str">
        <f t="shared" si="6"/>
        <v xml:space="preserve">  </v>
      </c>
      <c r="AA64" s="176" t="str">
        <f t="shared" ref="AA64:AA66" si="87">IF(OR(AB64="Preventivo",AB64="Detectivo"),"Probabilidad",IF(AB64="Correctivo","Impacto",""))</f>
        <v/>
      </c>
      <c r="AB64" s="177"/>
      <c r="AC64" s="177"/>
      <c r="AD64" s="178" t="str">
        <f t="shared" si="82"/>
        <v/>
      </c>
      <c r="AE64" s="177"/>
      <c r="AF64" s="177"/>
      <c r="AG64" s="177"/>
      <c r="AH64" s="179" t="str">
        <f t="shared" ref="AH64:AH66" si="88">IFERROR(IF(AND(AA63="Probabilidad",AA64="Probabilidad"),(AJ63-(+AJ63*AD64)),IF(AND(AA63="Impacto",AA64="Probabilidad"),(AJ62-(+AJ62*AD64)),IF(AA64="Impacto",AJ63,""))),"")</f>
        <v/>
      </c>
      <c r="AI64" s="180" t="str">
        <f t="shared" si="2"/>
        <v/>
      </c>
      <c r="AJ64" s="178" t="str">
        <f t="shared" si="83"/>
        <v/>
      </c>
      <c r="AK64" s="180" t="str">
        <f t="shared" si="4"/>
        <v/>
      </c>
      <c r="AL64" s="178" t="str">
        <f t="shared" si="16"/>
        <v/>
      </c>
      <c r="AM64" s="181"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82"/>
      <c r="AO64" s="175"/>
      <c r="AP64" s="183"/>
      <c r="AQ64" s="183"/>
      <c r="AR64" s="184"/>
      <c r="AS64" s="519"/>
      <c r="AT64" s="519"/>
      <c r="AU64" s="519"/>
    </row>
    <row r="65" spans="1:47" x14ac:dyDescent="0.2">
      <c r="A65" s="523"/>
      <c r="B65" s="515"/>
      <c r="C65" s="515"/>
      <c r="D65" s="515"/>
      <c r="E65" s="515"/>
      <c r="F65" s="520"/>
      <c r="G65" s="515"/>
      <c r="H65" s="517"/>
      <c r="I65" s="207"/>
      <c r="J65" s="207"/>
      <c r="K65" s="207"/>
      <c r="L65" s="517"/>
      <c r="M65" s="517"/>
      <c r="N65" s="519"/>
      <c r="O65" s="514"/>
      <c r="P65" s="512"/>
      <c r="Q65" s="513"/>
      <c r="R65" s="512">
        <f>IF(NOT(ISERROR(MATCH(Q65,_xlfn.ANCHORARRAY(G76),0))),Q78&amp;"Por favor no seleccionar los criterios de impacto",Q65)</f>
        <v>0</v>
      </c>
      <c r="S65" s="514"/>
      <c r="T65" s="512"/>
      <c r="U65" s="511"/>
      <c r="V65" s="199">
        <v>5</v>
      </c>
      <c r="W65" s="199"/>
      <c r="X65" s="199"/>
      <c r="Y65" s="199"/>
      <c r="Z65" s="224" t="str">
        <f t="shared" si="6"/>
        <v xml:space="preserve">  </v>
      </c>
      <c r="AA65" s="176" t="str">
        <f t="shared" si="87"/>
        <v/>
      </c>
      <c r="AB65" s="177"/>
      <c r="AC65" s="177"/>
      <c r="AD65" s="178" t="str">
        <f t="shared" si="82"/>
        <v/>
      </c>
      <c r="AE65" s="177"/>
      <c r="AF65" s="177"/>
      <c r="AG65" s="177"/>
      <c r="AH65" s="179" t="str">
        <f t="shared" si="88"/>
        <v/>
      </c>
      <c r="AI65" s="180" t="str">
        <f t="shared" si="2"/>
        <v/>
      </c>
      <c r="AJ65" s="178" t="str">
        <f t="shared" si="83"/>
        <v/>
      </c>
      <c r="AK65" s="180" t="str">
        <f t="shared" si="4"/>
        <v/>
      </c>
      <c r="AL65" s="178" t="str">
        <f t="shared" si="16"/>
        <v/>
      </c>
      <c r="AM65" s="181" t="str">
        <f t="shared" ref="AM65:AM66" si="89">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82"/>
      <c r="AO65" s="175"/>
      <c r="AP65" s="183"/>
      <c r="AQ65" s="183"/>
      <c r="AR65" s="184"/>
      <c r="AS65" s="519"/>
      <c r="AT65" s="519"/>
      <c r="AU65" s="519"/>
    </row>
    <row r="66" spans="1:47" x14ac:dyDescent="0.2">
      <c r="A66" s="523"/>
      <c r="B66" s="515"/>
      <c r="C66" s="515"/>
      <c r="D66" s="515"/>
      <c r="E66" s="515"/>
      <c r="F66" s="520"/>
      <c r="G66" s="515"/>
      <c r="H66" s="518"/>
      <c r="I66" s="208"/>
      <c r="J66" s="208"/>
      <c r="K66" s="208"/>
      <c r="L66" s="518"/>
      <c r="M66" s="518"/>
      <c r="N66" s="519"/>
      <c r="O66" s="514"/>
      <c r="P66" s="512"/>
      <c r="Q66" s="513"/>
      <c r="R66" s="512">
        <f>IF(NOT(ISERROR(MATCH(Q66,_xlfn.ANCHORARRAY(G77),0))),Q79&amp;"Por favor no seleccionar los criterios de impacto",Q66)</f>
        <v>0</v>
      </c>
      <c r="S66" s="514"/>
      <c r="T66" s="512"/>
      <c r="U66" s="511"/>
      <c r="V66" s="199">
        <v>6</v>
      </c>
      <c r="W66" s="199"/>
      <c r="X66" s="199"/>
      <c r="Y66" s="199"/>
      <c r="Z66" s="224" t="str">
        <f t="shared" si="6"/>
        <v xml:space="preserve">  </v>
      </c>
      <c r="AA66" s="176" t="str">
        <f t="shared" si="87"/>
        <v/>
      </c>
      <c r="AB66" s="177"/>
      <c r="AC66" s="177"/>
      <c r="AD66" s="178" t="str">
        <f t="shared" si="82"/>
        <v/>
      </c>
      <c r="AE66" s="177"/>
      <c r="AF66" s="177"/>
      <c r="AG66" s="177"/>
      <c r="AH66" s="179" t="str">
        <f t="shared" si="88"/>
        <v/>
      </c>
      <c r="AI66" s="180" t="str">
        <f t="shared" si="2"/>
        <v/>
      </c>
      <c r="AJ66" s="178" t="str">
        <f t="shared" si="83"/>
        <v/>
      </c>
      <c r="AK66" s="180" t="str">
        <f t="shared" si="4"/>
        <v/>
      </c>
      <c r="AL66" s="178" t="str">
        <f t="shared" si="16"/>
        <v/>
      </c>
      <c r="AM66" s="181" t="str">
        <f t="shared" si="89"/>
        <v/>
      </c>
      <c r="AN66" s="182"/>
      <c r="AO66" s="175"/>
      <c r="AP66" s="183"/>
      <c r="AQ66" s="183"/>
      <c r="AR66" s="184"/>
      <c r="AS66" s="519"/>
      <c r="AT66" s="519"/>
      <c r="AU66" s="519"/>
    </row>
    <row r="67" spans="1:47" x14ac:dyDescent="0.2">
      <c r="A67" s="523">
        <v>10</v>
      </c>
      <c r="B67" s="515"/>
      <c r="C67" s="515"/>
      <c r="D67" s="515"/>
      <c r="E67" s="515"/>
      <c r="F67" s="520" t="str">
        <f t="shared" ref="F67" si="90">+CONCATENATE(B67," ",C67," ",D67)</f>
        <v xml:space="preserve">  </v>
      </c>
      <c r="G67" s="515"/>
      <c r="H67" s="516"/>
      <c r="I67" s="206"/>
      <c r="J67" s="206"/>
      <c r="K67" s="206"/>
      <c r="L67" s="516"/>
      <c r="M67" s="516"/>
      <c r="N67" s="519"/>
      <c r="O67" s="514" t="str">
        <f>IF(N67&lt;=0,"",IF(N67&lt;=2,"Muy Baja",IF(N67&lt;=24,"Baja",IF(N67&lt;=500,"Media",IF(N67&lt;=5000,"Alta","Muy Alta")))))</f>
        <v/>
      </c>
      <c r="P67" s="512" t="str">
        <f>IF(O67="","",IF(O67="Muy Baja",0.2,IF(O67="Baja",0.4,IF(O67="Media",0.6,IF(O67="Alta",0.8,IF(O67="Muy Alta",1,))))))</f>
        <v/>
      </c>
      <c r="Q67" s="513"/>
      <c r="R67" s="512">
        <f>IF(NOT(ISERROR(MATCH(Q67,'Tabla Impacto'!$B$245:$B$247,0))),'Tabla Impacto'!$F$224&amp;"Por favor no seleccionar los criterios de impacto(Afectación Económica o presupuestal y Pérdida Reputacional)",Q67)</f>
        <v>0</v>
      </c>
      <c r="S67" s="514" t="str">
        <f>IF(OR(R67='Tabla Impacto'!$C$12,R67='Tabla Impacto'!$D$12),"Leve",IF(OR(R67='Tabla Impacto'!$C$13,R67='Tabla Impacto'!$D$13),"Menor",IF(OR(R67='Tabla Impacto'!$C$14,R67='Tabla Impacto'!$D$14),"Moderado",IF(OR(R67='Tabla Impacto'!$C$15,R67='Tabla Impacto'!$D$15),"Mayor",IF(OR(R67='Tabla Impacto'!$C$16,R67='Tabla Impacto'!$D$16),"Catastrófico","")))))</f>
        <v/>
      </c>
      <c r="T67" s="512" t="str">
        <f>IF(S67="","",IF(S67="Leve",0.2,IF(S67="Menor",0.4,IF(S67="Moderado",0.6,IF(S67="Mayor",0.8,IF(S67="Catastrófico",1,))))))</f>
        <v/>
      </c>
      <c r="U67" s="511"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9">
        <v>1</v>
      </c>
      <c r="W67" s="199"/>
      <c r="X67" s="199"/>
      <c r="Y67" s="199"/>
      <c r="Z67" s="224" t="str">
        <f t="shared" si="6"/>
        <v xml:space="preserve">  </v>
      </c>
      <c r="AA67" s="176" t="str">
        <f>IF(OR(AB67="Preventivo",AB67="Detectivo"),"Probabilidad",IF(AB67="Correctivo","Impacto",""))</f>
        <v/>
      </c>
      <c r="AB67" s="177"/>
      <c r="AC67" s="177"/>
      <c r="AD67" s="178" t="str">
        <f>IF(AND(AB67="Preventivo",AC67="Automático"),"50%",IF(AND(AB67="Preventivo",AC67="Manual"),"40%",IF(AND(AB67="Detectivo",AC67="Automático"),"40%",IF(AND(AB67="Detectivo",AC67="Manual"),"30%",IF(AND(AB67="Correctivo",AC67="Automático"),"35%",IF(AND(AB67="Correctivo",AC67="Manual"),"25%",""))))))</f>
        <v/>
      </c>
      <c r="AE67" s="177"/>
      <c r="AF67" s="177"/>
      <c r="AG67" s="177"/>
      <c r="AH67" s="179" t="str">
        <f>IFERROR(IF(AA67="Probabilidad",(P67-(+P67*AD67)),IF(AA67="Impacto",P67,"")),"")</f>
        <v/>
      </c>
      <c r="AI67" s="180" t="str">
        <f>IFERROR(IF(AH67="","",IF(AH67&lt;=0.2,"Muy Baja",IF(AH67&lt;=0.4,"Baja",IF(AH67&lt;=0.6,"Media",IF(AH67&lt;=0.8,"Alta","Muy Alta"))))),"")</f>
        <v/>
      </c>
      <c r="AJ67" s="178" t="str">
        <f>+AH67</f>
        <v/>
      </c>
      <c r="AK67" s="180" t="str">
        <f>IFERROR(IF(AL67="","",IF(AL67&lt;=0.2,"Leve",IF(AL67&lt;=0.4,"Menor",IF(AL67&lt;=0.6,"Moderado",IF(AL67&lt;=0.8,"Mayor","Catastrófico"))))),"")</f>
        <v/>
      </c>
      <c r="AL67" s="178" t="str">
        <f t="shared" ref="AL67" si="91">IFERROR(IF(AA67="Impacto",(T67-(+T67*AD67)),IF(AA67="Probabilidad",T67,"")),"")</f>
        <v/>
      </c>
      <c r="AM67" s="181"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82"/>
      <c r="AO67" s="175"/>
      <c r="AP67" s="183"/>
      <c r="AQ67" s="183"/>
      <c r="AR67" s="184"/>
      <c r="AS67" s="519"/>
      <c r="AT67" s="519"/>
      <c r="AU67" s="519"/>
    </row>
    <row r="68" spans="1:47" x14ac:dyDescent="0.2">
      <c r="A68" s="523"/>
      <c r="B68" s="515"/>
      <c r="C68" s="515"/>
      <c r="D68" s="515"/>
      <c r="E68" s="515"/>
      <c r="F68" s="520"/>
      <c r="G68" s="515"/>
      <c r="H68" s="517"/>
      <c r="I68" s="207"/>
      <c r="J68" s="207"/>
      <c r="K68" s="207"/>
      <c r="L68" s="517"/>
      <c r="M68" s="517"/>
      <c r="N68" s="519"/>
      <c r="O68" s="514"/>
      <c r="P68" s="512"/>
      <c r="Q68" s="513"/>
      <c r="R68" s="512">
        <f>IF(NOT(ISERROR(MATCH(Q68,_xlfn.ANCHORARRAY(G79),0))),Q81&amp;"Por favor no seleccionar los criterios de impacto",Q68)</f>
        <v>0</v>
      </c>
      <c r="S68" s="514"/>
      <c r="T68" s="512"/>
      <c r="U68" s="511"/>
      <c r="V68" s="199">
        <v>2</v>
      </c>
      <c r="W68" s="199"/>
      <c r="X68" s="199"/>
      <c r="Y68" s="199"/>
      <c r="Z68" s="224" t="str">
        <f t="shared" si="6"/>
        <v xml:space="preserve">  </v>
      </c>
      <c r="AA68" s="176" t="str">
        <f>IF(OR(AB68="Preventivo",AB68="Detectivo"),"Probabilidad",IF(AB68="Correctivo","Impacto",""))</f>
        <v/>
      </c>
      <c r="AB68" s="177"/>
      <c r="AC68" s="177"/>
      <c r="AD68" s="178" t="str">
        <f t="shared" ref="AD68:AD72" si="92">IF(AND(AB68="Preventivo",AC68="Automático"),"50%",IF(AND(AB68="Preventivo",AC68="Manual"),"40%",IF(AND(AB68="Detectivo",AC68="Automático"),"40%",IF(AND(AB68="Detectivo",AC68="Manual"),"30%",IF(AND(AB68="Correctivo",AC68="Automático"),"35%",IF(AND(AB68="Correctivo",AC68="Manual"),"25%",""))))))</f>
        <v/>
      </c>
      <c r="AE68" s="177"/>
      <c r="AF68" s="177"/>
      <c r="AG68" s="177"/>
      <c r="AH68" s="179" t="str">
        <f>IFERROR(IF(AND(AA67="Probabilidad",AA68="Probabilidad"),(AJ67-(+AJ67*AD68)),IF(AA68="Probabilidad",(P67-(+P67*AD68)),IF(AA68="Impacto",AJ67,""))),"")</f>
        <v/>
      </c>
      <c r="AI68" s="180" t="str">
        <f t="shared" si="2"/>
        <v/>
      </c>
      <c r="AJ68" s="178" t="str">
        <f t="shared" ref="AJ68:AJ72" si="93">+AH68</f>
        <v/>
      </c>
      <c r="AK68" s="180" t="str">
        <f t="shared" si="4"/>
        <v/>
      </c>
      <c r="AL68" s="178" t="str">
        <f t="shared" ref="AL68" si="94">IFERROR(IF(AND(AA67="Impacto",AA68="Impacto"),(AL67-(+AL67*AD68)),IF(AA68="Impacto",($T$13-(+$T$13*AD68)),IF(AA68="Probabilidad",AL67,""))),"")</f>
        <v/>
      </c>
      <c r="AM68" s="181" t="str">
        <f t="shared" ref="AM68:AM69" si="95">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82"/>
      <c r="AO68" s="175"/>
      <c r="AP68" s="183"/>
      <c r="AQ68" s="183"/>
      <c r="AR68" s="184"/>
      <c r="AS68" s="519"/>
      <c r="AT68" s="519"/>
      <c r="AU68" s="519"/>
    </row>
    <row r="69" spans="1:47" x14ac:dyDescent="0.2">
      <c r="A69" s="523"/>
      <c r="B69" s="515"/>
      <c r="C69" s="515"/>
      <c r="D69" s="515"/>
      <c r="E69" s="515"/>
      <c r="F69" s="520"/>
      <c r="G69" s="515"/>
      <c r="H69" s="517"/>
      <c r="I69" s="207"/>
      <c r="J69" s="207"/>
      <c r="K69" s="207"/>
      <c r="L69" s="517"/>
      <c r="M69" s="517"/>
      <c r="N69" s="519"/>
      <c r="O69" s="514"/>
      <c r="P69" s="512"/>
      <c r="Q69" s="513"/>
      <c r="R69" s="512">
        <f>IF(NOT(ISERROR(MATCH(Q69,_xlfn.ANCHORARRAY(G80),0))),Q82&amp;"Por favor no seleccionar los criterios de impacto",Q69)</f>
        <v>0</v>
      </c>
      <c r="S69" s="514"/>
      <c r="T69" s="512"/>
      <c r="U69" s="511"/>
      <c r="V69" s="199">
        <v>3</v>
      </c>
      <c r="W69" s="199"/>
      <c r="X69" s="199"/>
      <c r="Y69" s="199"/>
      <c r="Z69" s="224" t="str">
        <f t="shared" si="6"/>
        <v xml:space="preserve">  </v>
      </c>
      <c r="AA69" s="176" t="str">
        <f>IF(OR(AB69="Preventivo",AB69="Detectivo"),"Probabilidad",IF(AB69="Correctivo","Impacto",""))</f>
        <v/>
      </c>
      <c r="AB69" s="177"/>
      <c r="AC69" s="177"/>
      <c r="AD69" s="178" t="str">
        <f t="shared" si="92"/>
        <v/>
      </c>
      <c r="AE69" s="177"/>
      <c r="AF69" s="177"/>
      <c r="AG69" s="177"/>
      <c r="AH69" s="179" t="str">
        <f>IFERROR(IF(AND(AA68="Probabilidad",AA69="Probabilidad"),(AJ68-(+AJ68*AD69)),IF(AND(AA68="Impacto",AA69="Probabilidad"),(AJ67-(+AJ67*AD69)),IF(AA69="Impacto",AJ68,""))),"")</f>
        <v/>
      </c>
      <c r="AI69" s="180" t="str">
        <f t="shared" si="2"/>
        <v/>
      </c>
      <c r="AJ69" s="178" t="str">
        <f t="shared" si="93"/>
        <v/>
      </c>
      <c r="AK69" s="180" t="str">
        <f t="shared" si="4"/>
        <v/>
      </c>
      <c r="AL69" s="178" t="str">
        <f t="shared" ref="AL69" si="96">IFERROR(IF(AND(AA68="Impacto",AA69="Impacto"),(AL68-(+AL68*AD69)),IF(AND(AA68="Probabilidad",AA69="Impacto"),(AL67-(+AL67*AD69)),IF(AA69="Probabilidad",AL68,""))),"")</f>
        <v/>
      </c>
      <c r="AM69" s="181" t="str">
        <f t="shared" si="95"/>
        <v/>
      </c>
      <c r="AN69" s="182"/>
      <c r="AO69" s="175"/>
      <c r="AP69" s="183"/>
      <c r="AQ69" s="183"/>
      <c r="AR69" s="184"/>
      <c r="AS69" s="519"/>
      <c r="AT69" s="519"/>
      <c r="AU69" s="519"/>
    </row>
    <row r="70" spans="1:47" x14ac:dyDescent="0.2">
      <c r="A70" s="523"/>
      <c r="B70" s="515"/>
      <c r="C70" s="515"/>
      <c r="D70" s="515"/>
      <c r="E70" s="515"/>
      <c r="F70" s="520"/>
      <c r="G70" s="515"/>
      <c r="H70" s="517"/>
      <c r="I70" s="207"/>
      <c r="J70" s="207"/>
      <c r="K70" s="207"/>
      <c r="L70" s="517"/>
      <c r="M70" s="517"/>
      <c r="N70" s="519"/>
      <c r="O70" s="514"/>
      <c r="P70" s="512"/>
      <c r="Q70" s="513"/>
      <c r="R70" s="512">
        <f>IF(NOT(ISERROR(MATCH(Q70,_xlfn.ANCHORARRAY(G81),0))),Q83&amp;"Por favor no seleccionar los criterios de impacto",Q70)</f>
        <v>0</v>
      </c>
      <c r="S70" s="514"/>
      <c r="T70" s="512"/>
      <c r="U70" s="511"/>
      <c r="V70" s="199">
        <v>4</v>
      </c>
      <c r="W70" s="199"/>
      <c r="X70" s="199"/>
      <c r="Y70" s="199"/>
      <c r="Z70" s="224" t="str">
        <f t="shared" si="6"/>
        <v xml:space="preserve">  </v>
      </c>
      <c r="AA70" s="176" t="str">
        <f t="shared" ref="AA70:AA72" si="97">IF(OR(AB70="Preventivo",AB70="Detectivo"),"Probabilidad",IF(AB70="Correctivo","Impacto",""))</f>
        <v/>
      </c>
      <c r="AB70" s="177"/>
      <c r="AC70" s="177"/>
      <c r="AD70" s="178" t="str">
        <f t="shared" si="92"/>
        <v/>
      </c>
      <c r="AE70" s="177"/>
      <c r="AF70" s="177"/>
      <c r="AG70" s="177"/>
      <c r="AH70" s="179" t="str">
        <f t="shared" ref="AH70:AH72" si="98">IFERROR(IF(AND(AA69="Probabilidad",AA70="Probabilidad"),(AJ69-(+AJ69*AD70)),IF(AND(AA69="Impacto",AA70="Probabilidad"),(AJ68-(+AJ68*AD70)),IF(AA70="Impacto",AJ69,""))),"")</f>
        <v/>
      </c>
      <c r="AI70" s="180" t="str">
        <f t="shared" si="2"/>
        <v/>
      </c>
      <c r="AJ70" s="178" t="str">
        <f t="shared" si="93"/>
        <v/>
      </c>
      <c r="AK70" s="180" t="str">
        <f t="shared" si="4"/>
        <v/>
      </c>
      <c r="AL70" s="178" t="str">
        <f t="shared" si="16"/>
        <v/>
      </c>
      <c r="AM70" s="181"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82"/>
      <c r="AO70" s="175"/>
      <c r="AP70" s="183"/>
      <c r="AQ70" s="183"/>
      <c r="AR70" s="184"/>
      <c r="AS70" s="519"/>
      <c r="AT70" s="519"/>
      <c r="AU70" s="519"/>
    </row>
    <row r="71" spans="1:47" x14ac:dyDescent="0.2">
      <c r="A71" s="523"/>
      <c r="B71" s="515"/>
      <c r="C71" s="515"/>
      <c r="D71" s="515"/>
      <c r="E71" s="515"/>
      <c r="F71" s="520"/>
      <c r="G71" s="515"/>
      <c r="H71" s="517"/>
      <c r="I71" s="207"/>
      <c r="J71" s="207"/>
      <c r="K71" s="207"/>
      <c r="L71" s="517"/>
      <c r="M71" s="517"/>
      <c r="N71" s="519"/>
      <c r="O71" s="514"/>
      <c r="P71" s="512"/>
      <c r="Q71" s="513"/>
      <c r="R71" s="512">
        <f>IF(NOT(ISERROR(MATCH(Q71,_xlfn.ANCHORARRAY(G82),0))),Q84&amp;"Por favor no seleccionar los criterios de impacto",Q71)</f>
        <v>0</v>
      </c>
      <c r="S71" s="514"/>
      <c r="T71" s="512"/>
      <c r="U71" s="511"/>
      <c r="V71" s="199">
        <v>5</v>
      </c>
      <c r="W71" s="199"/>
      <c r="X71" s="199"/>
      <c r="Y71" s="199"/>
      <c r="Z71" s="224" t="str">
        <f t="shared" si="6"/>
        <v xml:space="preserve">  </v>
      </c>
      <c r="AA71" s="176" t="str">
        <f t="shared" si="97"/>
        <v/>
      </c>
      <c r="AB71" s="177"/>
      <c r="AC71" s="177"/>
      <c r="AD71" s="178" t="str">
        <f t="shared" si="92"/>
        <v/>
      </c>
      <c r="AE71" s="177"/>
      <c r="AF71" s="177"/>
      <c r="AG71" s="177"/>
      <c r="AH71" s="179" t="str">
        <f t="shared" si="98"/>
        <v/>
      </c>
      <c r="AI71" s="180" t="str">
        <f t="shared" si="2"/>
        <v/>
      </c>
      <c r="AJ71" s="178" t="str">
        <f t="shared" si="93"/>
        <v/>
      </c>
      <c r="AK71" s="180" t="str">
        <f t="shared" si="4"/>
        <v/>
      </c>
      <c r="AL71" s="178" t="str">
        <f t="shared" si="16"/>
        <v/>
      </c>
      <c r="AM71" s="181" t="str">
        <f t="shared" ref="AM71:AM72" si="99">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82"/>
      <c r="AO71" s="175"/>
      <c r="AP71" s="183"/>
      <c r="AQ71" s="183"/>
      <c r="AR71" s="184"/>
      <c r="AS71" s="519"/>
      <c r="AT71" s="519"/>
      <c r="AU71" s="519"/>
    </row>
    <row r="72" spans="1:47" x14ac:dyDescent="0.2">
      <c r="A72" s="523"/>
      <c r="B72" s="515"/>
      <c r="C72" s="515"/>
      <c r="D72" s="515"/>
      <c r="E72" s="515"/>
      <c r="F72" s="520"/>
      <c r="G72" s="515"/>
      <c r="H72" s="518"/>
      <c r="I72" s="208"/>
      <c r="J72" s="208"/>
      <c r="K72" s="208"/>
      <c r="L72" s="518"/>
      <c r="M72" s="518"/>
      <c r="N72" s="519"/>
      <c r="O72" s="514"/>
      <c r="P72" s="512"/>
      <c r="Q72" s="513"/>
      <c r="R72" s="512">
        <f>IF(NOT(ISERROR(MATCH(Q72,_xlfn.ANCHORARRAY(G83),0))),Q85&amp;"Por favor no seleccionar los criterios de impacto",Q72)</f>
        <v>0</v>
      </c>
      <c r="S72" s="514"/>
      <c r="T72" s="512"/>
      <c r="U72" s="511"/>
      <c r="V72" s="199">
        <v>6</v>
      </c>
      <c r="W72" s="199"/>
      <c r="X72" s="199"/>
      <c r="Y72" s="199"/>
      <c r="Z72" s="224" t="str">
        <f t="shared" si="6"/>
        <v xml:space="preserve">  </v>
      </c>
      <c r="AA72" s="176" t="str">
        <f t="shared" si="97"/>
        <v/>
      </c>
      <c r="AB72" s="177"/>
      <c r="AC72" s="177"/>
      <c r="AD72" s="178" t="str">
        <f t="shared" si="92"/>
        <v/>
      </c>
      <c r="AE72" s="177"/>
      <c r="AF72" s="177"/>
      <c r="AG72" s="177"/>
      <c r="AH72" s="179" t="str">
        <f t="shared" si="98"/>
        <v/>
      </c>
      <c r="AI72" s="180" t="str">
        <f t="shared" si="2"/>
        <v/>
      </c>
      <c r="AJ72" s="178" t="str">
        <f t="shared" si="93"/>
        <v/>
      </c>
      <c r="AK72" s="180" t="str">
        <f t="shared" si="4"/>
        <v/>
      </c>
      <c r="AL72" s="178" t="str">
        <f t="shared" si="16"/>
        <v/>
      </c>
      <c r="AM72" s="181" t="str">
        <f t="shared" si="99"/>
        <v/>
      </c>
      <c r="AN72" s="182"/>
      <c r="AO72" s="175"/>
      <c r="AP72" s="183"/>
      <c r="AQ72" s="183"/>
      <c r="AR72" s="184"/>
      <c r="AS72" s="519"/>
      <c r="AT72" s="519"/>
      <c r="AU72" s="519"/>
    </row>
    <row r="73" spans="1:47" x14ac:dyDescent="0.2">
      <c r="A73" s="201"/>
      <c r="B73" s="521"/>
      <c r="C73" s="522"/>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c r="AS73" s="522"/>
    </row>
    <row r="75" spans="1:47" ht="15.75" x14ac:dyDescent="0.2">
      <c r="A75" s="185"/>
      <c r="B75" s="192"/>
      <c r="C75" s="185"/>
      <c r="D75" s="185"/>
      <c r="E75" s="185"/>
      <c r="F75" s="185"/>
      <c r="N75" s="185"/>
    </row>
    <row r="76" spans="1:47" s="241" customFormat="1" x14ac:dyDescent="0.2">
      <c r="A76" s="240"/>
      <c r="B76" s="240"/>
      <c r="C76" s="240"/>
      <c r="D76" s="240"/>
      <c r="E76" s="240"/>
      <c r="F76" s="240"/>
      <c r="N76" s="242"/>
      <c r="AO76" s="243"/>
    </row>
  </sheetData>
  <dataConsolidate/>
  <mergeCells count="299">
    <mergeCell ref="E61:E66"/>
    <mergeCell ref="E67:E72"/>
    <mergeCell ref="V10:AH10"/>
    <mergeCell ref="N10:U10"/>
    <mergeCell ref="E11:E12"/>
    <mergeCell ref="E13:E18"/>
    <mergeCell ref="E19:E24"/>
    <mergeCell ref="E25:E30"/>
    <mergeCell ref="E31:E36"/>
    <mergeCell ref="E37:E42"/>
    <mergeCell ref="E43:E48"/>
    <mergeCell ref="E49:E54"/>
    <mergeCell ref="H10:K10"/>
    <mergeCell ref="K13:K18"/>
    <mergeCell ref="I19:I24"/>
    <mergeCell ref="J19:J24"/>
    <mergeCell ref="K19:K24"/>
    <mergeCell ref="I25:I30"/>
    <mergeCell ref="G19:G24"/>
    <mergeCell ref="J25:J30"/>
    <mergeCell ref="K25:K30"/>
    <mergeCell ref="P31:P36"/>
    <mergeCell ref="G31:G36"/>
    <mergeCell ref="H31:H36"/>
    <mergeCell ref="AP11:AP12"/>
    <mergeCell ref="Q31:Q36"/>
    <mergeCell ref="L10:M11"/>
    <mergeCell ref="L13:L18"/>
    <mergeCell ref="M13:M18"/>
    <mergeCell ref="U31:U36"/>
    <mergeCell ref="R19:R24"/>
    <mergeCell ref="S19:S24"/>
    <mergeCell ref="T19:T24"/>
    <mergeCell ref="U19:U24"/>
    <mergeCell ref="AJ11:AJ12"/>
    <mergeCell ref="AA11:AA12"/>
    <mergeCell ref="AB11:AG11"/>
    <mergeCell ref="L25:L30"/>
    <mergeCell ref="M25:M30"/>
    <mergeCell ref="Q19:Q24"/>
    <mergeCell ref="Q25:Q30"/>
    <mergeCell ref="R25:R30"/>
    <mergeCell ref="S25:S30"/>
    <mergeCell ref="R31:R36"/>
    <mergeCell ref="N13:N18"/>
    <mergeCell ref="O13:O18"/>
    <mergeCell ref="N31:N36"/>
    <mergeCell ref="O31:O36"/>
    <mergeCell ref="C13:C18"/>
    <mergeCell ref="D13:D18"/>
    <mergeCell ref="F13:F18"/>
    <mergeCell ref="L67:L72"/>
    <mergeCell ref="M67:M72"/>
    <mergeCell ref="AS10:AU10"/>
    <mergeCell ref="AI10:AM10"/>
    <mergeCell ref="AN10:AR10"/>
    <mergeCell ref="M37:M42"/>
    <mergeCell ref="L43:L48"/>
    <mergeCell ref="M43:M48"/>
    <mergeCell ref="L49:L54"/>
    <mergeCell ref="M49:M54"/>
    <mergeCell ref="L55:L60"/>
    <mergeCell ref="M55:M60"/>
    <mergeCell ref="L61:L66"/>
    <mergeCell ref="M61:M66"/>
    <mergeCell ref="AS61:AS66"/>
    <mergeCell ref="AT61:AT66"/>
    <mergeCell ref="P11:P12"/>
    <mergeCell ref="S11:S12"/>
    <mergeCell ref="AO11:AO12"/>
    <mergeCell ref="AR11:AR12"/>
    <mergeCell ref="J13:J18"/>
    <mergeCell ref="AU61:AU66"/>
    <mergeCell ref="T25:T30"/>
    <mergeCell ref="U25:U30"/>
    <mergeCell ref="AS67:AS72"/>
    <mergeCell ref="AT67:AT72"/>
    <mergeCell ref="AU67:AU72"/>
    <mergeCell ref="AS43:AS48"/>
    <mergeCell ref="AT43:AT48"/>
    <mergeCell ref="AS19:AS24"/>
    <mergeCell ref="AT19:AT24"/>
    <mergeCell ref="AU19:AU24"/>
    <mergeCell ref="AU43:AU48"/>
    <mergeCell ref="AS49:AS54"/>
    <mergeCell ref="AT49:AT54"/>
    <mergeCell ref="AU49:AU54"/>
    <mergeCell ref="AS55:AS60"/>
    <mergeCell ref="AT55:AT60"/>
    <mergeCell ref="AU55:AU60"/>
    <mergeCell ref="AS25:AS30"/>
    <mergeCell ref="AT25:AT30"/>
    <mergeCell ref="AU25:AU30"/>
    <mergeCell ref="AS31:AS36"/>
    <mergeCell ref="AT31:AT36"/>
    <mergeCell ref="AU31:AU36"/>
    <mergeCell ref="AT37:AT42"/>
    <mergeCell ref="AU37:AU42"/>
    <mergeCell ref="T13:T18"/>
    <mergeCell ref="N11:N12"/>
    <mergeCell ref="O11:O12"/>
    <mergeCell ref="U11:U12"/>
    <mergeCell ref="Q11:Q12"/>
    <mergeCell ref="R11:R12"/>
    <mergeCell ref="AS11:AS12"/>
    <mergeCell ref="AT11:AT12"/>
    <mergeCell ref="AU11:AU12"/>
    <mergeCell ref="AS13:AS18"/>
    <mergeCell ref="AT13:AT18"/>
    <mergeCell ref="AU13:AU18"/>
    <mergeCell ref="AN11:AN12"/>
    <mergeCell ref="AQ11:AQ12"/>
    <mergeCell ref="V11:V12"/>
    <mergeCell ref="AM11:AM12"/>
    <mergeCell ref="AL11:AL12"/>
    <mergeCell ref="AH11:AH12"/>
    <mergeCell ref="Z11:Z12"/>
    <mergeCell ref="AK11:AK12"/>
    <mergeCell ref="AI11:AI12"/>
    <mergeCell ref="S31:S36"/>
    <mergeCell ref="A13:A18"/>
    <mergeCell ref="B13:B18"/>
    <mergeCell ref="A11:A12"/>
    <mergeCell ref="F11:F12"/>
    <mergeCell ref="D11:D12"/>
    <mergeCell ref="C11:C12"/>
    <mergeCell ref="AS37:AS42"/>
    <mergeCell ref="T31:T36"/>
    <mergeCell ref="R37:R42"/>
    <mergeCell ref="S37:S42"/>
    <mergeCell ref="T37:T42"/>
    <mergeCell ref="F19:F24"/>
    <mergeCell ref="F25:F30"/>
    <mergeCell ref="B11:B12"/>
    <mergeCell ref="G13:G18"/>
    <mergeCell ref="H11:H12"/>
    <mergeCell ref="I11:I12"/>
    <mergeCell ref="J11:J12"/>
    <mergeCell ref="K11:K12"/>
    <mergeCell ref="A31:A36"/>
    <mergeCell ref="B31:B36"/>
    <mergeCell ref="C31:C36"/>
    <mergeCell ref="D31:D36"/>
    <mergeCell ref="F31:F36"/>
    <mergeCell ref="I31:I36"/>
    <mergeCell ref="J31:J36"/>
    <mergeCell ref="K31:K36"/>
    <mergeCell ref="L31:L36"/>
    <mergeCell ref="M31:M36"/>
    <mergeCell ref="A37:A42"/>
    <mergeCell ref="B37:B42"/>
    <mergeCell ref="C37:C42"/>
    <mergeCell ref="A43:A48"/>
    <mergeCell ref="B43:B48"/>
    <mergeCell ref="C43:C48"/>
    <mergeCell ref="D43:D48"/>
    <mergeCell ref="F43:F48"/>
    <mergeCell ref="D37:D42"/>
    <mergeCell ref="F37:F42"/>
    <mergeCell ref="B55:B60"/>
    <mergeCell ref="C55:C60"/>
    <mergeCell ref="D55:D60"/>
    <mergeCell ref="F55:F60"/>
    <mergeCell ref="A49:A54"/>
    <mergeCell ref="B49:B54"/>
    <mergeCell ref="C49:C54"/>
    <mergeCell ref="D49:D54"/>
    <mergeCell ref="F49:F54"/>
    <mergeCell ref="A55:A60"/>
    <mergeCell ref="E55:E60"/>
    <mergeCell ref="G67:G72"/>
    <mergeCell ref="T49:T54"/>
    <mergeCell ref="U49:U54"/>
    <mergeCell ref="N55:N60"/>
    <mergeCell ref="O55:O60"/>
    <mergeCell ref="P55:P60"/>
    <mergeCell ref="Q55:Q60"/>
    <mergeCell ref="N49:N54"/>
    <mergeCell ref="O49:O54"/>
    <mergeCell ref="P49:P54"/>
    <mergeCell ref="R55:R60"/>
    <mergeCell ref="S55:S60"/>
    <mergeCell ref="T55:T60"/>
    <mergeCell ref="U55:U60"/>
    <mergeCell ref="H61:H66"/>
    <mergeCell ref="H67:H72"/>
    <mergeCell ref="B73:AS73"/>
    <mergeCell ref="T61:T66"/>
    <mergeCell ref="U61:U66"/>
    <mergeCell ref="A67:A72"/>
    <mergeCell ref="B67:B72"/>
    <mergeCell ref="C67:C72"/>
    <mergeCell ref="D67:D72"/>
    <mergeCell ref="F67:F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G61:G66"/>
    <mergeCell ref="F61:F66"/>
    <mergeCell ref="N61:N66"/>
    <mergeCell ref="O61:O66"/>
    <mergeCell ref="P61:P66"/>
    <mergeCell ref="P37:P42"/>
    <mergeCell ref="Q37:Q42"/>
    <mergeCell ref="N43:N48"/>
    <mergeCell ref="O43:O48"/>
    <mergeCell ref="P43:P48"/>
    <mergeCell ref="G49:G54"/>
    <mergeCell ref="G55:G60"/>
    <mergeCell ref="H55:H60"/>
    <mergeCell ref="I55:I60"/>
    <mergeCell ref="J55:J60"/>
    <mergeCell ref="K55:K60"/>
    <mergeCell ref="J43:J48"/>
    <mergeCell ref="K43:K48"/>
    <mergeCell ref="U37:U42"/>
    <mergeCell ref="T43:T48"/>
    <mergeCell ref="U43:U48"/>
    <mergeCell ref="Q49:Q54"/>
    <mergeCell ref="R49:R54"/>
    <mergeCell ref="S49:S54"/>
    <mergeCell ref="G37:G42"/>
    <mergeCell ref="G43:G48"/>
    <mergeCell ref="H37:H42"/>
    <mergeCell ref="Q43:Q48"/>
    <mergeCell ref="R43:R48"/>
    <mergeCell ref="S43:S48"/>
    <mergeCell ref="N37:N42"/>
    <mergeCell ref="O37:O42"/>
    <mergeCell ref="H49:H54"/>
    <mergeCell ref="I49:I54"/>
    <mergeCell ref="J49:J54"/>
    <mergeCell ref="K49:K54"/>
    <mergeCell ref="L37:L42"/>
    <mergeCell ref="H43:H48"/>
    <mergeCell ref="I37:I42"/>
    <mergeCell ref="J37:J42"/>
    <mergeCell ref="K37:K42"/>
    <mergeCell ref="I43:I48"/>
    <mergeCell ref="D19:D24"/>
    <mergeCell ref="AC6:AU6"/>
    <mergeCell ref="AC7:AU7"/>
    <mergeCell ref="AC8:AU8"/>
    <mergeCell ref="AA1:AU2"/>
    <mergeCell ref="AA3:AO3"/>
    <mergeCell ref="AA4:AU4"/>
    <mergeCell ref="AP3:AU3"/>
    <mergeCell ref="A6:B6"/>
    <mergeCell ref="A7:B7"/>
    <mergeCell ref="A8:B8"/>
    <mergeCell ref="Z6:AB6"/>
    <mergeCell ref="C6:T6"/>
    <mergeCell ref="C7:T7"/>
    <mergeCell ref="U13:U18"/>
    <mergeCell ref="P13:P18"/>
    <mergeCell ref="Q13:Q18"/>
    <mergeCell ref="R13:R18"/>
    <mergeCell ref="S13:S18"/>
    <mergeCell ref="H13:H18"/>
    <mergeCell ref="A10:G10"/>
    <mergeCell ref="I13:I18"/>
    <mergeCell ref="T11:T12"/>
    <mergeCell ref="G11:G12"/>
    <mergeCell ref="C8:T8"/>
    <mergeCell ref="D1:T2"/>
    <mergeCell ref="D4:T4"/>
    <mergeCell ref="J3:T3"/>
    <mergeCell ref="D3:I3"/>
    <mergeCell ref="A25:A30"/>
    <mergeCell ref="B25:B30"/>
    <mergeCell ref="C25:C30"/>
    <mergeCell ref="D25:D30"/>
    <mergeCell ref="A1:C4"/>
    <mergeCell ref="N25:N30"/>
    <mergeCell ref="O25:O30"/>
    <mergeCell ref="P25:P30"/>
    <mergeCell ref="G25:G30"/>
    <mergeCell ref="N19:N24"/>
    <mergeCell ref="O19:O24"/>
    <mergeCell ref="P19:P24"/>
    <mergeCell ref="H19:H24"/>
    <mergeCell ref="H25:H30"/>
    <mergeCell ref="L19:L24"/>
    <mergeCell ref="M19:M24"/>
    <mergeCell ref="A19:A24"/>
    <mergeCell ref="B19:B24"/>
    <mergeCell ref="C19:C24"/>
  </mergeCells>
  <conditionalFormatting sqref="O13 O19">
    <cfRule type="cellIs" dxfId="386" priority="328" operator="equal">
      <formula>"Muy Baja"</formula>
    </cfRule>
    <cfRule type="cellIs" dxfId="385" priority="327" operator="equal">
      <formula>"Baja"</formula>
    </cfRule>
    <cfRule type="cellIs" dxfId="384" priority="326" operator="equal">
      <formula>"Media"</formula>
    </cfRule>
    <cfRule type="cellIs" dxfId="383" priority="325" operator="equal">
      <formula>"Alta"</formula>
    </cfRule>
    <cfRule type="cellIs" dxfId="382" priority="324" operator="equal">
      <formula>"Muy Alta"</formula>
    </cfRule>
  </conditionalFormatting>
  <conditionalFormatting sqref="O25">
    <cfRule type="cellIs" dxfId="381" priority="227" operator="equal">
      <formula>"Alta"</formula>
    </cfRule>
    <cfRule type="cellIs" dxfId="380" priority="226" operator="equal">
      <formula>"Muy Alta"</formula>
    </cfRule>
    <cfRule type="cellIs" dxfId="379" priority="230" operator="equal">
      <formula>"Muy Baja"</formula>
    </cfRule>
    <cfRule type="cellIs" dxfId="378" priority="229" operator="equal">
      <formula>"Baja"</formula>
    </cfRule>
    <cfRule type="cellIs" dxfId="377" priority="228" operator="equal">
      <formula>"Media"</formula>
    </cfRule>
  </conditionalFormatting>
  <conditionalFormatting sqref="O31">
    <cfRule type="cellIs" dxfId="376" priority="202" operator="equal">
      <formula>"Muy Baja"</formula>
    </cfRule>
    <cfRule type="cellIs" dxfId="375" priority="201" operator="equal">
      <formula>"Baja"</formula>
    </cfRule>
    <cfRule type="cellIs" dxfId="374" priority="198" operator="equal">
      <formula>"Muy Alta"</formula>
    </cfRule>
    <cfRule type="cellIs" dxfId="373" priority="199" operator="equal">
      <formula>"Alta"</formula>
    </cfRule>
    <cfRule type="cellIs" dxfId="372" priority="200" operator="equal">
      <formula>"Media"</formula>
    </cfRule>
  </conditionalFormatting>
  <conditionalFormatting sqref="O37">
    <cfRule type="cellIs" dxfId="371" priority="170" operator="equal">
      <formula>"Muy Alta"</formula>
    </cfRule>
    <cfRule type="cellIs" dxfId="370" priority="172" operator="equal">
      <formula>"Media"</formula>
    </cfRule>
    <cfRule type="cellIs" dxfId="369" priority="171" operator="equal">
      <formula>"Alta"</formula>
    </cfRule>
    <cfRule type="cellIs" dxfId="368" priority="173" operator="equal">
      <formula>"Baja"</formula>
    </cfRule>
    <cfRule type="cellIs" dxfId="367" priority="174" operator="equal">
      <formula>"Muy Baja"</formula>
    </cfRule>
  </conditionalFormatting>
  <conditionalFormatting sqref="O43">
    <cfRule type="cellIs" dxfId="366" priority="142" operator="equal">
      <formula>"Muy Alta"</formula>
    </cfRule>
    <cfRule type="cellIs" dxfId="365" priority="144" operator="equal">
      <formula>"Media"</formula>
    </cfRule>
    <cfRule type="cellIs" dxfId="364" priority="146" operator="equal">
      <formula>"Muy Baja"</formula>
    </cfRule>
    <cfRule type="cellIs" dxfId="363" priority="145" operator="equal">
      <formula>"Baja"</formula>
    </cfRule>
    <cfRule type="cellIs" dxfId="362" priority="143" operator="equal">
      <formula>"Alta"</formula>
    </cfRule>
  </conditionalFormatting>
  <conditionalFormatting sqref="O49">
    <cfRule type="cellIs" dxfId="361" priority="114" operator="equal">
      <formula>"Muy Alta"</formula>
    </cfRule>
    <cfRule type="cellIs" dxfId="360" priority="115" operator="equal">
      <formula>"Alta"</formula>
    </cfRule>
    <cfRule type="cellIs" dxfId="359" priority="116" operator="equal">
      <formula>"Media"</formula>
    </cfRule>
    <cfRule type="cellIs" dxfId="358" priority="117" operator="equal">
      <formula>"Baja"</formula>
    </cfRule>
    <cfRule type="cellIs" dxfId="357" priority="118" operator="equal">
      <formula>"Muy Baja"</formula>
    </cfRule>
  </conditionalFormatting>
  <conditionalFormatting sqref="O55">
    <cfRule type="cellIs" dxfId="356" priority="2" operator="equal">
      <formula>"Alta"</formula>
    </cfRule>
    <cfRule type="cellIs" dxfId="355" priority="3" operator="equal">
      <formula>"Media"</formula>
    </cfRule>
    <cfRule type="cellIs" dxfId="354" priority="4" operator="equal">
      <formula>"Baja"</formula>
    </cfRule>
    <cfRule type="cellIs" dxfId="353" priority="5" operator="equal">
      <formula>"Muy Baja"</formula>
    </cfRule>
    <cfRule type="cellIs" dxfId="352" priority="1" operator="equal">
      <formula>"Muy Alta"</formula>
    </cfRule>
  </conditionalFormatting>
  <conditionalFormatting sqref="O61">
    <cfRule type="cellIs" dxfId="351" priority="58" operator="equal">
      <formula>"Muy Alta"</formula>
    </cfRule>
    <cfRule type="cellIs" dxfId="350" priority="59" operator="equal">
      <formula>"Alta"</formula>
    </cfRule>
    <cfRule type="cellIs" dxfId="349" priority="60" operator="equal">
      <formula>"Media"</formula>
    </cfRule>
    <cfRule type="cellIs" dxfId="348" priority="61" operator="equal">
      <formula>"Baja"</formula>
    </cfRule>
    <cfRule type="cellIs" dxfId="347" priority="62" operator="equal">
      <formula>"Muy Baja"</formula>
    </cfRule>
  </conditionalFormatting>
  <conditionalFormatting sqref="O67">
    <cfRule type="cellIs" dxfId="346" priority="31" operator="equal">
      <formula>"Alta"</formula>
    </cfRule>
    <cfRule type="cellIs" dxfId="345" priority="32" operator="equal">
      <formula>"Media"</formula>
    </cfRule>
    <cfRule type="cellIs" dxfId="344" priority="30" operator="equal">
      <formula>"Muy Alta"</formula>
    </cfRule>
    <cfRule type="cellIs" dxfId="343" priority="33" operator="equal">
      <formula>"Baja"</formula>
    </cfRule>
    <cfRule type="cellIs" dxfId="342" priority="34" operator="equal">
      <formula>"Muy Baja"</formula>
    </cfRule>
  </conditionalFormatting>
  <conditionalFormatting sqref="R13:R72">
    <cfRule type="containsText" dxfId="341" priority="6" operator="containsText" text="❌">
      <formula>NOT(ISERROR(SEARCH("❌",R13)))</formula>
    </cfRule>
  </conditionalFormatting>
  <conditionalFormatting sqref="S13 S19 S25 S31 S37 S43 S49 S55 S61 S67">
    <cfRule type="cellIs" dxfId="340" priority="319" operator="equal">
      <formula>"Catastrófico"</formula>
    </cfRule>
    <cfRule type="cellIs" dxfId="339" priority="320" operator="equal">
      <formula>"Mayor"</formula>
    </cfRule>
    <cfRule type="cellIs" dxfId="338" priority="321" operator="equal">
      <formula>"Moderado"</formula>
    </cfRule>
    <cfRule type="cellIs" dxfId="337" priority="322" operator="equal">
      <formula>"Menor"</formula>
    </cfRule>
    <cfRule type="cellIs" dxfId="336" priority="323" operator="equal">
      <formula>"Leve"</formula>
    </cfRule>
  </conditionalFormatting>
  <conditionalFormatting sqref="U13">
    <cfRule type="cellIs" dxfId="335" priority="318" operator="equal">
      <formula>"Bajo"</formula>
    </cfRule>
    <cfRule type="cellIs" dxfId="334" priority="315" operator="equal">
      <formula>"Extremo"</formula>
    </cfRule>
    <cfRule type="cellIs" dxfId="333" priority="316" operator="equal">
      <formula>"Alto"</formula>
    </cfRule>
    <cfRule type="cellIs" dxfId="332" priority="317" operator="equal">
      <formula>"Moderado"</formula>
    </cfRule>
  </conditionalFormatting>
  <conditionalFormatting sqref="U19">
    <cfRule type="cellIs" dxfId="331" priority="245" operator="equal">
      <formula>"Extremo"</formula>
    </cfRule>
    <cfRule type="cellIs" dxfId="330" priority="248" operator="equal">
      <formula>"Bajo"</formula>
    </cfRule>
    <cfRule type="cellIs" dxfId="329" priority="247" operator="equal">
      <formula>"Moderado"</formula>
    </cfRule>
    <cfRule type="cellIs" dxfId="328" priority="246" operator="equal">
      <formula>"Alto"</formula>
    </cfRule>
  </conditionalFormatting>
  <conditionalFormatting sqref="U25">
    <cfRule type="cellIs" dxfId="327" priority="220" operator="equal">
      <formula>"Bajo"</formula>
    </cfRule>
    <cfRule type="cellIs" dxfId="326" priority="218" operator="equal">
      <formula>"Alto"</formula>
    </cfRule>
    <cfRule type="cellIs" dxfId="325" priority="217" operator="equal">
      <formula>"Extremo"</formula>
    </cfRule>
    <cfRule type="cellIs" dxfId="324" priority="219" operator="equal">
      <formula>"Moderado"</formula>
    </cfRule>
  </conditionalFormatting>
  <conditionalFormatting sqref="U31">
    <cfRule type="cellIs" dxfId="323" priority="189" operator="equal">
      <formula>"Extremo"</formula>
    </cfRule>
    <cfRule type="cellIs" dxfId="322" priority="190" operator="equal">
      <formula>"Alto"</formula>
    </cfRule>
    <cfRule type="cellIs" dxfId="321" priority="191" operator="equal">
      <formula>"Moderado"</formula>
    </cfRule>
    <cfRule type="cellIs" dxfId="320" priority="192" operator="equal">
      <formula>"Bajo"</formula>
    </cfRule>
  </conditionalFormatting>
  <conditionalFormatting sqref="U37">
    <cfRule type="cellIs" dxfId="319" priority="162" operator="equal">
      <formula>"Alto"</formula>
    </cfRule>
    <cfRule type="cellIs" dxfId="318" priority="161" operator="equal">
      <formula>"Extremo"</formula>
    </cfRule>
    <cfRule type="cellIs" dxfId="317" priority="163" operator="equal">
      <formula>"Moderado"</formula>
    </cfRule>
    <cfRule type="cellIs" dxfId="316" priority="164" operator="equal">
      <formula>"Bajo"</formula>
    </cfRule>
  </conditionalFormatting>
  <conditionalFormatting sqref="U43">
    <cfRule type="cellIs" dxfId="315" priority="135" operator="equal">
      <formula>"Moderado"</formula>
    </cfRule>
    <cfRule type="cellIs" dxfId="314" priority="134" operator="equal">
      <formula>"Alto"</formula>
    </cfRule>
    <cfRule type="cellIs" dxfId="313" priority="136" operator="equal">
      <formula>"Bajo"</formula>
    </cfRule>
    <cfRule type="cellIs" dxfId="312" priority="133" operator="equal">
      <formula>"Extremo"</formula>
    </cfRule>
  </conditionalFormatting>
  <conditionalFormatting sqref="U49">
    <cfRule type="cellIs" dxfId="311" priority="108" operator="equal">
      <formula>"Bajo"</formula>
    </cfRule>
    <cfRule type="cellIs" dxfId="310" priority="107" operator="equal">
      <formula>"Moderado"</formula>
    </cfRule>
    <cfRule type="cellIs" dxfId="309" priority="106" operator="equal">
      <formula>"Alto"</formula>
    </cfRule>
    <cfRule type="cellIs" dxfId="308" priority="105" operator="equal">
      <formula>"Extremo"</formula>
    </cfRule>
  </conditionalFormatting>
  <conditionalFormatting sqref="U55">
    <cfRule type="cellIs" dxfId="307" priority="79" operator="equal">
      <formula>"Moderado"</formula>
    </cfRule>
    <cfRule type="cellIs" dxfId="306" priority="77" operator="equal">
      <formula>"Extremo"</formula>
    </cfRule>
    <cfRule type="cellIs" dxfId="305" priority="80" operator="equal">
      <formula>"Bajo"</formula>
    </cfRule>
    <cfRule type="cellIs" dxfId="304" priority="78" operator="equal">
      <formula>"Alto"</formula>
    </cfRule>
  </conditionalFormatting>
  <conditionalFormatting sqref="U61">
    <cfRule type="cellIs" dxfId="303" priority="49" operator="equal">
      <formula>"Extremo"</formula>
    </cfRule>
    <cfRule type="cellIs" dxfId="302" priority="51" operator="equal">
      <formula>"Moderado"</formula>
    </cfRule>
    <cfRule type="cellIs" dxfId="301" priority="52" operator="equal">
      <formula>"Bajo"</formula>
    </cfRule>
    <cfRule type="cellIs" dxfId="300" priority="50" operator="equal">
      <formula>"Alto"</formula>
    </cfRule>
  </conditionalFormatting>
  <conditionalFormatting sqref="U67">
    <cfRule type="cellIs" dxfId="299" priority="21" operator="equal">
      <formula>"Extremo"</formula>
    </cfRule>
    <cfRule type="cellIs" dxfId="298" priority="24" operator="equal">
      <formula>"Bajo"</formula>
    </cfRule>
    <cfRule type="cellIs" dxfId="297" priority="23" operator="equal">
      <formula>"Moderado"</formula>
    </cfRule>
    <cfRule type="cellIs" dxfId="296" priority="22" operator="equal">
      <formula>"Alto"</formula>
    </cfRule>
  </conditionalFormatting>
  <conditionalFormatting sqref="AI13:AI72">
    <cfRule type="cellIs" dxfId="295" priority="20" operator="equal">
      <formula>"Muy Baja"</formula>
    </cfRule>
    <cfRule type="cellIs" dxfId="294" priority="19" operator="equal">
      <formula>"Baja"</formula>
    </cfRule>
    <cfRule type="cellIs" dxfId="293" priority="18" operator="equal">
      <formula>"Media"</formula>
    </cfRule>
    <cfRule type="cellIs" dxfId="292" priority="17" operator="equal">
      <formula>"Alta"</formula>
    </cfRule>
    <cfRule type="cellIs" dxfId="291" priority="16" operator="equal">
      <formula>"Muy Alta"</formula>
    </cfRule>
  </conditionalFormatting>
  <conditionalFormatting sqref="AK13:AK72">
    <cfRule type="cellIs" dxfId="290" priority="14" operator="equal">
      <formula>"Menor"</formula>
    </cfRule>
    <cfRule type="cellIs" dxfId="289" priority="15" operator="equal">
      <formula>"Leve"</formula>
    </cfRule>
    <cfRule type="cellIs" dxfId="288" priority="12" operator="equal">
      <formula>"Mayor"</formula>
    </cfRule>
    <cfRule type="cellIs" dxfId="287" priority="11" operator="equal">
      <formula>"Catastrófico"</formula>
    </cfRule>
    <cfRule type="cellIs" dxfId="286" priority="13" operator="equal">
      <formula>"Moderado"</formula>
    </cfRule>
  </conditionalFormatting>
  <conditionalFormatting sqref="AM13:AM72">
    <cfRule type="cellIs" dxfId="285" priority="7" operator="equal">
      <formula>"Extremo"</formula>
    </cfRule>
    <cfRule type="cellIs" dxfId="284" priority="10" operator="equal">
      <formula>"Bajo"</formula>
    </cfRule>
    <cfRule type="cellIs" dxfId="283" priority="9" operator="equal">
      <formula>"Moderado"</formula>
    </cfRule>
    <cfRule type="cellIs" dxfId="282"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L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AB13:AB72</xm:sqref>
        </x14:dataValidation>
        <x14:dataValidation type="list" allowBlank="1" showInputMessage="1" showErrorMessage="1" xr:uid="{00000000-0002-0000-0300-000002000000}">
          <x14:formula1>
            <xm:f>'Tabla Valoración controles'!$D$7:$D$8</xm:f>
          </x14:formula1>
          <xm:sqref>AC13:AC72</xm:sqref>
        </x14:dataValidation>
        <x14:dataValidation type="list" allowBlank="1" showInputMessage="1" showErrorMessage="1" xr:uid="{00000000-0002-0000-0300-000003000000}">
          <x14:formula1>
            <xm:f>'Tabla Valoración controles'!$D$9:$D$10</xm:f>
          </x14:formula1>
          <xm:sqref>AE13:AE72</xm:sqref>
        </x14:dataValidation>
        <x14:dataValidation type="list" allowBlank="1" showInputMessage="1" showErrorMessage="1" xr:uid="{00000000-0002-0000-0300-000004000000}">
          <x14:formula1>
            <xm:f>'Tabla Valoración controles'!$D$11:$D$12</xm:f>
          </x14:formula1>
          <xm:sqref>AF13:AF72</xm:sqref>
        </x14:dataValidation>
        <x14:dataValidation type="list" allowBlank="1" showInputMessage="1" showErrorMessage="1" xr:uid="{00000000-0002-0000-0300-000005000000}">
          <x14:formula1>
            <xm:f>'Tabla Valoración controles'!$D$13:$D$14</xm:f>
          </x14:formula1>
          <xm:sqref>AG13:AG72</xm:sqref>
        </x14:dataValidation>
        <x14:dataValidation type="list" allowBlank="1" showInputMessage="1" showErrorMessage="1" xr:uid="{00000000-0002-0000-0300-000006000000}">
          <x14:formula1>
            <xm:f>Listas!$E$4:$E$6</xm:f>
          </x14:formula1>
          <xm:sqref>B13:B72</xm:sqref>
        </x14:dataValidation>
        <x14:dataValidation type="list" allowBlank="1" showInputMessage="1" showErrorMessage="1" xr:uid="{00000000-0002-0000-0300-000008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F000000}">
          <x14:formula1>
            <xm:f>IF(OR(#REF!=Listas!$B$4,#REF!=Listas!$B$5,#REF!=Listas!$B$6),ISBLANK(#REF!),ISTEXT(#REF!))</xm:f>
          </x14:formula1>
          <xm:sqref>AS19:AU19 AS67:AU67 AS61:AU61 AS55:AU55 AS49:AU49 AS43:AU43 AS37:AU37 AS31:AU31 AS25:AU25</xm:sqref>
        </x14:dataValidation>
        <x14:dataValidation type="list" allowBlank="1" showInputMessage="1" showErrorMessage="1" xr:uid="{00000000-0002-0000-0300-00000C000000}">
          <x14:formula1>
            <xm:f>Listas!$B$15:$B$19</xm:f>
          </x14:formula1>
          <xm:sqref>G13:G72</xm:sqref>
        </x14:dataValidation>
        <x14:dataValidation type="list" allowBlank="1" showInputMessage="1" showErrorMessage="1" xr:uid="{56974EBC-92AA-46D7-A563-12DC1F3E81D0}">
          <x14:formula1>
            <xm:f>Listas!$F$11:$F$12</xm:f>
          </x14:formula1>
          <xm:sqref>H13:H72</xm:sqref>
        </x14:dataValidation>
        <x14:dataValidation type="list" allowBlank="1" showInputMessage="1" showErrorMessage="1" xr:uid="{03058C6C-7F42-42BB-9770-ED87FDA682A3}">
          <x14:formula1>
            <xm:f>Listas!$H$11:$H$21</xm:f>
          </x14:formula1>
          <xm:sqref>L13:L72</xm:sqref>
        </x14:dataValidation>
        <x14:dataValidation type="list" allowBlank="1" showInputMessage="1" showErrorMessage="1" xr:uid="{F2288737-8C01-4533-ADFF-3064F3A41D07}">
          <x14:formula1>
            <xm:f>Listas!$H$4:$H$8</xm:f>
          </x14:formula1>
          <xm:sqref>X15:X72</xm:sqref>
        </x14:dataValidation>
        <x14:dataValidation type="list" allowBlank="1" showInputMessage="1" showErrorMessage="1" xr:uid="{00000000-0002-0000-0300-000010000000}">
          <x14:formula1>
            <xm:f>'Intructivo control cambio'!$C$294:$C$308</xm:f>
          </x14:formula1>
          <xm:sqref>U6:Y6</xm:sqref>
        </x14:dataValidation>
        <x14:dataValidation type="list" allowBlank="1" showInputMessage="1" showErrorMessage="1" xr:uid="{AA7F15B9-31F8-4763-B2BD-2EE92D455BDC}">
          <x14:formula1>
            <xm:f>'Intructivo control cambio'!$C$294:$C$318</xm:f>
          </x14:formula1>
          <xm:sqref>C6:T6</xm:sqref>
        </x14:dataValidation>
        <x14:dataValidation type="list" allowBlank="1" showInputMessage="1" showErrorMessage="1" xr:uid="{ED0225A5-353B-484A-9502-C16753E9C895}">
          <x14:formula1>
            <xm:f>Listas!$L$5:$L$9</xm:f>
          </x14:formula1>
          <xm:sqref>M19:M72</xm:sqref>
        </x14:dataValidation>
        <x14:dataValidation type="list" allowBlank="1" showInputMessage="1" showErrorMessage="1" xr:uid="{69038735-2699-4319-BCDA-D24D9B8B9350}">
          <x14:formula1>
            <xm:f>Listas!$L$4:$L$9</xm:f>
          </x14:formula1>
          <xm:sqref>M13:M18</xm:sqref>
        </x14:dataValidation>
        <x14:dataValidation type="list" allowBlank="1" showInputMessage="1" showErrorMessage="1" xr:uid="{00000000-0002-0000-0300-000007000000}">
          <x14:formula1>
            <xm:f>Listas!$B$4:$B$7</xm:f>
          </x14:formula1>
          <xm:sqref>AN13:AN72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6" sqref="B6:D4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631" t="s">
        <v>485</v>
      </c>
      <c r="C2" s="631"/>
      <c r="D2" s="631"/>
      <c r="E2" s="631"/>
      <c r="F2" s="631"/>
      <c r="G2" s="631"/>
      <c r="H2" s="631"/>
      <c r="I2" s="631"/>
      <c r="J2" s="599" t="s">
        <v>15</v>
      </c>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631"/>
      <c r="C3" s="631"/>
      <c r="D3" s="631"/>
      <c r="E3" s="631"/>
      <c r="F3" s="631"/>
      <c r="G3" s="631"/>
      <c r="H3" s="631"/>
      <c r="I3" s="631"/>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631"/>
      <c r="C4" s="631"/>
      <c r="D4" s="631"/>
      <c r="E4" s="631"/>
      <c r="F4" s="631"/>
      <c r="G4" s="631"/>
      <c r="H4" s="631"/>
      <c r="I4" s="631"/>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546" t="s">
        <v>486</v>
      </c>
      <c r="C6" s="546"/>
      <c r="D6" s="547"/>
      <c r="E6" s="584" t="s">
        <v>487</v>
      </c>
      <c r="F6" s="585"/>
      <c r="G6" s="585"/>
      <c r="H6" s="585"/>
      <c r="I6" s="586"/>
      <c r="J6" s="595" t="str">
        <f>IF(AND('Riesgos de Gestión'!$O$13="Muy Alta",'Riesgos de Gestión'!$S$13="Leve"),CONCATENATE("R",'Riesgos de Gestión'!$A$13),"")</f>
        <v/>
      </c>
      <c r="K6" s="596"/>
      <c r="L6" s="596" t="str">
        <f>IF(AND('Riesgos de Gestión'!$O$19="Muy Alta",'Riesgos de Gestión'!$S$19="Leve"),CONCATENATE("R",'Riesgos de Gestión'!$A$19),"")</f>
        <v/>
      </c>
      <c r="M6" s="596"/>
      <c r="N6" s="596" t="str">
        <f>IF(AND('Riesgos de Gestión'!$O$25="Muy Alta",'Riesgos de Gestión'!$S$25="Leve"),CONCATENATE("R",'Riesgos de Gestión'!$A$25),"")</f>
        <v/>
      </c>
      <c r="O6" s="598"/>
      <c r="P6" s="595" t="str">
        <f>IF(AND('Riesgos de Gestión'!$O$13="Muy Alta",'Riesgos de Gestión'!$S$13="Menor"),CONCATENATE("R",'Riesgos de Gestión'!$A$13),"")</f>
        <v/>
      </c>
      <c r="Q6" s="596"/>
      <c r="R6" s="596" t="str">
        <f>IF(AND('Riesgos de Gestión'!$O$19="Muy Alta",'Riesgos de Gestión'!$S$19="Menor"),CONCATENATE("R",'Riesgos de Gestión'!$A$19),"")</f>
        <v/>
      </c>
      <c r="S6" s="596"/>
      <c r="T6" s="596" t="str">
        <f>IF(AND('Riesgos de Gestión'!$O$25="Muy Alta",'Riesgos de Gestión'!$S$25="Menor"),CONCATENATE("R",'Riesgos de Gestión'!$A$25),"")</f>
        <v/>
      </c>
      <c r="U6" s="598"/>
      <c r="V6" s="595" t="str">
        <f>IF(AND('Riesgos de Gestión'!$O$13="Muy Alta",'Riesgos de Gestión'!$S$13="Moderado"),CONCATENATE("R",'Riesgos de Gestión'!$A$13),"")</f>
        <v/>
      </c>
      <c r="W6" s="596"/>
      <c r="X6" s="596" t="str">
        <f>IF(AND('Riesgos de Gestión'!$O$19="Muy Alta",'Riesgos de Gestión'!$S$19="Moderado"),CONCATENATE("R",'Riesgos de Gestión'!$A$19),"")</f>
        <v/>
      </c>
      <c r="Y6" s="596"/>
      <c r="Z6" s="596" t="str">
        <f>IF(AND('Riesgos de Gestión'!$O$25="Muy Alta",'Riesgos de Gestión'!$S$25="Moderado"),CONCATENATE("R",'Riesgos de Gestión'!$A$25),"")</f>
        <v/>
      </c>
      <c r="AA6" s="598"/>
      <c r="AB6" s="595" t="str">
        <f>IF(AND('Riesgos de Gestión'!$O$13="Muy Alta",'Riesgos de Gestión'!$S$13="Mayor"),CONCATENATE("R",'Riesgos de Gestión'!$A$13),"")</f>
        <v/>
      </c>
      <c r="AC6" s="596"/>
      <c r="AD6" s="596" t="str">
        <f>IF(AND('Riesgos de Gestión'!$O$19="Muy Alta",'Riesgos de Gestión'!$S$19="Mayor"),CONCATENATE("R",'Riesgos de Gestión'!$A$19),"")</f>
        <v/>
      </c>
      <c r="AE6" s="596"/>
      <c r="AF6" s="596" t="str">
        <f>IF(AND('Riesgos de Gestión'!$O$25="Muy Alta",'Riesgos de Gestión'!$S$25="Mayor"),CONCATENATE("R",'Riesgos de Gestión'!$A$25),"")</f>
        <v/>
      </c>
      <c r="AG6" s="598"/>
      <c r="AH6" s="610" t="str">
        <f>IF(AND('Riesgos de Gestión'!$O$13="Muy Alta",'Riesgos de Gestión'!$S$13="Catastrófico"),CONCATENATE("R",'Riesgos de Gestión'!$A$13),"")</f>
        <v/>
      </c>
      <c r="AI6" s="611"/>
      <c r="AJ6" s="611" t="str">
        <f>IF(AND('Riesgos de Gestión'!$O$19="Muy Alta",'Riesgos de Gestión'!$S$19="Catastrófico"),CONCATENATE("R",'Riesgos de Gestión'!$A$19),"")</f>
        <v/>
      </c>
      <c r="AK6" s="611"/>
      <c r="AL6" s="611" t="str">
        <f>IF(AND('Riesgos de Gestión'!$O$25="Muy Alta",'Riesgos de Gestión'!$S$25="Catastrófico"),CONCATENATE("R",'Riesgos de Gestión'!$A$25),"")</f>
        <v/>
      </c>
      <c r="AM6" s="612"/>
      <c r="AO6" s="548" t="s">
        <v>488</v>
      </c>
      <c r="AP6" s="549"/>
      <c r="AQ6" s="549"/>
      <c r="AR6" s="549"/>
      <c r="AS6" s="549"/>
      <c r="AT6" s="55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546"/>
      <c r="C7" s="546"/>
      <c r="D7" s="547"/>
      <c r="E7" s="587"/>
      <c r="F7" s="588"/>
      <c r="G7" s="588"/>
      <c r="H7" s="588"/>
      <c r="I7" s="589"/>
      <c r="J7" s="597"/>
      <c r="K7" s="593"/>
      <c r="L7" s="593"/>
      <c r="M7" s="593"/>
      <c r="N7" s="593"/>
      <c r="O7" s="594"/>
      <c r="P7" s="597"/>
      <c r="Q7" s="593"/>
      <c r="R7" s="593"/>
      <c r="S7" s="593"/>
      <c r="T7" s="593"/>
      <c r="U7" s="594"/>
      <c r="V7" s="597"/>
      <c r="W7" s="593"/>
      <c r="X7" s="593"/>
      <c r="Y7" s="593"/>
      <c r="Z7" s="593"/>
      <c r="AA7" s="594"/>
      <c r="AB7" s="597"/>
      <c r="AC7" s="593"/>
      <c r="AD7" s="593"/>
      <c r="AE7" s="593"/>
      <c r="AF7" s="593"/>
      <c r="AG7" s="594"/>
      <c r="AH7" s="604"/>
      <c r="AI7" s="605"/>
      <c r="AJ7" s="605"/>
      <c r="AK7" s="605"/>
      <c r="AL7" s="605"/>
      <c r="AM7" s="606"/>
      <c r="AN7" s="66"/>
      <c r="AO7" s="551"/>
      <c r="AP7" s="552"/>
      <c r="AQ7" s="552"/>
      <c r="AR7" s="552"/>
      <c r="AS7" s="552"/>
      <c r="AT7" s="55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546"/>
      <c r="C8" s="546"/>
      <c r="D8" s="547"/>
      <c r="E8" s="587"/>
      <c r="F8" s="588"/>
      <c r="G8" s="588"/>
      <c r="H8" s="588"/>
      <c r="I8" s="589"/>
      <c r="J8" s="597" t="str">
        <f>IF(AND('Riesgos de Gestión'!$O$31="Muy Alta",'Riesgos de Gestión'!$S$31="Leve"),CONCATENATE("R",'Riesgos de Gestión'!$A$31),"")</f>
        <v/>
      </c>
      <c r="K8" s="593"/>
      <c r="L8" s="593" t="str">
        <f>IF(AND('Riesgos de Gestión'!$O$37="Muy Alta",'Riesgos de Gestión'!$S$37="Leve"),CONCATENATE("R",'Riesgos de Gestión'!$A$37),"")</f>
        <v/>
      </c>
      <c r="M8" s="593"/>
      <c r="N8" s="593" t="str">
        <f>IF(AND('Riesgos de Gestión'!$O$43="Muy Alta",'Riesgos de Gestión'!$S$43="Leve"),CONCATENATE("R",'Riesgos de Gestión'!$A$43),"")</f>
        <v/>
      </c>
      <c r="O8" s="594"/>
      <c r="P8" s="597" t="str">
        <f>IF(AND('Riesgos de Gestión'!$O$31="Muy Alta",'Riesgos de Gestión'!$S$31="Menor"),CONCATENATE("R",'Riesgos de Gestión'!$A$31),"")</f>
        <v/>
      </c>
      <c r="Q8" s="593"/>
      <c r="R8" s="593" t="str">
        <f>IF(AND('Riesgos de Gestión'!$O$37="Muy Alta",'Riesgos de Gestión'!$S$37="Menor"),CONCATENATE("R",'Riesgos de Gestión'!$A$37),"")</f>
        <v/>
      </c>
      <c r="S8" s="593"/>
      <c r="T8" s="593" t="str">
        <f>IF(AND('Riesgos de Gestión'!$O$43="Muy Alta",'Riesgos de Gestión'!$S$43="Menor"),CONCATENATE("R",'Riesgos de Gestión'!$A$43),"")</f>
        <v/>
      </c>
      <c r="U8" s="594"/>
      <c r="V8" s="597" t="str">
        <f>IF(AND('Riesgos de Gestión'!$O$31="Muy Alta",'Riesgos de Gestión'!$S$31="Moderado"),CONCATENATE("R",'Riesgos de Gestión'!$A$31),"")</f>
        <v/>
      </c>
      <c r="W8" s="593"/>
      <c r="X8" s="593" t="str">
        <f>IF(AND('Riesgos de Gestión'!$O$37="Muy Alta",'Riesgos de Gestión'!$S$37="Moderado"),CONCATENATE("R",'Riesgos de Gestión'!$A$37),"")</f>
        <v/>
      </c>
      <c r="Y8" s="593"/>
      <c r="Z8" s="593" t="str">
        <f>IF(AND('Riesgos de Gestión'!$O$43="Muy Alta",'Riesgos de Gestión'!$S$43="Moderado"),CONCATENATE("R",'Riesgos de Gestión'!$A$43),"")</f>
        <v/>
      </c>
      <c r="AA8" s="594"/>
      <c r="AB8" s="597" t="str">
        <f>IF(AND('Riesgos de Gestión'!$O$31="Muy Alta",'Riesgos de Gestión'!$S$31="Mayor"),CONCATENATE("R",'Riesgos de Gestión'!$A$31),"")</f>
        <v/>
      </c>
      <c r="AC8" s="593"/>
      <c r="AD8" s="593" t="str">
        <f>IF(AND('Riesgos de Gestión'!$O$37="Muy Alta",'Riesgos de Gestión'!$S$37="Mayor"),CONCATENATE("R",'Riesgos de Gestión'!$A$37),"")</f>
        <v/>
      </c>
      <c r="AE8" s="593"/>
      <c r="AF8" s="593" t="str">
        <f>IF(AND('Riesgos de Gestión'!$O$43="Muy Alta",'Riesgos de Gestión'!$S$43="Mayor"),CONCATENATE("R",'Riesgos de Gestión'!$A$43),"")</f>
        <v/>
      </c>
      <c r="AG8" s="594"/>
      <c r="AH8" s="604" t="str">
        <f>IF(AND('Riesgos de Gestión'!$O$31="Muy Alta",'Riesgos de Gestión'!$S$31="Catastrófico"),CONCATENATE("R",'Riesgos de Gestión'!$A$31),"")</f>
        <v/>
      </c>
      <c r="AI8" s="605"/>
      <c r="AJ8" s="605" t="str">
        <f>IF(AND('Riesgos de Gestión'!$O$37="Muy Alta",'Riesgos de Gestión'!$S$37="Catastrófico"),CONCATENATE("R",'Riesgos de Gestión'!$A$37),"")</f>
        <v/>
      </c>
      <c r="AK8" s="605"/>
      <c r="AL8" s="605" t="str">
        <f>IF(AND('Riesgos de Gestión'!$O$43="Muy Alta",'Riesgos de Gestión'!$S$43="Catastrófico"),CONCATENATE("R",'Riesgos de Gestión'!$A$43),"")</f>
        <v/>
      </c>
      <c r="AM8" s="606"/>
      <c r="AN8" s="66"/>
      <c r="AO8" s="551"/>
      <c r="AP8" s="552"/>
      <c r="AQ8" s="552"/>
      <c r="AR8" s="552"/>
      <c r="AS8" s="552"/>
      <c r="AT8" s="55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546"/>
      <c r="C9" s="546"/>
      <c r="D9" s="547"/>
      <c r="E9" s="587"/>
      <c r="F9" s="588"/>
      <c r="G9" s="588"/>
      <c r="H9" s="588"/>
      <c r="I9" s="589"/>
      <c r="J9" s="597"/>
      <c r="K9" s="593"/>
      <c r="L9" s="593"/>
      <c r="M9" s="593"/>
      <c r="N9" s="593"/>
      <c r="O9" s="594"/>
      <c r="P9" s="597"/>
      <c r="Q9" s="593"/>
      <c r="R9" s="593"/>
      <c r="S9" s="593"/>
      <c r="T9" s="593"/>
      <c r="U9" s="594"/>
      <c r="V9" s="597"/>
      <c r="W9" s="593"/>
      <c r="X9" s="593"/>
      <c r="Y9" s="593"/>
      <c r="Z9" s="593"/>
      <c r="AA9" s="594"/>
      <c r="AB9" s="597"/>
      <c r="AC9" s="593"/>
      <c r="AD9" s="593"/>
      <c r="AE9" s="593"/>
      <c r="AF9" s="593"/>
      <c r="AG9" s="594"/>
      <c r="AH9" s="604"/>
      <c r="AI9" s="605"/>
      <c r="AJ9" s="605"/>
      <c r="AK9" s="605"/>
      <c r="AL9" s="605"/>
      <c r="AM9" s="606"/>
      <c r="AN9" s="66"/>
      <c r="AO9" s="551"/>
      <c r="AP9" s="552"/>
      <c r="AQ9" s="552"/>
      <c r="AR9" s="552"/>
      <c r="AS9" s="552"/>
      <c r="AT9" s="55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546"/>
      <c r="C10" s="546"/>
      <c r="D10" s="547"/>
      <c r="E10" s="587"/>
      <c r="F10" s="588"/>
      <c r="G10" s="588"/>
      <c r="H10" s="588"/>
      <c r="I10" s="589"/>
      <c r="J10" s="597" t="str">
        <f>IF(AND('Riesgos de Gestión'!$O$49="Muy Alta",'Riesgos de Gestión'!$S$49="Leve"),CONCATENATE("R",'Riesgos de Gestión'!$A$49),"")</f>
        <v/>
      </c>
      <c r="K10" s="593"/>
      <c r="L10" s="593" t="str">
        <f>IF(AND('Riesgos de Gestión'!$O$55="Muy Alta",'Riesgos de Gestión'!$S$55="Leve"),CONCATENATE("R",'Riesgos de Gestión'!$A$55),"")</f>
        <v/>
      </c>
      <c r="M10" s="593"/>
      <c r="N10" s="593" t="str">
        <f>IF(AND('Riesgos de Gestión'!$O$61="Muy Alta",'Riesgos de Gestión'!$S$61="Leve"),CONCATENATE("R",'Riesgos de Gestión'!$A$61),"")</f>
        <v/>
      </c>
      <c r="O10" s="594"/>
      <c r="P10" s="597" t="str">
        <f>IF(AND('Riesgos de Gestión'!$O$49="Muy Alta",'Riesgos de Gestión'!$S$49="Menor"),CONCATENATE("R",'Riesgos de Gestión'!$A$49),"")</f>
        <v/>
      </c>
      <c r="Q10" s="593"/>
      <c r="R10" s="593" t="str">
        <f>IF(AND('Riesgos de Gestión'!$O$55="Muy Alta",'Riesgos de Gestión'!$S$55="Menor"),CONCATENATE("R",'Riesgos de Gestión'!$A$55),"")</f>
        <v/>
      </c>
      <c r="S10" s="593"/>
      <c r="T10" s="593" t="str">
        <f>IF(AND('Riesgos de Gestión'!$O$61="Muy Alta",'Riesgos de Gestión'!$S$61="Menor"),CONCATENATE("R",'Riesgos de Gestión'!$A$61),"")</f>
        <v/>
      </c>
      <c r="U10" s="594"/>
      <c r="V10" s="597" t="str">
        <f>IF(AND('Riesgos de Gestión'!$O$49="Muy Alta",'Riesgos de Gestión'!$S$49="Moderado"),CONCATENATE("R",'Riesgos de Gestión'!$A$49),"")</f>
        <v/>
      </c>
      <c r="W10" s="593"/>
      <c r="X10" s="593" t="str">
        <f>IF(AND('Riesgos de Gestión'!$O$55="Muy Alta",'Riesgos de Gestión'!$S$55="Moderado"),CONCATENATE("R",'Riesgos de Gestión'!$A$55),"")</f>
        <v/>
      </c>
      <c r="Y10" s="593"/>
      <c r="Z10" s="593" t="str">
        <f>IF(AND('Riesgos de Gestión'!$O$61="Muy Alta",'Riesgos de Gestión'!$S$61="Moderado"),CONCATENATE("R",'Riesgos de Gestión'!$A$61),"")</f>
        <v/>
      </c>
      <c r="AA10" s="594"/>
      <c r="AB10" s="597" t="str">
        <f>IF(AND('Riesgos de Gestión'!$O$49="Muy Alta",'Riesgos de Gestión'!$S$49="Mayor"),CONCATENATE("R",'Riesgos de Gestión'!$A$49),"")</f>
        <v/>
      </c>
      <c r="AC10" s="593"/>
      <c r="AD10" s="593" t="str">
        <f>IF(AND('Riesgos de Gestión'!$O$55="Muy Alta",'Riesgos de Gestión'!$S$55="Mayor"),CONCATENATE("R",'Riesgos de Gestión'!$A$55),"")</f>
        <v/>
      </c>
      <c r="AE10" s="593"/>
      <c r="AF10" s="593" t="str">
        <f>IF(AND('Riesgos de Gestión'!$O$61="Muy Alta",'Riesgos de Gestión'!$S$61="Mayor"),CONCATENATE("R",'Riesgos de Gestión'!$A$61),"")</f>
        <v/>
      </c>
      <c r="AG10" s="594"/>
      <c r="AH10" s="604" t="str">
        <f>IF(AND('Riesgos de Gestión'!$O$49="Muy Alta",'Riesgos de Gestión'!$S$49="Catastrófico"),CONCATENATE("R",'Riesgos de Gestión'!$A$49),"")</f>
        <v/>
      </c>
      <c r="AI10" s="605"/>
      <c r="AJ10" s="605" t="str">
        <f>IF(AND('Riesgos de Gestión'!$O$55="Muy Alta",'Riesgos de Gestión'!$S$55="Catastrófico"),CONCATENATE("R",'Riesgos de Gestión'!$A$55),"")</f>
        <v/>
      </c>
      <c r="AK10" s="605"/>
      <c r="AL10" s="605" t="str">
        <f>IF(AND('Riesgos de Gestión'!$O$61="Muy Alta",'Riesgos de Gestión'!$S$61="Catastrófico"),CONCATENATE("R",'Riesgos de Gestión'!$A$61),"")</f>
        <v/>
      </c>
      <c r="AM10" s="606"/>
      <c r="AN10" s="66"/>
      <c r="AO10" s="551"/>
      <c r="AP10" s="552"/>
      <c r="AQ10" s="552"/>
      <c r="AR10" s="552"/>
      <c r="AS10" s="552"/>
      <c r="AT10" s="55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546"/>
      <c r="C11" s="546"/>
      <c r="D11" s="547"/>
      <c r="E11" s="587"/>
      <c r="F11" s="588"/>
      <c r="G11" s="588"/>
      <c r="H11" s="588"/>
      <c r="I11" s="589"/>
      <c r="J11" s="597"/>
      <c r="K11" s="593"/>
      <c r="L11" s="593"/>
      <c r="M11" s="593"/>
      <c r="N11" s="593"/>
      <c r="O11" s="594"/>
      <c r="P11" s="597"/>
      <c r="Q11" s="593"/>
      <c r="R11" s="593"/>
      <c r="S11" s="593"/>
      <c r="T11" s="593"/>
      <c r="U11" s="594"/>
      <c r="V11" s="597"/>
      <c r="W11" s="593"/>
      <c r="X11" s="593"/>
      <c r="Y11" s="593"/>
      <c r="Z11" s="593"/>
      <c r="AA11" s="594"/>
      <c r="AB11" s="597"/>
      <c r="AC11" s="593"/>
      <c r="AD11" s="593"/>
      <c r="AE11" s="593"/>
      <c r="AF11" s="593"/>
      <c r="AG11" s="594"/>
      <c r="AH11" s="604"/>
      <c r="AI11" s="605"/>
      <c r="AJ11" s="605"/>
      <c r="AK11" s="605"/>
      <c r="AL11" s="605"/>
      <c r="AM11" s="606"/>
      <c r="AN11" s="66"/>
      <c r="AO11" s="551"/>
      <c r="AP11" s="552"/>
      <c r="AQ11" s="552"/>
      <c r="AR11" s="552"/>
      <c r="AS11" s="552"/>
      <c r="AT11" s="55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546"/>
      <c r="C12" s="546"/>
      <c r="D12" s="547"/>
      <c r="E12" s="587"/>
      <c r="F12" s="588"/>
      <c r="G12" s="588"/>
      <c r="H12" s="588"/>
      <c r="I12" s="589"/>
      <c r="J12" s="597" t="str">
        <f>IF(AND('Riesgos de Gestión'!$O$67="Muy Alta",'Riesgos de Gestión'!$S$67="Leve"),CONCATENATE("R",'Riesgos de Gestión'!$A$67),"")</f>
        <v/>
      </c>
      <c r="K12" s="593"/>
      <c r="L12" s="593" t="str">
        <f>IF(AND('Riesgos de Gestión'!$P$73="Muy Alta",'Riesgos de Gestión'!$T$73="Leve"),CONCATENATE("R",'Riesgos de Gestión'!$A$73),"")</f>
        <v/>
      </c>
      <c r="M12" s="593"/>
      <c r="N12" s="593" t="str">
        <f>IF(AND('Riesgos de Gestión'!$P$79="Muy Alta",'Riesgos de Gestión'!$T$79="Leve"),CONCATENATE("R",'Riesgos de Gestión'!$A$79),"")</f>
        <v/>
      </c>
      <c r="O12" s="594"/>
      <c r="P12" s="597" t="str">
        <f>IF(AND('Riesgos de Gestión'!$O$67="Muy Alta",'Riesgos de Gestión'!$S$67="Menor"),CONCATENATE("R",'Riesgos de Gestión'!$A$67),"")</f>
        <v/>
      </c>
      <c r="Q12" s="593"/>
      <c r="R12" s="593" t="str">
        <f>IF(AND('Riesgos de Gestión'!$P$73="Muy Alta",'Riesgos de Gestión'!$T$73="Menor"),CONCATENATE("R",'Riesgos de Gestión'!$A$73),"")</f>
        <v/>
      </c>
      <c r="S12" s="593"/>
      <c r="T12" s="593" t="str">
        <f>IF(AND('Riesgos de Gestión'!$P$79="Muy Alta",'Riesgos de Gestión'!$T$79="Menor"),CONCATENATE("R",'Riesgos de Gestión'!$A$79),"")</f>
        <v/>
      </c>
      <c r="U12" s="594"/>
      <c r="V12" s="597" t="str">
        <f>IF(AND('Riesgos de Gestión'!$O$67="Muy Alta",'Riesgos de Gestión'!$S$67="Moderado"),CONCATENATE("R",'Riesgos de Gestión'!$A$67),"")</f>
        <v/>
      </c>
      <c r="W12" s="593"/>
      <c r="X12" s="593" t="str">
        <f>IF(AND('Riesgos de Gestión'!$P$73="Muy Alta",'Riesgos de Gestión'!$T$73="Moderado"),CONCATENATE("R",'Riesgos de Gestión'!$A$73),"")</f>
        <v/>
      </c>
      <c r="Y12" s="593"/>
      <c r="Z12" s="593" t="str">
        <f>IF(AND('Riesgos de Gestión'!$P$79="Muy Alta",'Riesgos de Gestión'!$T$79="Moderado"),CONCATENATE("R",'Riesgos de Gestión'!$A$79),"")</f>
        <v/>
      </c>
      <c r="AA12" s="594"/>
      <c r="AB12" s="597" t="str">
        <f>IF(AND('Riesgos de Gestión'!$O$67="Muy Alta",'Riesgos de Gestión'!$S$67="Mayor"),CONCATENATE("R",'Riesgos de Gestión'!$A$67),"")</f>
        <v/>
      </c>
      <c r="AC12" s="593"/>
      <c r="AD12" s="593" t="str">
        <f>IF(AND('Riesgos de Gestión'!$P$73="Muy Alta",'Riesgos de Gestión'!$T$73="Mayor"),CONCATENATE("R",'Riesgos de Gestión'!$A$73),"")</f>
        <v/>
      </c>
      <c r="AE12" s="593"/>
      <c r="AF12" s="593" t="str">
        <f>IF(AND('Riesgos de Gestión'!$P$79="Muy Alta",'Riesgos de Gestión'!$T$79="Mayor"),CONCATENATE("R",'Riesgos de Gestión'!$A$79),"")</f>
        <v/>
      </c>
      <c r="AG12" s="594"/>
      <c r="AH12" s="604" t="str">
        <f>IF(AND('Riesgos de Gestión'!$O$67="Muy Alta",'Riesgos de Gestión'!$S$67="Catastrófico"),CONCATENATE("R",'Riesgos de Gestión'!$A$67),"")</f>
        <v/>
      </c>
      <c r="AI12" s="605"/>
      <c r="AJ12" s="605" t="str">
        <f>IF(AND('Riesgos de Gestión'!$P$73="Muy Alta",'Riesgos de Gestión'!$T$73="Catastrófico"),CONCATENATE("R",'Riesgos de Gestión'!$A$73),"")</f>
        <v/>
      </c>
      <c r="AK12" s="605"/>
      <c r="AL12" s="605" t="str">
        <f>IF(AND('Riesgos de Gestión'!$P$79="Muy Alta",'Riesgos de Gestión'!$T$79="Catastrófico"),CONCATENATE("R",'Riesgos de Gestión'!$A$79),"")</f>
        <v/>
      </c>
      <c r="AM12" s="606"/>
      <c r="AN12" s="66"/>
      <c r="AO12" s="551"/>
      <c r="AP12" s="552"/>
      <c r="AQ12" s="552"/>
      <c r="AR12" s="552"/>
      <c r="AS12" s="552"/>
      <c r="AT12" s="55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546"/>
      <c r="C13" s="546"/>
      <c r="D13" s="547"/>
      <c r="E13" s="590"/>
      <c r="F13" s="591"/>
      <c r="G13" s="591"/>
      <c r="H13" s="591"/>
      <c r="I13" s="592"/>
      <c r="J13" s="597"/>
      <c r="K13" s="593"/>
      <c r="L13" s="593"/>
      <c r="M13" s="593"/>
      <c r="N13" s="593"/>
      <c r="O13" s="594"/>
      <c r="P13" s="597"/>
      <c r="Q13" s="593"/>
      <c r="R13" s="593"/>
      <c r="S13" s="593"/>
      <c r="T13" s="593"/>
      <c r="U13" s="594"/>
      <c r="V13" s="597"/>
      <c r="W13" s="593"/>
      <c r="X13" s="593"/>
      <c r="Y13" s="593"/>
      <c r="Z13" s="593"/>
      <c r="AA13" s="594"/>
      <c r="AB13" s="597"/>
      <c r="AC13" s="593"/>
      <c r="AD13" s="593"/>
      <c r="AE13" s="593"/>
      <c r="AF13" s="593"/>
      <c r="AG13" s="594"/>
      <c r="AH13" s="607"/>
      <c r="AI13" s="608"/>
      <c r="AJ13" s="608"/>
      <c r="AK13" s="608"/>
      <c r="AL13" s="608"/>
      <c r="AM13" s="609"/>
      <c r="AN13" s="66"/>
      <c r="AO13" s="554"/>
      <c r="AP13" s="555"/>
      <c r="AQ13" s="555"/>
      <c r="AR13" s="555"/>
      <c r="AS13" s="555"/>
      <c r="AT13" s="55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546"/>
      <c r="C14" s="546"/>
      <c r="D14" s="547"/>
      <c r="E14" s="584" t="s">
        <v>489</v>
      </c>
      <c r="F14" s="585"/>
      <c r="G14" s="585"/>
      <c r="H14" s="585"/>
      <c r="I14" s="585"/>
      <c r="J14" s="619" t="str">
        <f>IF(AND('Riesgos de Gestión'!$O$13="Alta",'Riesgos de Gestión'!$S$13="Leve"),CONCATENATE("R",'Riesgos de Gestión'!$A$13),"")</f>
        <v/>
      </c>
      <c r="K14" s="620"/>
      <c r="L14" s="620" t="str">
        <f>IF(AND('Riesgos de Gestión'!$O$19="Alta",'Riesgos de Gestión'!$S$19="Leve"),CONCATENATE("R",'Riesgos de Gestión'!$A$19),"")</f>
        <v/>
      </c>
      <c r="M14" s="620"/>
      <c r="N14" s="620" t="str">
        <f>IF(AND('Riesgos de Gestión'!$O$25="Alta",'Riesgos de Gestión'!$S$25="Leve"),CONCATENATE("R",'Riesgos de Gestión'!$A$25),"")</f>
        <v/>
      </c>
      <c r="O14" s="621"/>
      <c r="P14" s="619" t="str">
        <f>IF(AND('Riesgos de Gestión'!$O$13="Alta",'Riesgos de Gestión'!$S$13="Menor"),CONCATENATE("R",'Riesgos de Gestión'!$A$13),"")</f>
        <v/>
      </c>
      <c r="Q14" s="620"/>
      <c r="R14" s="620" t="str">
        <f>IF(AND('Riesgos de Gestión'!$O$19="Alta",'Riesgos de Gestión'!$S$19="Menor"),CONCATENATE("R",'Riesgos de Gestión'!$A$19),"")</f>
        <v/>
      </c>
      <c r="S14" s="620"/>
      <c r="T14" s="620" t="str">
        <f>IF(AND('Riesgos de Gestión'!$O$25="Alta",'Riesgos de Gestión'!$S$25="Menor"),CONCATENATE("R",'Riesgos de Gestión'!$A$25),"")</f>
        <v/>
      </c>
      <c r="U14" s="621"/>
      <c r="V14" s="595" t="str">
        <f>IF(AND('Riesgos de Gestión'!$O$13="Alta",'Riesgos de Gestión'!$S$13="Moderado"),CONCATENATE("R",'Riesgos de Gestión'!$A$13),"")</f>
        <v/>
      </c>
      <c r="W14" s="596"/>
      <c r="X14" s="596" t="str">
        <f>IF(AND('Riesgos de Gestión'!$O$19="Alta",'Riesgos de Gestión'!$S$19="Moderado"),CONCATENATE("R",'Riesgos de Gestión'!$A$19),"")</f>
        <v/>
      </c>
      <c r="Y14" s="596"/>
      <c r="Z14" s="596" t="str">
        <f>IF(AND('Riesgos de Gestión'!$O$25="Alta",'Riesgos de Gestión'!$S$25="Moderado"),CONCATENATE("R",'Riesgos de Gestión'!$A$25),"")</f>
        <v/>
      </c>
      <c r="AA14" s="598"/>
      <c r="AB14" s="595" t="str">
        <f>IF(AND('Riesgos de Gestión'!$O$13="Alta",'Riesgos de Gestión'!$S$13="Mayor"),CONCATENATE("R",'Riesgos de Gestión'!$A$13),"")</f>
        <v/>
      </c>
      <c r="AC14" s="596"/>
      <c r="AD14" s="596" t="str">
        <f>IF(AND('Riesgos de Gestión'!$O$19="Alta",'Riesgos de Gestión'!$S$19="Mayor"),CONCATENATE("R",'Riesgos de Gestión'!$A$19),"")</f>
        <v/>
      </c>
      <c r="AE14" s="596"/>
      <c r="AF14" s="596" t="str">
        <f>IF(AND('Riesgos de Gestión'!$O$25="Alta",'Riesgos de Gestión'!$S$25="Mayor"),CONCATENATE("R",'Riesgos de Gestión'!$A$25),"")</f>
        <v/>
      </c>
      <c r="AG14" s="598"/>
      <c r="AH14" s="610" t="str">
        <f>IF(AND('Riesgos de Gestión'!$O$13="Alta",'Riesgos de Gestión'!$S$13="Catastrófico"),CONCATENATE("R",'Riesgos de Gestión'!$A$13),"")</f>
        <v/>
      </c>
      <c r="AI14" s="611"/>
      <c r="AJ14" s="611" t="str">
        <f>IF(AND('Riesgos de Gestión'!$O$19="Alta",'Riesgos de Gestión'!$S$19="Catastrófico"),CONCATENATE("R",'Riesgos de Gestión'!$A$19),"")</f>
        <v/>
      </c>
      <c r="AK14" s="611"/>
      <c r="AL14" s="611" t="str">
        <f>IF(AND('Riesgos de Gestión'!$O$25="Alta",'Riesgos de Gestión'!$S$25="Catastrófico"),CONCATENATE("R",'Riesgos de Gestión'!$A$25),"")</f>
        <v/>
      </c>
      <c r="AM14" s="612"/>
      <c r="AN14" s="66"/>
      <c r="AO14" s="557" t="s">
        <v>490</v>
      </c>
      <c r="AP14" s="558"/>
      <c r="AQ14" s="558"/>
      <c r="AR14" s="558"/>
      <c r="AS14" s="558"/>
      <c r="AT14" s="55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546"/>
      <c r="C15" s="546"/>
      <c r="D15" s="547"/>
      <c r="E15" s="587"/>
      <c r="F15" s="588"/>
      <c r="G15" s="588"/>
      <c r="H15" s="588"/>
      <c r="I15" s="588"/>
      <c r="J15" s="613"/>
      <c r="K15" s="614"/>
      <c r="L15" s="614"/>
      <c r="M15" s="614"/>
      <c r="N15" s="614"/>
      <c r="O15" s="615"/>
      <c r="P15" s="613"/>
      <c r="Q15" s="614"/>
      <c r="R15" s="614"/>
      <c r="S15" s="614"/>
      <c r="T15" s="614"/>
      <c r="U15" s="615"/>
      <c r="V15" s="597"/>
      <c r="W15" s="593"/>
      <c r="X15" s="593"/>
      <c r="Y15" s="593"/>
      <c r="Z15" s="593"/>
      <c r="AA15" s="594"/>
      <c r="AB15" s="597"/>
      <c r="AC15" s="593"/>
      <c r="AD15" s="593"/>
      <c r="AE15" s="593"/>
      <c r="AF15" s="593"/>
      <c r="AG15" s="594"/>
      <c r="AH15" s="604"/>
      <c r="AI15" s="605"/>
      <c r="AJ15" s="605"/>
      <c r="AK15" s="605"/>
      <c r="AL15" s="605"/>
      <c r="AM15" s="606"/>
      <c r="AN15" s="66"/>
      <c r="AO15" s="560"/>
      <c r="AP15" s="561"/>
      <c r="AQ15" s="561"/>
      <c r="AR15" s="561"/>
      <c r="AS15" s="561"/>
      <c r="AT15" s="56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546"/>
      <c r="C16" s="546"/>
      <c r="D16" s="547"/>
      <c r="E16" s="587"/>
      <c r="F16" s="588"/>
      <c r="G16" s="588"/>
      <c r="H16" s="588"/>
      <c r="I16" s="588"/>
      <c r="J16" s="613" t="str">
        <f>IF(AND('Riesgos de Gestión'!$O$31="Alta",'Riesgos de Gestión'!$S$31="Leve"),CONCATENATE("R",'Riesgos de Gestión'!$A$31),"")</f>
        <v/>
      </c>
      <c r="K16" s="614"/>
      <c r="L16" s="614" t="str">
        <f>IF(AND('Riesgos de Gestión'!$O$37="Alta",'Riesgos de Gestión'!$S$37="Leve"),CONCATENATE("R",'Riesgos de Gestión'!$A$37),"")</f>
        <v/>
      </c>
      <c r="M16" s="614"/>
      <c r="N16" s="614" t="str">
        <f>IF(AND('Riesgos de Gestión'!$O$43="Alta",'Riesgos de Gestión'!$S$43="Leve"),CONCATENATE("R",'Riesgos de Gestión'!$A$43),"")</f>
        <v/>
      </c>
      <c r="O16" s="615"/>
      <c r="P16" s="613" t="str">
        <f>IF(AND('Riesgos de Gestión'!$O$31="Alta",'Riesgos de Gestión'!$S$31="Menor"),CONCATENATE("R",'Riesgos de Gestión'!$A$31),"")</f>
        <v/>
      </c>
      <c r="Q16" s="614"/>
      <c r="R16" s="614" t="str">
        <f>IF(AND('Riesgos de Gestión'!$O$37="Alta",'Riesgos de Gestión'!$S$37="Menor"),CONCATENATE("R",'Riesgos de Gestión'!$A$37),"")</f>
        <v/>
      </c>
      <c r="S16" s="614"/>
      <c r="T16" s="614" t="str">
        <f>IF(AND('Riesgos de Gestión'!$O$43="Alta",'Riesgos de Gestión'!$S$43="Menor"),CONCATENATE("R",'Riesgos de Gestión'!$A$43),"")</f>
        <v/>
      </c>
      <c r="U16" s="615"/>
      <c r="V16" s="597" t="str">
        <f>IF(AND('Riesgos de Gestión'!$O$31="Alta",'Riesgos de Gestión'!$S$31="Moderado"),CONCATENATE("R",'Riesgos de Gestión'!$A$31),"")</f>
        <v/>
      </c>
      <c r="W16" s="593"/>
      <c r="X16" s="593" t="str">
        <f>IF(AND('Riesgos de Gestión'!$O$37="Alta",'Riesgos de Gestión'!$S$37="Moderado"),CONCATENATE("R",'Riesgos de Gestión'!$A$37),"")</f>
        <v/>
      </c>
      <c r="Y16" s="593"/>
      <c r="Z16" s="593" t="str">
        <f>IF(AND('Riesgos de Gestión'!$O$43="Alta",'Riesgos de Gestión'!$S$43="Moderado"),CONCATENATE("R",'Riesgos de Gestión'!$A$43),"")</f>
        <v/>
      </c>
      <c r="AA16" s="594"/>
      <c r="AB16" s="597" t="str">
        <f>IF(AND('Riesgos de Gestión'!$O$31="Alta",'Riesgos de Gestión'!$S$31="Mayor"),CONCATENATE("R",'Riesgos de Gestión'!$A$31),"")</f>
        <v/>
      </c>
      <c r="AC16" s="593"/>
      <c r="AD16" s="593" t="str">
        <f>IF(AND('Riesgos de Gestión'!$O$37="Alta",'Riesgos de Gestión'!$S$37="Mayor"),CONCATENATE("R",'Riesgos de Gestión'!$A$37),"")</f>
        <v/>
      </c>
      <c r="AE16" s="593"/>
      <c r="AF16" s="593" t="str">
        <f>IF(AND('Riesgos de Gestión'!$O$43="Alta",'Riesgos de Gestión'!$S$43="Mayor"),CONCATENATE("R",'Riesgos de Gestión'!$A$43),"")</f>
        <v/>
      </c>
      <c r="AG16" s="594"/>
      <c r="AH16" s="604" t="str">
        <f>IF(AND('Riesgos de Gestión'!$O$31="Alta",'Riesgos de Gestión'!$S$31="Catastrófico"),CONCATENATE("R",'Riesgos de Gestión'!$A$31),"")</f>
        <v/>
      </c>
      <c r="AI16" s="605"/>
      <c r="AJ16" s="605" t="str">
        <f>IF(AND('Riesgos de Gestión'!$O$37="Alta",'Riesgos de Gestión'!$S$37="Catastrófico"),CONCATENATE("R",'Riesgos de Gestión'!$A$37),"")</f>
        <v/>
      </c>
      <c r="AK16" s="605"/>
      <c r="AL16" s="605" t="str">
        <f>IF(AND('Riesgos de Gestión'!$O$43="Alta",'Riesgos de Gestión'!$S$43="Catastrófico"),CONCATENATE("R",'Riesgos de Gestión'!$A$43),"")</f>
        <v/>
      </c>
      <c r="AM16" s="606"/>
      <c r="AN16" s="66"/>
      <c r="AO16" s="560"/>
      <c r="AP16" s="561"/>
      <c r="AQ16" s="561"/>
      <c r="AR16" s="561"/>
      <c r="AS16" s="561"/>
      <c r="AT16" s="56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546"/>
      <c r="C17" s="546"/>
      <c r="D17" s="547"/>
      <c r="E17" s="587"/>
      <c r="F17" s="588"/>
      <c r="G17" s="588"/>
      <c r="H17" s="588"/>
      <c r="I17" s="588"/>
      <c r="J17" s="613"/>
      <c r="K17" s="614"/>
      <c r="L17" s="614"/>
      <c r="M17" s="614"/>
      <c r="N17" s="614"/>
      <c r="O17" s="615"/>
      <c r="P17" s="613"/>
      <c r="Q17" s="614"/>
      <c r="R17" s="614"/>
      <c r="S17" s="614"/>
      <c r="T17" s="614"/>
      <c r="U17" s="615"/>
      <c r="V17" s="597"/>
      <c r="W17" s="593"/>
      <c r="X17" s="593"/>
      <c r="Y17" s="593"/>
      <c r="Z17" s="593"/>
      <c r="AA17" s="594"/>
      <c r="AB17" s="597"/>
      <c r="AC17" s="593"/>
      <c r="AD17" s="593"/>
      <c r="AE17" s="593"/>
      <c r="AF17" s="593"/>
      <c r="AG17" s="594"/>
      <c r="AH17" s="604"/>
      <c r="AI17" s="605"/>
      <c r="AJ17" s="605"/>
      <c r="AK17" s="605"/>
      <c r="AL17" s="605"/>
      <c r="AM17" s="606"/>
      <c r="AN17" s="66"/>
      <c r="AO17" s="560"/>
      <c r="AP17" s="561"/>
      <c r="AQ17" s="561"/>
      <c r="AR17" s="561"/>
      <c r="AS17" s="561"/>
      <c r="AT17" s="56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546"/>
      <c r="C18" s="546"/>
      <c r="D18" s="547"/>
      <c r="E18" s="587"/>
      <c r="F18" s="588"/>
      <c r="G18" s="588"/>
      <c r="H18" s="588"/>
      <c r="I18" s="588"/>
      <c r="J18" s="613" t="str">
        <f>IF(AND('Riesgos de Gestión'!$O$49="Alta",'Riesgos de Gestión'!$S$49="Leve"),CONCATENATE("R",'Riesgos de Gestión'!$A$49),"")</f>
        <v/>
      </c>
      <c r="K18" s="614"/>
      <c r="L18" s="614" t="str">
        <f>IF(AND('Riesgos de Gestión'!$O$55="Alta",'Riesgos de Gestión'!$S$55="Leve"),CONCATENATE("R",'Riesgos de Gestión'!$A$55),"")</f>
        <v/>
      </c>
      <c r="M18" s="614"/>
      <c r="N18" s="614" t="str">
        <f>IF(AND('Riesgos de Gestión'!$O$61="Alta",'Riesgos de Gestión'!$S$61="Leve"),CONCATENATE("R",'Riesgos de Gestión'!$A$61),"")</f>
        <v/>
      </c>
      <c r="O18" s="615"/>
      <c r="P18" s="613" t="str">
        <f>IF(AND('Riesgos de Gestión'!$O$49="Alta",'Riesgos de Gestión'!$S$49="Menor"),CONCATENATE("R",'Riesgos de Gestión'!$A$49),"")</f>
        <v/>
      </c>
      <c r="Q18" s="614"/>
      <c r="R18" s="614" t="str">
        <f>IF(AND('Riesgos de Gestión'!$O$55="Alta",'Riesgos de Gestión'!$S$55="Menor"),CONCATENATE("R",'Riesgos de Gestión'!$A$55),"")</f>
        <v/>
      </c>
      <c r="S18" s="614"/>
      <c r="T18" s="614" t="str">
        <f>IF(AND('Riesgos de Gestión'!$O$61="Alta",'Riesgos de Gestión'!$S$61="Menor"),CONCATENATE("R",'Riesgos de Gestión'!$A$61),"")</f>
        <v/>
      </c>
      <c r="U18" s="615"/>
      <c r="V18" s="597" t="str">
        <f>IF(AND('Riesgos de Gestión'!$O$49="Alta",'Riesgos de Gestión'!$S$49="Moderado"),CONCATENATE("R",'Riesgos de Gestión'!$A$49),"")</f>
        <v/>
      </c>
      <c r="W18" s="593"/>
      <c r="X18" s="593" t="str">
        <f>IF(AND('Riesgos de Gestión'!$O$55="Alta",'Riesgos de Gestión'!$S$55="Moderado"),CONCATENATE("R",'Riesgos de Gestión'!$A$55),"")</f>
        <v/>
      </c>
      <c r="Y18" s="593"/>
      <c r="Z18" s="593" t="str">
        <f>IF(AND('Riesgos de Gestión'!$O$61="Alta",'Riesgos de Gestión'!$S$61="Moderado"),CONCATENATE("R",'Riesgos de Gestión'!$A$61),"")</f>
        <v/>
      </c>
      <c r="AA18" s="594"/>
      <c r="AB18" s="597" t="str">
        <f>IF(AND('Riesgos de Gestión'!$O$49="Alta",'Riesgos de Gestión'!$S$49="Mayor"),CONCATENATE("R",'Riesgos de Gestión'!$A$49),"")</f>
        <v/>
      </c>
      <c r="AC18" s="593"/>
      <c r="AD18" s="593" t="str">
        <f>IF(AND('Riesgos de Gestión'!$O$55="Alta",'Riesgos de Gestión'!$S$55="Mayor"),CONCATENATE("R",'Riesgos de Gestión'!$A$55),"")</f>
        <v/>
      </c>
      <c r="AE18" s="593"/>
      <c r="AF18" s="593" t="str">
        <f>IF(AND('Riesgos de Gestión'!$O$61="Alta",'Riesgos de Gestión'!$S$61="Mayor"),CONCATENATE("R",'Riesgos de Gestión'!$A$61),"")</f>
        <v/>
      </c>
      <c r="AG18" s="594"/>
      <c r="AH18" s="604" t="str">
        <f>IF(AND('Riesgos de Gestión'!$O$49="Alta",'Riesgos de Gestión'!$S$49="Catastrófico"),CONCATENATE("R",'Riesgos de Gestión'!$A$49),"")</f>
        <v/>
      </c>
      <c r="AI18" s="605"/>
      <c r="AJ18" s="605" t="str">
        <f>IF(AND('Riesgos de Gestión'!$O$55="Alta",'Riesgos de Gestión'!$S$55="Catastrófico"),CONCATENATE("R",'Riesgos de Gestión'!$A$55),"")</f>
        <v/>
      </c>
      <c r="AK18" s="605"/>
      <c r="AL18" s="605" t="str">
        <f>IF(AND('Riesgos de Gestión'!$O$61="Alta",'Riesgos de Gestión'!$S$61="Catastrófico"),CONCATENATE("R",'Riesgos de Gestión'!$A$61),"")</f>
        <v/>
      </c>
      <c r="AM18" s="606"/>
      <c r="AN18" s="66"/>
      <c r="AO18" s="560"/>
      <c r="AP18" s="561"/>
      <c r="AQ18" s="561"/>
      <c r="AR18" s="561"/>
      <c r="AS18" s="561"/>
      <c r="AT18" s="56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546"/>
      <c r="C19" s="546"/>
      <c r="D19" s="547"/>
      <c r="E19" s="587"/>
      <c r="F19" s="588"/>
      <c r="G19" s="588"/>
      <c r="H19" s="588"/>
      <c r="I19" s="588"/>
      <c r="J19" s="613"/>
      <c r="K19" s="614"/>
      <c r="L19" s="614"/>
      <c r="M19" s="614"/>
      <c r="N19" s="614"/>
      <c r="O19" s="615"/>
      <c r="P19" s="613"/>
      <c r="Q19" s="614"/>
      <c r="R19" s="614"/>
      <c r="S19" s="614"/>
      <c r="T19" s="614"/>
      <c r="U19" s="615"/>
      <c r="V19" s="597"/>
      <c r="W19" s="593"/>
      <c r="X19" s="593"/>
      <c r="Y19" s="593"/>
      <c r="Z19" s="593"/>
      <c r="AA19" s="594"/>
      <c r="AB19" s="597"/>
      <c r="AC19" s="593"/>
      <c r="AD19" s="593"/>
      <c r="AE19" s="593"/>
      <c r="AF19" s="593"/>
      <c r="AG19" s="594"/>
      <c r="AH19" s="604"/>
      <c r="AI19" s="605"/>
      <c r="AJ19" s="605"/>
      <c r="AK19" s="605"/>
      <c r="AL19" s="605"/>
      <c r="AM19" s="606"/>
      <c r="AN19" s="66"/>
      <c r="AO19" s="560"/>
      <c r="AP19" s="561"/>
      <c r="AQ19" s="561"/>
      <c r="AR19" s="561"/>
      <c r="AS19" s="561"/>
      <c r="AT19" s="56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546"/>
      <c r="C20" s="546"/>
      <c r="D20" s="547"/>
      <c r="E20" s="587"/>
      <c r="F20" s="588"/>
      <c r="G20" s="588"/>
      <c r="H20" s="588"/>
      <c r="I20" s="588"/>
      <c r="J20" s="613" t="str">
        <f>IF(AND('Riesgos de Gestión'!$O$67="Alta",'Riesgos de Gestión'!$S$67="Leve"),CONCATENATE("R",'Riesgos de Gestión'!$A$67),"")</f>
        <v/>
      </c>
      <c r="K20" s="614"/>
      <c r="L20" s="614" t="str">
        <f>IF(AND('Riesgos de Gestión'!$P$73="Alta",'Riesgos de Gestión'!$T$73="Leve"),CONCATENATE("R",'Riesgos de Gestión'!$A$73),"")</f>
        <v/>
      </c>
      <c r="M20" s="614"/>
      <c r="N20" s="614" t="str">
        <f>IF(AND('Riesgos de Gestión'!$P$79="Alta",'Riesgos de Gestión'!$T$79="Leve"),CONCATENATE("R",'Riesgos de Gestión'!$A$79),"")</f>
        <v/>
      </c>
      <c r="O20" s="615"/>
      <c r="P20" s="613" t="str">
        <f>IF(AND('Riesgos de Gestión'!$O$67="Alta",'Riesgos de Gestión'!$S$67="Menor"),CONCATENATE("R",'Riesgos de Gestión'!$A$67),"")</f>
        <v/>
      </c>
      <c r="Q20" s="614"/>
      <c r="R20" s="614" t="str">
        <f>IF(AND('Riesgos de Gestión'!$P$73="Alta",'Riesgos de Gestión'!$T$73="Menor"),CONCATENATE("R",'Riesgos de Gestión'!$A$73),"")</f>
        <v/>
      </c>
      <c r="S20" s="614"/>
      <c r="T20" s="614" t="str">
        <f>IF(AND('Riesgos de Gestión'!$P$79="Alta",'Riesgos de Gestión'!$T$79="Menor"),CONCATENATE("R",'Riesgos de Gestión'!$A$79),"")</f>
        <v/>
      </c>
      <c r="U20" s="615"/>
      <c r="V20" s="597" t="str">
        <f>IF(AND('Riesgos de Gestión'!$O$67="Alta",'Riesgos de Gestión'!$S$67="Moderado"),CONCATENATE("R",'Riesgos de Gestión'!$A$67),"")</f>
        <v/>
      </c>
      <c r="W20" s="593"/>
      <c r="X20" s="593" t="str">
        <f>IF(AND('Riesgos de Gestión'!$P$73="Alta",'Riesgos de Gestión'!$T$73="Moderado"),CONCATENATE("R",'Riesgos de Gestión'!$A$73),"")</f>
        <v/>
      </c>
      <c r="Y20" s="593"/>
      <c r="Z20" s="593" t="str">
        <f>IF(AND('Riesgos de Gestión'!$P$79="Alta",'Riesgos de Gestión'!$T$79="Moderado"),CONCATENATE("R",'Riesgos de Gestión'!$A$79),"")</f>
        <v/>
      </c>
      <c r="AA20" s="594"/>
      <c r="AB20" s="597" t="str">
        <f>IF(AND('Riesgos de Gestión'!$O$67="Alta",'Riesgos de Gestión'!$S$67="Mayor"),CONCATENATE("R",'Riesgos de Gestión'!$A$67),"")</f>
        <v/>
      </c>
      <c r="AC20" s="593"/>
      <c r="AD20" s="593" t="str">
        <f>IF(AND('Riesgos de Gestión'!$P$73="Alta",'Riesgos de Gestión'!$T$73="Mayor"),CONCATENATE("R",'Riesgos de Gestión'!$A$73),"")</f>
        <v/>
      </c>
      <c r="AE20" s="593"/>
      <c r="AF20" s="593" t="str">
        <f>IF(AND('Riesgos de Gestión'!$P$79="Alta",'Riesgos de Gestión'!$T$79="Mayor"),CONCATENATE("R",'Riesgos de Gestión'!$A$79),"")</f>
        <v/>
      </c>
      <c r="AG20" s="594"/>
      <c r="AH20" s="604" t="str">
        <f>IF(AND('Riesgos de Gestión'!$O$67="Alta",'Riesgos de Gestión'!$S$67="Catastrófico"),CONCATENATE("R",'Riesgos de Gestión'!$A$67),"")</f>
        <v/>
      </c>
      <c r="AI20" s="605"/>
      <c r="AJ20" s="605" t="str">
        <f>IF(AND('Riesgos de Gestión'!$P$73="Alta",'Riesgos de Gestión'!$T$73="Catastrófico"),CONCATENATE("R",'Riesgos de Gestión'!$A$73),"")</f>
        <v/>
      </c>
      <c r="AK20" s="605"/>
      <c r="AL20" s="605" t="str">
        <f>IF(AND('Riesgos de Gestión'!$P$79="Alta",'Riesgos de Gestión'!$T$79="Catastrófico"),CONCATENATE("R",'Riesgos de Gestión'!$A$79),"")</f>
        <v/>
      </c>
      <c r="AM20" s="606"/>
      <c r="AN20" s="66"/>
      <c r="AO20" s="560"/>
      <c r="AP20" s="561"/>
      <c r="AQ20" s="561"/>
      <c r="AR20" s="561"/>
      <c r="AS20" s="561"/>
      <c r="AT20" s="56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546"/>
      <c r="C21" s="546"/>
      <c r="D21" s="547"/>
      <c r="E21" s="590"/>
      <c r="F21" s="591"/>
      <c r="G21" s="591"/>
      <c r="H21" s="591"/>
      <c r="I21" s="591"/>
      <c r="J21" s="616"/>
      <c r="K21" s="617"/>
      <c r="L21" s="617"/>
      <c r="M21" s="617"/>
      <c r="N21" s="617"/>
      <c r="O21" s="618"/>
      <c r="P21" s="616"/>
      <c r="Q21" s="617"/>
      <c r="R21" s="617"/>
      <c r="S21" s="617"/>
      <c r="T21" s="617"/>
      <c r="U21" s="618"/>
      <c r="V21" s="601"/>
      <c r="W21" s="602"/>
      <c r="X21" s="602"/>
      <c r="Y21" s="602"/>
      <c r="Z21" s="602"/>
      <c r="AA21" s="603"/>
      <c r="AB21" s="601"/>
      <c r="AC21" s="602"/>
      <c r="AD21" s="602"/>
      <c r="AE21" s="602"/>
      <c r="AF21" s="602"/>
      <c r="AG21" s="603"/>
      <c r="AH21" s="607"/>
      <c r="AI21" s="608"/>
      <c r="AJ21" s="608"/>
      <c r="AK21" s="608"/>
      <c r="AL21" s="608"/>
      <c r="AM21" s="609"/>
      <c r="AN21" s="66"/>
      <c r="AO21" s="563"/>
      <c r="AP21" s="564"/>
      <c r="AQ21" s="564"/>
      <c r="AR21" s="564"/>
      <c r="AS21" s="564"/>
      <c r="AT21" s="5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546"/>
      <c r="C22" s="546"/>
      <c r="D22" s="547"/>
      <c r="E22" s="584" t="s">
        <v>491</v>
      </c>
      <c r="F22" s="585"/>
      <c r="G22" s="585"/>
      <c r="H22" s="585"/>
      <c r="I22" s="586"/>
      <c r="J22" s="619" t="str">
        <f>IF(AND('Riesgos de Gestión'!$O$13="Media",'Riesgos de Gestión'!$S$13="Leve"),CONCATENATE("R",'Riesgos de Gestión'!$A$13),"")</f>
        <v/>
      </c>
      <c r="K22" s="620"/>
      <c r="L22" s="620" t="str">
        <f>IF(AND('Riesgos de Gestión'!$O$19="Media",'Riesgos de Gestión'!$S$19="Leve"),CONCATENATE("R",'Riesgos de Gestión'!$A$19),"")</f>
        <v/>
      </c>
      <c r="M22" s="620"/>
      <c r="N22" s="620" t="str">
        <f>IF(AND('Riesgos de Gestión'!$O$25="Media",'Riesgos de Gestión'!$S$25="Leve"),CONCATENATE("R",'Riesgos de Gestión'!$A$25),"")</f>
        <v/>
      </c>
      <c r="O22" s="621"/>
      <c r="P22" s="619" t="str">
        <f>IF(AND('Riesgos de Gestión'!$O$13="Media",'Riesgos de Gestión'!$S$13="Menor"),CONCATENATE("R",'Riesgos de Gestión'!$A$13),"")</f>
        <v/>
      </c>
      <c r="Q22" s="620"/>
      <c r="R22" s="620" t="str">
        <f>IF(AND('Riesgos de Gestión'!$O$19="Media",'Riesgos de Gestión'!$S$19="Menor"),CONCATENATE("R",'Riesgos de Gestión'!$A$19),"")</f>
        <v/>
      </c>
      <c r="S22" s="620"/>
      <c r="T22" s="620" t="str">
        <f>IF(AND('Riesgos de Gestión'!$O$25="Media",'Riesgos de Gestión'!$S$25="Menor"),CONCATENATE("R",'Riesgos de Gestión'!$A$25),"")</f>
        <v/>
      </c>
      <c r="U22" s="621"/>
      <c r="V22" s="619" t="str">
        <f>IF(AND('Riesgos de Gestión'!$O$13="Media",'Riesgos de Gestión'!$S$13="Moderado"),CONCATENATE("R",'Riesgos de Gestión'!$A$13),"")</f>
        <v>R1</v>
      </c>
      <c r="W22" s="620"/>
      <c r="X22" s="620" t="str">
        <f>IF(AND('Riesgos de Gestión'!$O$19="Media",'Riesgos de Gestión'!$S$19="Moderado"),CONCATENATE("R",'Riesgos de Gestión'!$A$19),"")</f>
        <v/>
      </c>
      <c r="Y22" s="620"/>
      <c r="Z22" s="620" t="str">
        <f>IF(AND('Riesgos de Gestión'!$O$25="Media",'Riesgos de Gestión'!$S$25="Moderado"),CONCATENATE("R",'Riesgos de Gestión'!$A$25),"")</f>
        <v/>
      </c>
      <c r="AA22" s="621"/>
      <c r="AB22" s="595" t="str">
        <f>IF(AND('Riesgos de Gestión'!$O$13="Media",'Riesgos de Gestión'!$S$13="Mayor"),CONCATENATE("R",'Riesgos de Gestión'!$A$13),"")</f>
        <v/>
      </c>
      <c r="AC22" s="596"/>
      <c r="AD22" s="596" t="str">
        <f>IF(AND('Riesgos de Gestión'!$O$19="Media",'Riesgos de Gestión'!$S$19="Mayor"),CONCATENATE("R",'Riesgos de Gestión'!$A$19),"")</f>
        <v/>
      </c>
      <c r="AE22" s="596"/>
      <c r="AF22" s="596" t="str">
        <f>IF(AND('Riesgos de Gestión'!$O$25="Media",'Riesgos de Gestión'!$S$25="Mayor"),CONCATENATE("R",'Riesgos de Gestión'!$A$25),"")</f>
        <v/>
      </c>
      <c r="AG22" s="598"/>
      <c r="AH22" s="610" t="str">
        <f>IF(AND('Riesgos de Gestión'!$O$13="Media",'Riesgos de Gestión'!$S$13="Catastrófico"),CONCATENATE("R",'Riesgos de Gestión'!$A$13),"")</f>
        <v/>
      </c>
      <c r="AI22" s="611"/>
      <c r="AJ22" s="611" t="str">
        <f>IF(AND('Riesgos de Gestión'!$O$19="Media",'Riesgos de Gestión'!$S$19="Catastrófico"),CONCATENATE("R",'Riesgos de Gestión'!$A$19),"")</f>
        <v/>
      </c>
      <c r="AK22" s="611"/>
      <c r="AL22" s="611" t="str">
        <f>IF(AND('Riesgos de Gestión'!$O$25="Media",'Riesgos de Gestión'!$S$25="Catastrófico"),CONCATENATE("R",'Riesgos de Gestión'!$A$25),"")</f>
        <v/>
      </c>
      <c r="AM22" s="612"/>
      <c r="AN22" s="66"/>
      <c r="AO22" s="566" t="s">
        <v>492</v>
      </c>
      <c r="AP22" s="567"/>
      <c r="AQ22" s="567"/>
      <c r="AR22" s="567"/>
      <c r="AS22" s="567"/>
      <c r="AT22" s="56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546"/>
      <c r="C23" s="546"/>
      <c r="D23" s="547"/>
      <c r="E23" s="587"/>
      <c r="F23" s="588"/>
      <c r="G23" s="588"/>
      <c r="H23" s="588"/>
      <c r="I23" s="589"/>
      <c r="J23" s="613"/>
      <c r="K23" s="614"/>
      <c r="L23" s="614"/>
      <c r="M23" s="614"/>
      <c r="N23" s="614"/>
      <c r="O23" s="615"/>
      <c r="P23" s="613"/>
      <c r="Q23" s="614"/>
      <c r="R23" s="614"/>
      <c r="S23" s="614"/>
      <c r="T23" s="614"/>
      <c r="U23" s="615"/>
      <c r="V23" s="613"/>
      <c r="W23" s="614"/>
      <c r="X23" s="614"/>
      <c r="Y23" s="614"/>
      <c r="Z23" s="614"/>
      <c r="AA23" s="615"/>
      <c r="AB23" s="597"/>
      <c r="AC23" s="593"/>
      <c r="AD23" s="593"/>
      <c r="AE23" s="593"/>
      <c r="AF23" s="593"/>
      <c r="AG23" s="594"/>
      <c r="AH23" s="604"/>
      <c r="AI23" s="605"/>
      <c r="AJ23" s="605"/>
      <c r="AK23" s="605"/>
      <c r="AL23" s="605"/>
      <c r="AM23" s="606"/>
      <c r="AN23" s="66"/>
      <c r="AO23" s="569"/>
      <c r="AP23" s="570"/>
      <c r="AQ23" s="570"/>
      <c r="AR23" s="570"/>
      <c r="AS23" s="570"/>
      <c r="AT23" s="57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546"/>
      <c r="C24" s="546"/>
      <c r="D24" s="547"/>
      <c r="E24" s="587"/>
      <c r="F24" s="588"/>
      <c r="G24" s="588"/>
      <c r="H24" s="588"/>
      <c r="I24" s="589"/>
      <c r="J24" s="613" t="str">
        <f>IF(AND('Riesgos de Gestión'!$O$31="Media",'Riesgos de Gestión'!$S$31="Leve"),CONCATENATE("R",'Riesgos de Gestión'!$A$31),"")</f>
        <v/>
      </c>
      <c r="K24" s="614"/>
      <c r="L24" s="614" t="str">
        <f>IF(AND('Riesgos de Gestión'!$O$37="Media",'Riesgos de Gestión'!$S$37="Leve"),CONCATENATE("R",'Riesgos de Gestión'!$A$37),"")</f>
        <v/>
      </c>
      <c r="M24" s="614"/>
      <c r="N24" s="614" t="str">
        <f>IF(AND('Riesgos de Gestión'!$O$43="Media",'Riesgos de Gestión'!$S$43="Leve"),CONCATENATE("R",'Riesgos de Gestión'!$A$43),"")</f>
        <v/>
      </c>
      <c r="O24" s="615"/>
      <c r="P24" s="613" t="str">
        <f>IF(AND('Riesgos de Gestión'!$O$31="Media",'Riesgos de Gestión'!$S$31="Menor"),CONCATENATE("R",'Riesgos de Gestión'!$A$31),"")</f>
        <v/>
      </c>
      <c r="Q24" s="614"/>
      <c r="R24" s="614" t="str">
        <f>IF(AND('Riesgos de Gestión'!$O$37="Media",'Riesgos de Gestión'!$S$37="Menor"),CONCATENATE("R",'Riesgos de Gestión'!$A$37),"")</f>
        <v/>
      </c>
      <c r="S24" s="614"/>
      <c r="T24" s="614" t="str">
        <f>IF(AND('Riesgos de Gestión'!$O$43="Media",'Riesgos de Gestión'!$S$43="Menor"),CONCATENATE("R",'Riesgos de Gestión'!$A$43),"")</f>
        <v/>
      </c>
      <c r="U24" s="615"/>
      <c r="V24" s="613" t="str">
        <f>IF(AND('Riesgos de Gestión'!$O$31="Media",'Riesgos de Gestión'!$S$31="Moderado"),CONCATENATE("R",'Riesgos de Gestión'!$A$31),"")</f>
        <v/>
      </c>
      <c r="W24" s="614"/>
      <c r="X24" s="614" t="str">
        <f>IF(AND('Riesgos de Gestión'!$O$37="Media",'Riesgos de Gestión'!$S$37="Moderado"),CONCATENATE("R",'Riesgos de Gestión'!$A$37),"")</f>
        <v/>
      </c>
      <c r="Y24" s="614"/>
      <c r="Z24" s="614" t="str">
        <f>IF(AND('Riesgos de Gestión'!$O$43="Media",'Riesgos de Gestión'!$S$43="Moderado"),CONCATENATE("R",'Riesgos de Gestión'!$A$43),"")</f>
        <v/>
      </c>
      <c r="AA24" s="615"/>
      <c r="AB24" s="597" t="str">
        <f>IF(AND('Riesgos de Gestión'!$O$31="Media",'Riesgos de Gestión'!$S$31="Mayor"),CONCATENATE("R",'Riesgos de Gestión'!$A$31),"")</f>
        <v/>
      </c>
      <c r="AC24" s="593"/>
      <c r="AD24" s="593" t="str">
        <f>IF(AND('Riesgos de Gestión'!$O$37="Media",'Riesgos de Gestión'!$S$37="Mayor"),CONCATENATE("R",'Riesgos de Gestión'!$A$37),"")</f>
        <v/>
      </c>
      <c r="AE24" s="593"/>
      <c r="AF24" s="593" t="str">
        <f>IF(AND('Riesgos de Gestión'!$O$43="Media",'Riesgos de Gestión'!$S$43="Mayor"),CONCATENATE("R",'Riesgos de Gestión'!$A$43),"")</f>
        <v/>
      </c>
      <c r="AG24" s="594"/>
      <c r="AH24" s="604" t="str">
        <f>IF(AND('Riesgos de Gestión'!$O$31="Media",'Riesgos de Gestión'!$S$31="Catastrófico"),CONCATENATE("R",'Riesgos de Gestión'!$A$31),"")</f>
        <v/>
      </c>
      <c r="AI24" s="605"/>
      <c r="AJ24" s="605" t="str">
        <f>IF(AND('Riesgos de Gestión'!$O$37="Media",'Riesgos de Gestión'!$S$37="Catastrófico"),CONCATENATE("R",'Riesgos de Gestión'!$A$37),"")</f>
        <v/>
      </c>
      <c r="AK24" s="605"/>
      <c r="AL24" s="605" t="str">
        <f>IF(AND('Riesgos de Gestión'!$O$43="Media",'Riesgos de Gestión'!$S$43="Catastrófico"),CONCATENATE("R",'Riesgos de Gestión'!$A$43),"")</f>
        <v/>
      </c>
      <c r="AM24" s="606"/>
      <c r="AN24" s="66"/>
      <c r="AO24" s="569"/>
      <c r="AP24" s="570"/>
      <c r="AQ24" s="570"/>
      <c r="AR24" s="570"/>
      <c r="AS24" s="570"/>
      <c r="AT24" s="57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546"/>
      <c r="C25" s="546"/>
      <c r="D25" s="547"/>
      <c r="E25" s="587"/>
      <c r="F25" s="588"/>
      <c r="G25" s="588"/>
      <c r="H25" s="588"/>
      <c r="I25" s="589"/>
      <c r="J25" s="613"/>
      <c r="K25" s="614"/>
      <c r="L25" s="614"/>
      <c r="M25" s="614"/>
      <c r="N25" s="614"/>
      <c r="O25" s="615"/>
      <c r="P25" s="613"/>
      <c r="Q25" s="614"/>
      <c r="R25" s="614"/>
      <c r="S25" s="614"/>
      <c r="T25" s="614"/>
      <c r="U25" s="615"/>
      <c r="V25" s="613"/>
      <c r="W25" s="614"/>
      <c r="X25" s="614"/>
      <c r="Y25" s="614"/>
      <c r="Z25" s="614"/>
      <c r="AA25" s="615"/>
      <c r="AB25" s="597"/>
      <c r="AC25" s="593"/>
      <c r="AD25" s="593"/>
      <c r="AE25" s="593"/>
      <c r="AF25" s="593"/>
      <c r="AG25" s="594"/>
      <c r="AH25" s="604"/>
      <c r="AI25" s="605"/>
      <c r="AJ25" s="605"/>
      <c r="AK25" s="605"/>
      <c r="AL25" s="605"/>
      <c r="AM25" s="606"/>
      <c r="AN25" s="66"/>
      <c r="AO25" s="569"/>
      <c r="AP25" s="570"/>
      <c r="AQ25" s="570"/>
      <c r="AR25" s="570"/>
      <c r="AS25" s="570"/>
      <c r="AT25" s="57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546"/>
      <c r="C26" s="546"/>
      <c r="D26" s="547"/>
      <c r="E26" s="587"/>
      <c r="F26" s="588"/>
      <c r="G26" s="588"/>
      <c r="H26" s="588"/>
      <c r="I26" s="589"/>
      <c r="J26" s="613" t="str">
        <f>IF(AND('Riesgos de Gestión'!$O$49="Media",'Riesgos de Gestión'!$S$49="Leve"),CONCATENATE("R",'Riesgos de Gestión'!$A$49),"")</f>
        <v/>
      </c>
      <c r="K26" s="614"/>
      <c r="L26" s="614" t="str">
        <f>IF(AND('Riesgos de Gestión'!$O$55="Media",'Riesgos de Gestión'!$S$55="Leve"),CONCATENATE("R",'Riesgos de Gestión'!$A$55),"")</f>
        <v/>
      </c>
      <c r="M26" s="614"/>
      <c r="N26" s="614" t="str">
        <f>IF(AND('Riesgos de Gestión'!$O$61="Media",'Riesgos de Gestión'!$S$61="Leve"),CONCATENATE("R",'Riesgos de Gestión'!$A$61),"")</f>
        <v/>
      </c>
      <c r="O26" s="615"/>
      <c r="P26" s="613" t="str">
        <f>IF(AND('Riesgos de Gestión'!$O$49="Media",'Riesgos de Gestión'!$S$49="Menor"),CONCATENATE("R",'Riesgos de Gestión'!$A$49),"")</f>
        <v/>
      </c>
      <c r="Q26" s="614"/>
      <c r="R26" s="614" t="str">
        <f>IF(AND('Riesgos de Gestión'!$O$55="Media",'Riesgos de Gestión'!$S$55="Menor"),CONCATENATE("R",'Riesgos de Gestión'!$A$55),"")</f>
        <v/>
      </c>
      <c r="S26" s="614"/>
      <c r="T26" s="614" t="str">
        <f>IF(AND('Riesgos de Gestión'!$O$61="Media",'Riesgos de Gestión'!$S$61="Menor"),CONCATENATE("R",'Riesgos de Gestión'!$A$61),"")</f>
        <v/>
      </c>
      <c r="U26" s="615"/>
      <c r="V26" s="613" t="str">
        <f>IF(AND('Riesgos de Gestión'!$O$49="Media",'Riesgos de Gestión'!$S$49="Moderado"),CONCATENATE("R",'Riesgos de Gestión'!$A$49),"")</f>
        <v/>
      </c>
      <c r="W26" s="614"/>
      <c r="X26" s="614" t="str">
        <f>IF(AND('Riesgos de Gestión'!$O$55="Media",'Riesgos de Gestión'!$S$55="Moderado"),CONCATENATE("R",'Riesgos de Gestión'!$A$55),"")</f>
        <v/>
      </c>
      <c r="Y26" s="614"/>
      <c r="Z26" s="614" t="str">
        <f>IF(AND('Riesgos de Gestión'!$O$61="Media",'Riesgos de Gestión'!$S$61="Moderado"),CONCATENATE("R",'Riesgos de Gestión'!$A$61),"")</f>
        <v/>
      </c>
      <c r="AA26" s="615"/>
      <c r="AB26" s="597" t="str">
        <f>IF(AND('Riesgos de Gestión'!$O$49="Media",'Riesgos de Gestión'!$S$49="Mayor"),CONCATENATE("R",'Riesgos de Gestión'!$A$49),"")</f>
        <v/>
      </c>
      <c r="AC26" s="593"/>
      <c r="AD26" s="593" t="str">
        <f>IF(AND('Riesgos de Gestión'!$O$55="Media",'Riesgos de Gestión'!$S$55="Mayor"),CONCATENATE("R",'Riesgos de Gestión'!$A$55),"")</f>
        <v/>
      </c>
      <c r="AE26" s="593"/>
      <c r="AF26" s="593" t="str">
        <f>IF(AND('Riesgos de Gestión'!$O$61="Media",'Riesgos de Gestión'!$S$61="Mayor"),CONCATENATE("R",'Riesgos de Gestión'!$A$61),"")</f>
        <v/>
      </c>
      <c r="AG26" s="594"/>
      <c r="AH26" s="604" t="str">
        <f>IF(AND('Riesgos de Gestión'!$O$49="Media",'Riesgos de Gestión'!$S$49="Catastrófico"),CONCATENATE("R",'Riesgos de Gestión'!$A$49),"")</f>
        <v/>
      </c>
      <c r="AI26" s="605"/>
      <c r="AJ26" s="605" t="str">
        <f>IF(AND('Riesgos de Gestión'!$O$55="Media",'Riesgos de Gestión'!$S$55="Catastrófico"),CONCATENATE("R",'Riesgos de Gestión'!$A$55),"")</f>
        <v/>
      </c>
      <c r="AK26" s="605"/>
      <c r="AL26" s="605" t="str">
        <f>IF(AND('Riesgos de Gestión'!$O$61="Media",'Riesgos de Gestión'!$S$61="Catastrófico"),CONCATENATE("R",'Riesgos de Gestión'!$A$61),"")</f>
        <v/>
      </c>
      <c r="AM26" s="606"/>
      <c r="AN26" s="66"/>
      <c r="AO26" s="569"/>
      <c r="AP26" s="570"/>
      <c r="AQ26" s="570"/>
      <c r="AR26" s="570"/>
      <c r="AS26" s="570"/>
      <c r="AT26" s="57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546"/>
      <c r="C27" s="546"/>
      <c r="D27" s="547"/>
      <c r="E27" s="587"/>
      <c r="F27" s="588"/>
      <c r="G27" s="588"/>
      <c r="H27" s="588"/>
      <c r="I27" s="589"/>
      <c r="J27" s="613"/>
      <c r="K27" s="614"/>
      <c r="L27" s="614"/>
      <c r="M27" s="614"/>
      <c r="N27" s="614"/>
      <c r="O27" s="615"/>
      <c r="P27" s="613"/>
      <c r="Q27" s="614"/>
      <c r="R27" s="614"/>
      <c r="S27" s="614"/>
      <c r="T27" s="614"/>
      <c r="U27" s="615"/>
      <c r="V27" s="613"/>
      <c r="W27" s="614"/>
      <c r="X27" s="614"/>
      <c r="Y27" s="614"/>
      <c r="Z27" s="614"/>
      <c r="AA27" s="615"/>
      <c r="AB27" s="597"/>
      <c r="AC27" s="593"/>
      <c r="AD27" s="593"/>
      <c r="AE27" s="593"/>
      <c r="AF27" s="593"/>
      <c r="AG27" s="594"/>
      <c r="AH27" s="604"/>
      <c r="AI27" s="605"/>
      <c r="AJ27" s="605"/>
      <c r="AK27" s="605"/>
      <c r="AL27" s="605"/>
      <c r="AM27" s="606"/>
      <c r="AN27" s="66"/>
      <c r="AO27" s="569"/>
      <c r="AP27" s="570"/>
      <c r="AQ27" s="570"/>
      <c r="AR27" s="570"/>
      <c r="AS27" s="570"/>
      <c r="AT27" s="57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546"/>
      <c r="C28" s="546"/>
      <c r="D28" s="547"/>
      <c r="E28" s="587"/>
      <c r="F28" s="588"/>
      <c r="G28" s="588"/>
      <c r="H28" s="588"/>
      <c r="I28" s="589"/>
      <c r="J28" s="613" t="str">
        <f>IF(AND('Riesgos de Gestión'!$O$67="Media",'Riesgos de Gestión'!$S$67="Leve"),CONCATENATE("R",'Riesgos de Gestión'!$A$67),"")</f>
        <v/>
      </c>
      <c r="K28" s="614"/>
      <c r="L28" s="614" t="str">
        <f>IF(AND('Riesgos de Gestión'!$P$73="Media",'Riesgos de Gestión'!$T$73="Leve"),CONCATENATE("R",'Riesgos de Gestión'!$A$73),"")</f>
        <v/>
      </c>
      <c r="M28" s="614"/>
      <c r="N28" s="614" t="str">
        <f>IF(AND('Riesgos de Gestión'!$P$79="Media",'Riesgos de Gestión'!$T$79="Leve"),CONCATENATE("R",'Riesgos de Gestión'!$A$79),"")</f>
        <v/>
      </c>
      <c r="O28" s="615"/>
      <c r="P28" s="613" t="str">
        <f>IF(AND('Riesgos de Gestión'!$O$67="Media",'Riesgos de Gestión'!$S$67="Menor"),CONCATENATE("R",'Riesgos de Gestión'!$A$67),"")</f>
        <v/>
      </c>
      <c r="Q28" s="614"/>
      <c r="R28" s="614" t="str">
        <f>IF(AND('Riesgos de Gestión'!$P$73="Media",'Riesgos de Gestión'!$T$73="Menor"),CONCATENATE("R",'Riesgos de Gestión'!$A$73),"")</f>
        <v/>
      </c>
      <c r="S28" s="614"/>
      <c r="T28" s="614" t="str">
        <f>IF(AND('Riesgos de Gestión'!$P$79="Media",'Riesgos de Gestión'!$T$79="Menor"),CONCATENATE("R",'Riesgos de Gestión'!$A$79),"")</f>
        <v/>
      </c>
      <c r="U28" s="615"/>
      <c r="V28" s="613" t="str">
        <f>IF(AND('Riesgos de Gestión'!$O$67="Media",'Riesgos de Gestión'!$S$67="Moderado"),CONCATENATE("R",'Riesgos de Gestión'!$A$67),"")</f>
        <v/>
      </c>
      <c r="W28" s="614"/>
      <c r="X28" s="614" t="str">
        <f>IF(AND('Riesgos de Gestión'!$P$73="Media",'Riesgos de Gestión'!$T$73="Moderado"),CONCATENATE("R",'Riesgos de Gestión'!$A$73),"")</f>
        <v/>
      </c>
      <c r="Y28" s="614"/>
      <c r="Z28" s="614" t="str">
        <f>IF(AND('Riesgos de Gestión'!$P$79="Media",'Riesgos de Gestión'!$T$79="Moderado"),CONCATENATE("R",'Riesgos de Gestión'!$A$79),"")</f>
        <v/>
      </c>
      <c r="AA28" s="615"/>
      <c r="AB28" s="597" t="str">
        <f>IF(AND('Riesgos de Gestión'!$O$67="Media",'Riesgos de Gestión'!$S$67="Mayor"),CONCATENATE("R",'Riesgos de Gestión'!$A$67),"")</f>
        <v/>
      </c>
      <c r="AC28" s="593"/>
      <c r="AD28" s="593" t="str">
        <f>IF(AND('Riesgos de Gestión'!$P$73="Media",'Riesgos de Gestión'!$T$73="Mayor"),CONCATENATE("R",'Riesgos de Gestión'!$A$73),"")</f>
        <v/>
      </c>
      <c r="AE28" s="593"/>
      <c r="AF28" s="593" t="str">
        <f>IF(AND('Riesgos de Gestión'!$P$79="Media",'Riesgos de Gestión'!$T$79="Mayor"),CONCATENATE("R",'Riesgos de Gestión'!$A$79),"")</f>
        <v/>
      </c>
      <c r="AG28" s="594"/>
      <c r="AH28" s="604" t="str">
        <f>IF(AND('Riesgos de Gestión'!$O$67="Media",'Riesgos de Gestión'!$S$67="Catastrófico"),CONCATENATE("R",'Riesgos de Gestión'!$A$67),"")</f>
        <v/>
      </c>
      <c r="AI28" s="605"/>
      <c r="AJ28" s="605" t="str">
        <f>IF(AND('Riesgos de Gestión'!$P$73="Media",'Riesgos de Gestión'!$T$73="Catastrófico"),CONCATENATE("R",'Riesgos de Gestión'!$A$73),"")</f>
        <v/>
      </c>
      <c r="AK28" s="605"/>
      <c r="AL28" s="605" t="str">
        <f>IF(AND('Riesgos de Gestión'!$P$79="Media",'Riesgos de Gestión'!$T$79="Catastrófico"),CONCATENATE("R",'Riesgos de Gestión'!$A$79),"")</f>
        <v/>
      </c>
      <c r="AM28" s="606"/>
      <c r="AN28" s="66"/>
      <c r="AO28" s="569"/>
      <c r="AP28" s="570"/>
      <c r="AQ28" s="570"/>
      <c r="AR28" s="570"/>
      <c r="AS28" s="570"/>
      <c r="AT28" s="57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546"/>
      <c r="C29" s="546"/>
      <c r="D29" s="547"/>
      <c r="E29" s="590"/>
      <c r="F29" s="591"/>
      <c r="G29" s="591"/>
      <c r="H29" s="591"/>
      <c r="I29" s="592"/>
      <c r="J29" s="613"/>
      <c r="K29" s="614"/>
      <c r="L29" s="614"/>
      <c r="M29" s="614"/>
      <c r="N29" s="614"/>
      <c r="O29" s="615"/>
      <c r="P29" s="616"/>
      <c r="Q29" s="617"/>
      <c r="R29" s="617"/>
      <c r="S29" s="617"/>
      <c r="T29" s="617"/>
      <c r="U29" s="618"/>
      <c r="V29" s="616"/>
      <c r="W29" s="617"/>
      <c r="X29" s="617"/>
      <c r="Y29" s="617"/>
      <c r="Z29" s="617"/>
      <c r="AA29" s="618"/>
      <c r="AB29" s="601"/>
      <c r="AC29" s="602"/>
      <c r="AD29" s="602"/>
      <c r="AE29" s="602"/>
      <c r="AF29" s="602"/>
      <c r="AG29" s="603"/>
      <c r="AH29" s="607"/>
      <c r="AI29" s="608"/>
      <c r="AJ29" s="608"/>
      <c r="AK29" s="608"/>
      <c r="AL29" s="608"/>
      <c r="AM29" s="609"/>
      <c r="AN29" s="66"/>
      <c r="AO29" s="572"/>
      <c r="AP29" s="573"/>
      <c r="AQ29" s="573"/>
      <c r="AR29" s="573"/>
      <c r="AS29" s="573"/>
      <c r="AT29" s="57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546"/>
      <c r="C30" s="546"/>
      <c r="D30" s="547"/>
      <c r="E30" s="584" t="s">
        <v>493</v>
      </c>
      <c r="F30" s="585"/>
      <c r="G30" s="585"/>
      <c r="H30" s="585"/>
      <c r="I30" s="585"/>
      <c r="J30" s="628" t="str">
        <f>IF(AND('Riesgos de Gestión'!$O$13="Baja",'Riesgos de Gestión'!$S$13="Leve"),CONCATENATE("R",'Riesgos de Gestión'!$A$13),"")</f>
        <v/>
      </c>
      <c r="K30" s="629"/>
      <c r="L30" s="629" t="str">
        <f>IF(AND('Riesgos de Gestión'!$O$19="Baja",'Riesgos de Gestión'!$S$19="Leve"),CONCATENATE("R",'Riesgos de Gestión'!$A$19),"")</f>
        <v/>
      </c>
      <c r="M30" s="629"/>
      <c r="N30" s="629" t="str">
        <f>IF(AND('Riesgos de Gestión'!$O$25="Baja",'Riesgos de Gestión'!$S$25="Leve"),CONCATENATE("R",'Riesgos de Gestión'!$A$25),"")</f>
        <v/>
      </c>
      <c r="O30" s="630"/>
      <c r="P30" s="620" t="str">
        <f>IF(AND('Riesgos de Gestión'!$O$13="Baja",'Riesgos de Gestión'!$S$13="Menor"),CONCATENATE("R",'Riesgos de Gestión'!$A$13),"")</f>
        <v/>
      </c>
      <c r="Q30" s="620"/>
      <c r="R30" s="620" t="str">
        <f>IF(AND('Riesgos de Gestión'!$O$19="Baja",'Riesgos de Gestión'!$S$19="Menor"),CONCATENATE("R",'Riesgos de Gestión'!$A$19),"")</f>
        <v/>
      </c>
      <c r="S30" s="620"/>
      <c r="T30" s="620" t="str">
        <f>IF(AND('Riesgos de Gestión'!$O$25="Baja",'Riesgos de Gestión'!$S$25="Menor"),CONCATENATE("R",'Riesgos de Gestión'!$A$25),"")</f>
        <v/>
      </c>
      <c r="U30" s="621"/>
      <c r="V30" s="619" t="str">
        <f>IF(AND('Riesgos de Gestión'!$O$13="Baja",'Riesgos de Gestión'!$S$13="Moderado"),CONCATENATE("R",'Riesgos de Gestión'!$A$13),"")</f>
        <v/>
      </c>
      <c r="W30" s="620"/>
      <c r="X30" s="620" t="str">
        <f>IF(AND('Riesgos de Gestión'!$O$19="Baja",'Riesgos de Gestión'!$S$19="Moderado"),CONCATENATE("R",'Riesgos de Gestión'!$A$19),"")</f>
        <v/>
      </c>
      <c r="Y30" s="620"/>
      <c r="Z30" s="620" t="str">
        <f>IF(AND('Riesgos de Gestión'!$O$25="Baja",'Riesgos de Gestión'!$S$25="Moderado"),CONCATENATE("R",'Riesgos de Gestión'!$A$25),"")</f>
        <v/>
      </c>
      <c r="AA30" s="621"/>
      <c r="AB30" s="595" t="str">
        <f>IF(AND('Riesgos de Gestión'!$O$13="Baja",'Riesgos de Gestión'!$S$13="Mayor"),CONCATENATE("R",'Riesgos de Gestión'!$A$13),"")</f>
        <v/>
      </c>
      <c r="AC30" s="596"/>
      <c r="AD30" s="596" t="str">
        <f>IF(AND('Riesgos de Gestión'!$O$19="Baja",'Riesgos de Gestión'!$S$19="Mayor"),CONCATENATE("R",'Riesgos de Gestión'!$A$19),"")</f>
        <v/>
      </c>
      <c r="AE30" s="596"/>
      <c r="AF30" s="596" t="str">
        <f>IF(AND('Riesgos de Gestión'!$O$25="Baja",'Riesgos de Gestión'!$S$25="Mayor"),CONCATENATE("R",'Riesgos de Gestión'!$A$25),"")</f>
        <v/>
      </c>
      <c r="AG30" s="598"/>
      <c r="AH30" s="610" t="str">
        <f>IF(AND('Riesgos de Gestión'!$O$13="Baja",'Riesgos de Gestión'!$S$13="Catastrófico"),CONCATENATE("R",'Riesgos de Gestión'!$A$13),"")</f>
        <v/>
      </c>
      <c r="AI30" s="611"/>
      <c r="AJ30" s="611" t="str">
        <f>IF(AND('Riesgos de Gestión'!$O$19="Baja",'Riesgos de Gestión'!$S$19="Catastrófico"),CONCATENATE("R",'Riesgos de Gestión'!$A$19),"")</f>
        <v/>
      </c>
      <c r="AK30" s="611"/>
      <c r="AL30" s="611" t="str">
        <f>IF(AND('Riesgos de Gestión'!$O$25="Baja",'Riesgos de Gestión'!$S$25="Catastrófico"),CONCATENATE("R",'Riesgos de Gestión'!$A$25),"")</f>
        <v/>
      </c>
      <c r="AM30" s="612"/>
      <c r="AN30" s="66"/>
      <c r="AO30" s="575" t="s">
        <v>494</v>
      </c>
      <c r="AP30" s="576"/>
      <c r="AQ30" s="576"/>
      <c r="AR30" s="576"/>
      <c r="AS30" s="576"/>
      <c r="AT30" s="57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546"/>
      <c r="C31" s="546"/>
      <c r="D31" s="547"/>
      <c r="E31" s="587"/>
      <c r="F31" s="588"/>
      <c r="G31" s="588"/>
      <c r="H31" s="588"/>
      <c r="I31" s="588"/>
      <c r="J31" s="624"/>
      <c r="K31" s="622"/>
      <c r="L31" s="622"/>
      <c r="M31" s="622"/>
      <c r="N31" s="622"/>
      <c r="O31" s="623"/>
      <c r="P31" s="614"/>
      <c r="Q31" s="614"/>
      <c r="R31" s="614"/>
      <c r="S31" s="614"/>
      <c r="T31" s="614"/>
      <c r="U31" s="615"/>
      <c r="V31" s="613"/>
      <c r="W31" s="614"/>
      <c r="X31" s="614"/>
      <c r="Y31" s="614"/>
      <c r="Z31" s="614"/>
      <c r="AA31" s="615"/>
      <c r="AB31" s="597"/>
      <c r="AC31" s="593"/>
      <c r="AD31" s="593"/>
      <c r="AE31" s="593"/>
      <c r="AF31" s="593"/>
      <c r="AG31" s="594"/>
      <c r="AH31" s="604"/>
      <c r="AI31" s="605"/>
      <c r="AJ31" s="605"/>
      <c r="AK31" s="605"/>
      <c r="AL31" s="605"/>
      <c r="AM31" s="606"/>
      <c r="AN31" s="66"/>
      <c r="AO31" s="578"/>
      <c r="AP31" s="579"/>
      <c r="AQ31" s="579"/>
      <c r="AR31" s="579"/>
      <c r="AS31" s="579"/>
      <c r="AT31" s="58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546"/>
      <c r="C32" s="546"/>
      <c r="D32" s="547"/>
      <c r="E32" s="587"/>
      <c r="F32" s="588"/>
      <c r="G32" s="588"/>
      <c r="H32" s="588"/>
      <c r="I32" s="588"/>
      <c r="J32" s="624" t="str">
        <f>IF(AND('Riesgos de Gestión'!$O$31="Baja",'Riesgos de Gestión'!$S$31="Leve"),CONCATENATE("R",'Riesgos de Gestión'!$A$31),"")</f>
        <v/>
      </c>
      <c r="K32" s="622"/>
      <c r="L32" s="622" t="str">
        <f>IF(AND('Riesgos de Gestión'!$O$37="Baja",'Riesgos de Gestión'!$S$37="Leve"),CONCATENATE("R",'Riesgos de Gestión'!$A$37),"")</f>
        <v/>
      </c>
      <c r="M32" s="622"/>
      <c r="N32" s="622" t="str">
        <f>IF(AND('Riesgos de Gestión'!$O$43="Baja",'Riesgos de Gestión'!$S$43="Leve"),CONCATENATE("R",'Riesgos de Gestión'!$A$43),"")</f>
        <v/>
      </c>
      <c r="O32" s="623"/>
      <c r="P32" s="614" t="str">
        <f>IF(AND('Riesgos de Gestión'!$O$31="Baja",'Riesgos de Gestión'!$S$31="Menor"),CONCATENATE("R",'Riesgos de Gestión'!$A$31),"")</f>
        <v/>
      </c>
      <c r="Q32" s="614"/>
      <c r="R32" s="614" t="str">
        <f>IF(AND('Riesgos de Gestión'!$O$37="Baja",'Riesgos de Gestión'!$S$37="Menor"),CONCATENATE("R",'Riesgos de Gestión'!$A$37),"")</f>
        <v/>
      </c>
      <c r="S32" s="614"/>
      <c r="T32" s="614" t="str">
        <f>IF(AND('Riesgos de Gestión'!$O$43="Baja",'Riesgos de Gestión'!$S$43="Menor"),CONCATENATE("R",'Riesgos de Gestión'!$A$43),"")</f>
        <v/>
      </c>
      <c r="U32" s="615"/>
      <c r="V32" s="613" t="str">
        <f>IF(AND('Riesgos de Gestión'!$O$31="Baja",'Riesgos de Gestión'!$S$31="Moderado"),CONCATENATE("R",'Riesgos de Gestión'!$A$31),"")</f>
        <v/>
      </c>
      <c r="W32" s="614"/>
      <c r="X32" s="614" t="str">
        <f>IF(AND('Riesgos de Gestión'!$O$37="Baja",'Riesgos de Gestión'!$S$37="Moderado"),CONCATENATE("R",'Riesgos de Gestión'!$A$37),"")</f>
        <v/>
      </c>
      <c r="Y32" s="614"/>
      <c r="Z32" s="614" t="str">
        <f>IF(AND('Riesgos de Gestión'!$O$43="Baja",'Riesgos de Gestión'!$S$43="Moderado"),CONCATENATE("R",'Riesgos de Gestión'!$A$43),"")</f>
        <v/>
      </c>
      <c r="AA32" s="615"/>
      <c r="AB32" s="597" t="str">
        <f>IF(AND('Riesgos de Gestión'!$O$31="Baja",'Riesgos de Gestión'!$S$31="Mayor"),CONCATENATE("R",'Riesgos de Gestión'!$A$31),"")</f>
        <v/>
      </c>
      <c r="AC32" s="593"/>
      <c r="AD32" s="593" t="str">
        <f>IF(AND('Riesgos de Gestión'!$O$37="Baja",'Riesgos de Gestión'!$S$37="Mayor"),CONCATENATE("R",'Riesgos de Gestión'!$A$37),"")</f>
        <v/>
      </c>
      <c r="AE32" s="593"/>
      <c r="AF32" s="593" t="str">
        <f>IF(AND('Riesgos de Gestión'!$O$43="Baja",'Riesgos de Gestión'!$S$43="Mayor"),CONCATENATE("R",'Riesgos de Gestión'!$A$43),"")</f>
        <v/>
      </c>
      <c r="AG32" s="594"/>
      <c r="AH32" s="604" t="str">
        <f>IF(AND('Riesgos de Gestión'!$O$31="Baja",'Riesgos de Gestión'!$S$31="Catastrófico"),CONCATENATE("R",'Riesgos de Gestión'!$A$31),"")</f>
        <v/>
      </c>
      <c r="AI32" s="605"/>
      <c r="AJ32" s="605" t="str">
        <f>IF(AND('Riesgos de Gestión'!$O$37="Baja",'Riesgos de Gestión'!$S$37="Catastrófico"),CONCATENATE("R",'Riesgos de Gestión'!$A$37),"")</f>
        <v/>
      </c>
      <c r="AK32" s="605"/>
      <c r="AL32" s="605" t="str">
        <f>IF(AND('Riesgos de Gestión'!$O$43="Baja",'Riesgos de Gestión'!$S$43="Catastrófico"),CONCATENATE("R",'Riesgos de Gestión'!$A$43),"")</f>
        <v/>
      </c>
      <c r="AM32" s="606"/>
      <c r="AN32" s="66"/>
      <c r="AO32" s="578"/>
      <c r="AP32" s="579"/>
      <c r="AQ32" s="579"/>
      <c r="AR32" s="579"/>
      <c r="AS32" s="579"/>
      <c r="AT32" s="58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546"/>
      <c r="C33" s="546"/>
      <c r="D33" s="547"/>
      <c r="E33" s="587"/>
      <c r="F33" s="588"/>
      <c r="G33" s="588"/>
      <c r="H33" s="588"/>
      <c r="I33" s="588"/>
      <c r="J33" s="624"/>
      <c r="K33" s="622"/>
      <c r="L33" s="622"/>
      <c r="M33" s="622"/>
      <c r="N33" s="622"/>
      <c r="O33" s="623"/>
      <c r="P33" s="614"/>
      <c r="Q33" s="614"/>
      <c r="R33" s="614"/>
      <c r="S33" s="614"/>
      <c r="T33" s="614"/>
      <c r="U33" s="615"/>
      <c r="V33" s="613"/>
      <c r="W33" s="614"/>
      <c r="X33" s="614"/>
      <c r="Y33" s="614"/>
      <c r="Z33" s="614"/>
      <c r="AA33" s="615"/>
      <c r="AB33" s="597"/>
      <c r="AC33" s="593"/>
      <c r="AD33" s="593"/>
      <c r="AE33" s="593"/>
      <c r="AF33" s="593"/>
      <c r="AG33" s="594"/>
      <c r="AH33" s="604"/>
      <c r="AI33" s="605"/>
      <c r="AJ33" s="605"/>
      <c r="AK33" s="605"/>
      <c r="AL33" s="605"/>
      <c r="AM33" s="606"/>
      <c r="AN33" s="66"/>
      <c r="AO33" s="578"/>
      <c r="AP33" s="579"/>
      <c r="AQ33" s="579"/>
      <c r="AR33" s="579"/>
      <c r="AS33" s="579"/>
      <c r="AT33" s="58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546"/>
      <c r="C34" s="546"/>
      <c r="D34" s="547"/>
      <c r="E34" s="587"/>
      <c r="F34" s="588"/>
      <c r="G34" s="588"/>
      <c r="H34" s="588"/>
      <c r="I34" s="588"/>
      <c r="J34" s="624" t="str">
        <f>IF(AND('Riesgos de Gestión'!$O$49="Baja",'Riesgos de Gestión'!$S$49="Leve"),CONCATENATE("R",'Riesgos de Gestión'!$A$49),"")</f>
        <v/>
      </c>
      <c r="K34" s="622"/>
      <c r="L34" s="622" t="str">
        <f>IF(AND('Riesgos de Gestión'!$O$55="Baja",'Riesgos de Gestión'!$S$55="Leve"),CONCATENATE("R",'Riesgos de Gestión'!$A$55),"")</f>
        <v/>
      </c>
      <c r="M34" s="622"/>
      <c r="N34" s="622" t="str">
        <f>IF(AND('Riesgos de Gestión'!$O$61="Baja",'Riesgos de Gestión'!$S$61="Leve"),CONCATENATE("R",'Riesgos de Gestión'!$A$61),"")</f>
        <v/>
      </c>
      <c r="O34" s="623"/>
      <c r="P34" s="614" t="str">
        <f>IF(AND('Riesgos de Gestión'!$O$49="Baja",'Riesgos de Gestión'!$S$49="Menor"),CONCATENATE("R",'Riesgos de Gestión'!$A$49),"")</f>
        <v/>
      </c>
      <c r="Q34" s="614"/>
      <c r="R34" s="614" t="str">
        <f>IF(AND('Riesgos de Gestión'!$O$55="Baja",'Riesgos de Gestión'!$S$55="Menor"),CONCATENATE("R",'Riesgos de Gestión'!$A$55),"")</f>
        <v/>
      </c>
      <c r="S34" s="614"/>
      <c r="T34" s="614" t="str">
        <f>IF(AND('Riesgos de Gestión'!$O$61="Baja",'Riesgos de Gestión'!$S$61="Menor"),CONCATENATE("R",'Riesgos de Gestión'!$A$61),"")</f>
        <v/>
      </c>
      <c r="U34" s="615"/>
      <c r="V34" s="613" t="str">
        <f>IF(AND('Riesgos de Gestión'!$O$49="Baja",'Riesgos de Gestión'!$S$49="Moderado"),CONCATENATE("R",'Riesgos de Gestión'!$A$49),"")</f>
        <v/>
      </c>
      <c r="W34" s="614"/>
      <c r="X34" s="614" t="str">
        <f>IF(AND('Riesgos de Gestión'!$O$55="Baja",'Riesgos de Gestión'!$S$55="Moderado"),CONCATENATE("R",'Riesgos de Gestión'!$A$55),"")</f>
        <v/>
      </c>
      <c r="Y34" s="614"/>
      <c r="Z34" s="614" t="str">
        <f>IF(AND('Riesgos de Gestión'!$O$61="Baja",'Riesgos de Gestión'!$S$61="Moderado"),CONCATENATE("R",'Riesgos de Gestión'!$A$61),"")</f>
        <v/>
      </c>
      <c r="AA34" s="615"/>
      <c r="AB34" s="597" t="str">
        <f>IF(AND('Riesgos de Gestión'!$O$49="Baja",'Riesgos de Gestión'!$S$49="Mayor"),CONCATENATE("R",'Riesgos de Gestión'!$A$49),"")</f>
        <v/>
      </c>
      <c r="AC34" s="593"/>
      <c r="AD34" s="593" t="str">
        <f>IF(AND('Riesgos de Gestión'!$O$55="Baja",'Riesgos de Gestión'!$S$55="Mayor"),CONCATENATE("R",'Riesgos de Gestión'!$A$55),"")</f>
        <v/>
      </c>
      <c r="AE34" s="593"/>
      <c r="AF34" s="593" t="str">
        <f>IF(AND('Riesgos de Gestión'!$O$61="Baja",'Riesgos de Gestión'!$S$61="Mayor"),CONCATENATE("R",'Riesgos de Gestión'!$A$61),"")</f>
        <v/>
      </c>
      <c r="AG34" s="594"/>
      <c r="AH34" s="604" t="str">
        <f>IF(AND('Riesgos de Gestión'!$O$49="Baja",'Riesgos de Gestión'!$S$49="Catastrófico"),CONCATENATE("R",'Riesgos de Gestión'!$A$49),"")</f>
        <v/>
      </c>
      <c r="AI34" s="605"/>
      <c r="AJ34" s="605" t="str">
        <f>IF(AND('Riesgos de Gestión'!$O$55="Baja",'Riesgos de Gestión'!$S$55="Catastrófico"),CONCATENATE("R",'Riesgos de Gestión'!$A$55),"")</f>
        <v/>
      </c>
      <c r="AK34" s="605"/>
      <c r="AL34" s="605" t="str">
        <f>IF(AND('Riesgos de Gestión'!$O$61="Baja",'Riesgos de Gestión'!$S$61="Catastrófico"),CONCATENATE("R",'Riesgos de Gestión'!$A$61),"")</f>
        <v/>
      </c>
      <c r="AM34" s="606"/>
      <c r="AN34" s="66"/>
      <c r="AO34" s="578"/>
      <c r="AP34" s="579"/>
      <c r="AQ34" s="579"/>
      <c r="AR34" s="579"/>
      <c r="AS34" s="579"/>
      <c r="AT34" s="58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546"/>
      <c r="C35" s="546"/>
      <c r="D35" s="547"/>
      <c r="E35" s="587"/>
      <c r="F35" s="588"/>
      <c r="G35" s="588"/>
      <c r="H35" s="588"/>
      <c r="I35" s="588"/>
      <c r="J35" s="624"/>
      <c r="K35" s="622"/>
      <c r="L35" s="622"/>
      <c r="M35" s="622"/>
      <c r="N35" s="622"/>
      <c r="O35" s="623"/>
      <c r="P35" s="614"/>
      <c r="Q35" s="614"/>
      <c r="R35" s="614"/>
      <c r="S35" s="614"/>
      <c r="T35" s="614"/>
      <c r="U35" s="615"/>
      <c r="V35" s="613"/>
      <c r="W35" s="614"/>
      <c r="X35" s="614"/>
      <c r="Y35" s="614"/>
      <c r="Z35" s="614"/>
      <c r="AA35" s="615"/>
      <c r="AB35" s="597"/>
      <c r="AC35" s="593"/>
      <c r="AD35" s="593"/>
      <c r="AE35" s="593"/>
      <c r="AF35" s="593"/>
      <c r="AG35" s="594"/>
      <c r="AH35" s="604"/>
      <c r="AI35" s="605"/>
      <c r="AJ35" s="605"/>
      <c r="AK35" s="605"/>
      <c r="AL35" s="605"/>
      <c r="AM35" s="606"/>
      <c r="AN35" s="66"/>
      <c r="AO35" s="578"/>
      <c r="AP35" s="579"/>
      <c r="AQ35" s="579"/>
      <c r="AR35" s="579"/>
      <c r="AS35" s="579"/>
      <c r="AT35" s="58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546"/>
      <c r="C36" s="546"/>
      <c r="D36" s="547"/>
      <c r="E36" s="587"/>
      <c r="F36" s="588"/>
      <c r="G36" s="588"/>
      <c r="H36" s="588"/>
      <c r="I36" s="588"/>
      <c r="J36" s="624" t="str">
        <f>IF(AND('Riesgos de Gestión'!$O$67="Baja",'Riesgos de Gestión'!$S$67="Leve"),CONCATENATE("R",'Riesgos de Gestión'!$A$67),"")</f>
        <v/>
      </c>
      <c r="K36" s="622"/>
      <c r="L36" s="622" t="str">
        <f>IF(AND('Riesgos de Gestión'!$P$73="Baja",'Riesgos de Gestión'!$T$73="Leve"),CONCATENATE("R",'Riesgos de Gestión'!$A$73),"")</f>
        <v/>
      </c>
      <c r="M36" s="622"/>
      <c r="N36" s="622" t="str">
        <f>IF(AND('Riesgos de Gestión'!$P$79="Baja",'Riesgos de Gestión'!$T$79="Leve"),CONCATENATE("R",'Riesgos de Gestión'!$A$79),"")</f>
        <v/>
      </c>
      <c r="O36" s="623"/>
      <c r="P36" s="614" t="str">
        <f>IF(AND('Riesgos de Gestión'!$O$67="Baja",'Riesgos de Gestión'!$S$67="Menor"),CONCATENATE("R",'Riesgos de Gestión'!$A$67),"")</f>
        <v/>
      </c>
      <c r="Q36" s="614"/>
      <c r="R36" s="614" t="str">
        <f>IF(AND('Riesgos de Gestión'!$P$73="Baja",'Riesgos de Gestión'!$T$73="Menor"),CONCATENATE("R",'Riesgos de Gestión'!$A$73),"")</f>
        <v/>
      </c>
      <c r="S36" s="614"/>
      <c r="T36" s="614" t="str">
        <f>IF(AND('Riesgos de Gestión'!$P$79="Baja",'Riesgos de Gestión'!$T$79="Menor"),CONCATENATE("R",'Riesgos de Gestión'!$A$79),"")</f>
        <v/>
      </c>
      <c r="U36" s="615"/>
      <c r="V36" s="613" t="str">
        <f>IF(AND('Riesgos de Gestión'!$O$67="Baja",'Riesgos de Gestión'!$S$67="Moderado"),CONCATENATE("R",'Riesgos de Gestión'!$A$67),"")</f>
        <v/>
      </c>
      <c r="W36" s="614"/>
      <c r="X36" s="614" t="str">
        <f>IF(AND('Riesgos de Gestión'!$P$73="Baja",'Riesgos de Gestión'!$T$73="Moderado"),CONCATENATE("R",'Riesgos de Gestión'!$A$73),"")</f>
        <v/>
      </c>
      <c r="Y36" s="614"/>
      <c r="Z36" s="614" t="str">
        <f>IF(AND('Riesgos de Gestión'!$P$79="Baja",'Riesgos de Gestión'!$T$79="Moderado"),CONCATENATE("R",'Riesgos de Gestión'!$A$79),"")</f>
        <v/>
      </c>
      <c r="AA36" s="615"/>
      <c r="AB36" s="597" t="str">
        <f>IF(AND('Riesgos de Gestión'!$O$67="Baja",'Riesgos de Gestión'!$S$67="Mayor"),CONCATENATE("R",'Riesgos de Gestión'!$A$67),"")</f>
        <v/>
      </c>
      <c r="AC36" s="593"/>
      <c r="AD36" s="593" t="str">
        <f>IF(AND('Riesgos de Gestión'!$P$73="Baja",'Riesgos de Gestión'!$T$73="Mayor"),CONCATENATE("R",'Riesgos de Gestión'!$A$73),"")</f>
        <v/>
      </c>
      <c r="AE36" s="593"/>
      <c r="AF36" s="593" t="str">
        <f>IF(AND('Riesgos de Gestión'!$P$79="Baja",'Riesgos de Gestión'!$T$79="Mayor"),CONCATENATE("R",'Riesgos de Gestión'!$A$79),"")</f>
        <v/>
      </c>
      <c r="AG36" s="594"/>
      <c r="AH36" s="604" t="str">
        <f>IF(AND('Riesgos de Gestión'!$O$67="Baja",'Riesgos de Gestión'!$S$67="Catastrófico"),CONCATENATE("R",'Riesgos de Gestión'!$A$67),"")</f>
        <v/>
      </c>
      <c r="AI36" s="605"/>
      <c r="AJ36" s="605" t="str">
        <f>IF(AND('Riesgos de Gestión'!$P$73="Baja",'Riesgos de Gestión'!$T$73="Catastrófico"),CONCATENATE("R",'Riesgos de Gestión'!$A$73),"")</f>
        <v/>
      </c>
      <c r="AK36" s="605"/>
      <c r="AL36" s="605" t="str">
        <f>IF(AND('Riesgos de Gestión'!$P$79="Baja",'Riesgos de Gestión'!$T$79="Catastrófico"),CONCATENATE("R",'Riesgos de Gestión'!$A$79),"")</f>
        <v/>
      </c>
      <c r="AM36" s="606"/>
      <c r="AN36" s="66"/>
      <c r="AO36" s="578"/>
      <c r="AP36" s="579"/>
      <c r="AQ36" s="579"/>
      <c r="AR36" s="579"/>
      <c r="AS36" s="579"/>
      <c r="AT36" s="58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546"/>
      <c r="C37" s="546"/>
      <c r="D37" s="547"/>
      <c r="E37" s="590"/>
      <c r="F37" s="591"/>
      <c r="G37" s="591"/>
      <c r="H37" s="591"/>
      <c r="I37" s="591"/>
      <c r="J37" s="625"/>
      <c r="K37" s="626"/>
      <c r="L37" s="626"/>
      <c r="M37" s="626"/>
      <c r="N37" s="626"/>
      <c r="O37" s="627"/>
      <c r="P37" s="617"/>
      <c r="Q37" s="617"/>
      <c r="R37" s="617"/>
      <c r="S37" s="617"/>
      <c r="T37" s="617"/>
      <c r="U37" s="618"/>
      <c r="V37" s="616"/>
      <c r="W37" s="617"/>
      <c r="X37" s="617"/>
      <c r="Y37" s="617"/>
      <c r="Z37" s="617"/>
      <c r="AA37" s="618"/>
      <c r="AB37" s="601"/>
      <c r="AC37" s="602"/>
      <c r="AD37" s="602"/>
      <c r="AE37" s="602"/>
      <c r="AF37" s="602"/>
      <c r="AG37" s="603"/>
      <c r="AH37" s="607"/>
      <c r="AI37" s="608"/>
      <c r="AJ37" s="608"/>
      <c r="AK37" s="608"/>
      <c r="AL37" s="608"/>
      <c r="AM37" s="609"/>
      <c r="AN37" s="66"/>
      <c r="AO37" s="581"/>
      <c r="AP37" s="582"/>
      <c r="AQ37" s="582"/>
      <c r="AR37" s="582"/>
      <c r="AS37" s="582"/>
      <c r="AT37" s="58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546"/>
      <c r="C38" s="546"/>
      <c r="D38" s="547"/>
      <c r="E38" s="584" t="s">
        <v>495</v>
      </c>
      <c r="F38" s="585"/>
      <c r="G38" s="585"/>
      <c r="H38" s="585"/>
      <c r="I38" s="586"/>
      <c r="J38" s="628" t="str">
        <f>IF(AND('Riesgos de Gestión'!$O$13="Muy Baja",'Riesgos de Gestión'!$S$13="Leve"),CONCATENATE("R",'Riesgos de Gestión'!$A$13),"")</f>
        <v/>
      </c>
      <c r="K38" s="629"/>
      <c r="L38" s="629" t="str">
        <f>IF(AND('Riesgos de Gestión'!$O$19="Muy Baja",'Riesgos de Gestión'!$S$19="Leve"),CONCATENATE("R",'Riesgos de Gestión'!$A$19),"")</f>
        <v/>
      </c>
      <c r="M38" s="629"/>
      <c r="N38" s="629" t="str">
        <f>IF(AND('Riesgos de Gestión'!$O$25="Muy Baja",'Riesgos de Gestión'!$S$25="Leve"),CONCATENATE("R",'Riesgos de Gestión'!$A$25),"")</f>
        <v/>
      </c>
      <c r="O38" s="630"/>
      <c r="P38" s="628" t="str">
        <f>IF(AND('Riesgos de Gestión'!$O$13="Muy Baja",'Riesgos de Gestión'!$S$13="Menor"),CONCATENATE("R",'Riesgos de Gestión'!$A$13),"")</f>
        <v/>
      </c>
      <c r="Q38" s="629"/>
      <c r="R38" s="629" t="str">
        <f>IF(AND('Riesgos de Gestión'!$O$19="Muy Baja",'Riesgos de Gestión'!$S$19="Menor"),CONCATENATE("R",'Riesgos de Gestión'!$A$19),"")</f>
        <v/>
      </c>
      <c r="S38" s="629"/>
      <c r="T38" s="629" t="str">
        <f>IF(AND('Riesgos de Gestión'!$O$25="Muy Baja",'Riesgos de Gestión'!$S$25="Menor"),CONCATENATE("R",'Riesgos de Gestión'!$A$25),"")</f>
        <v/>
      </c>
      <c r="U38" s="630"/>
      <c r="V38" s="619" t="str">
        <f>IF(AND('Riesgos de Gestión'!$O$13="Muy Baja",'Riesgos de Gestión'!$S$13="Moderado"),CONCATENATE("R",'Riesgos de Gestión'!$A$13),"")</f>
        <v/>
      </c>
      <c r="W38" s="620"/>
      <c r="X38" s="620" t="str">
        <f>IF(AND('Riesgos de Gestión'!$O$19="Muy Baja",'Riesgos de Gestión'!$S$19="Moderado"),CONCATENATE("R",'Riesgos de Gestión'!$A$19),"")</f>
        <v/>
      </c>
      <c r="Y38" s="620"/>
      <c r="Z38" s="620" t="str">
        <f>IF(AND('Riesgos de Gestión'!$O$25="Muy Baja",'Riesgos de Gestión'!$S$25="Moderado"),CONCATENATE("R",'Riesgos de Gestión'!$A$25),"")</f>
        <v/>
      </c>
      <c r="AA38" s="621"/>
      <c r="AB38" s="595" t="str">
        <f>IF(AND('Riesgos de Gestión'!$O$13="Muy Baja",'Riesgos de Gestión'!$S$13="Mayor"),CONCATENATE("R",'Riesgos de Gestión'!$A$13),"")</f>
        <v/>
      </c>
      <c r="AC38" s="596"/>
      <c r="AD38" s="596" t="str">
        <f>IF(AND('Riesgos de Gestión'!$O$19="Muy Baja",'Riesgos de Gestión'!$S$19="Mayor"),CONCATENATE("R",'Riesgos de Gestión'!$A$19),"")</f>
        <v/>
      </c>
      <c r="AE38" s="596"/>
      <c r="AF38" s="596" t="str">
        <f>IF(AND('Riesgos de Gestión'!$O$25="Muy Baja",'Riesgos de Gestión'!$S$25="Mayor"),CONCATENATE("R",'Riesgos de Gestión'!$A$25),"")</f>
        <v/>
      </c>
      <c r="AG38" s="598"/>
      <c r="AH38" s="610" t="str">
        <f>IF(AND('Riesgos de Gestión'!$O$13="Muy Baja",'Riesgos de Gestión'!$S$13="Catastrófico"),CONCATENATE("R",'Riesgos de Gestión'!$A$13),"")</f>
        <v/>
      </c>
      <c r="AI38" s="611"/>
      <c r="AJ38" s="611" t="str">
        <f>IF(AND('Riesgos de Gestión'!$O$19="Muy Baja",'Riesgos de Gestión'!$S$19="Catastrófico"),CONCATENATE("R",'Riesgos de Gestión'!$A$19),"")</f>
        <v/>
      </c>
      <c r="AK38" s="611"/>
      <c r="AL38" s="611" t="str">
        <f>IF(AND('Riesgos de Gestión'!$O$25="Muy Baja",'Riesgos de Gestión'!$S$25="Catastrófico"),CONCATENATE("R",'Riesgos de Gestión'!$A$25),"")</f>
        <v/>
      </c>
      <c r="AM38" s="61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546"/>
      <c r="C39" s="546"/>
      <c r="D39" s="547"/>
      <c r="E39" s="587"/>
      <c r="F39" s="588"/>
      <c r="G39" s="588"/>
      <c r="H39" s="588"/>
      <c r="I39" s="589"/>
      <c r="J39" s="624"/>
      <c r="K39" s="622"/>
      <c r="L39" s="622"/>
      <c r="M39" s="622"/>
      <c r="N39" s="622"/>
      <c r="O39" s="623"/>
      <c r="P39" s="624"/>
      <c r="Q39" s="622"/>
      <c r="R39" s="622"/>
      <c r="S39" s="622"/>
      <c r="T39" s="622"/>
      <c r="U39" s="623"/>
      <c r="V39" s="613"/>
      <c r="W39" s="614"/>
      <c r="X39" s="614"/>
      <c r="Y39" s="614"/>
      <c r="Z39" s="614"/>
      <c r="AA39" s="615"/>
      <c r="AB39" s="597"/>
      <c r="AC39" s="593"/>
      <c r="AD39" s="593"/>
      <c r="AE39" s="593"/>
      <c r="AF39" s="593"/>
      <c r="AG39" s="594"/>
      <c r="AH39" s="604"/>
      <c r="AI39" s="605"/>
      <c r="AJ39" s="605"/>
      <c r="AK39" s="605"/>
      <c r="AL39" s="605"/>
      <c r="AM39" s="60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546"/>
      <c r="C40" s="546"/>
      <c r="D40" s="547"/>
      <c r="E40" s="587"/>
      <c r="F40" s="588"/>
      <c r="G40" s="588"/>
      <c r="H40" s="588"/>
      <c r="I40" s="589"/>
      <c r="J40" s="624" t="str">
        <f>IF(AND('Riesgos de Gestión'!$O$31="Muy Baja",'Riesgos de Gestión'!$S$31="Leve"),CONCATENATE("R",'Riesgos de Gestión'!$A$31),"")</f>
        <v/>
      </c>
      <c r="K40" s="622"/>
      <c r="L40" s="622" t="str">
        <f>IF(AND('Riesgos de Gestión'!$O$37="Muy Baja",'Riesgos de Gestión'!$S$37="Leve"),CONCATENATE("R",'Riesgos de Gestión'!$A$37),"")</f>
        <v/>
      </c>
      <c r="M40" s="622"/>
      <c r="N40" s="622" t="str">
        <f>IF(AND('Riesgos de Gestión'!$O$43="Muy Baja",'Riesgos de Gestión'!$S$43="Leve"),CONCATENATE("R",'Riesgos de Gestión'!$A$43),"")</f>
        <v/>
      </c>
      <c r="O40" s="623"/>
      <c r="P40" s="624" t="str">
        <f>IF(AND('Riesgos de Gestión'!$O$31="Muy Baja",'Riesgos de Gestión'!$S$31="Menor"),CONCATENATE("R",'Riesgos de Gestión'!$A$31),"")</f>
        <v/>
      </c>
      <c r="Q40" s="622"/>
      <c r="R40" s="622" t="str">
        <f>IF(AND('Riesgos de Gestión'!$O$37="Muy Baja",'Riesgos de Gestión'!$S$37="Menor"),CONCATENATE("R",'Riesgos de Gestión'!$A$37),"")</f>
        <v/>
      </c>
      <c r="S40" s="622"/>
      <c r="T40" s="622" t="str">
        <f>IF(AND('Riesgos de Gestión'!$O$43="Muy Baja",'Riesgos de Gestión'!$S$43="Menor"),CONCATENATE("R",'Riesgos de Gestión'!$A$43),"")</f>
        <v/>
      </c>
      <c r="U40" s="623"/>
      <c r="V40" s="613" t="str">
        <f>IF(AND('Riesgos de Gestión'!$O$31="Muy Baja",'Riesgos de Gestión'!$S$31="Moderado"),CONCATENATE("R",'Riesgos de Gestión'!$A$31),"")</f>
        <v/>
      </c>
      <c r="W40" s="614"/>
      <c r="X40" s="614" t="str">
        <f>IF(AND('Riesgos de Gestión'!$O$37="Muy Baja",'Riesgos de Gestión'!$S$37="Moderado"),CONCATENATE("R",'Riesgos de Gestión'!$A$37),"")</f>
        <v/>
      </c>
      <c r="Y40" s="614"/>
      <c r="Z40" s="614" t="str">
        <f>IF(AND('Riesgos de Gestión'!$O$43="Muy Baja",'Riesgos de Gestión'!$S$43="Moderado"),CONCATENATE("R",'Riesgos de Gestión'!$A$43),"")</f>
        <v/>
      </c>
      <c r="AA40" s="615"/>
      <c r="AB40" s="597" t="str">
        <f>IF(AND('Riesgos de Gestión'!$O$31="Muy Baja",'Riesgos de Gestión'!$S$31="Mayor"),CONCATENATE("R",'Riesgos de Gestión'!$A$31),"")</f>
        <v/>
      </c>
      <c r="AC40" s="593"/>
      <c r="AD40" s="593" t="str">
        <f>IF(AND('Riesgos de Gestión'!$O$37="Muy Baja",'Riesgos de Gestión'!$S$37="Mayor"),CONCATENATE("R",'Riesgos de Gestión'!$A$37),"")</f>
        <v/>
      </c>
      <c r="AE40" s="593"/>
      <c r="AF40" s="593" t="str">
        <f>IF(AND('Riesgos de Gestión'!$O$43="Muy Baja",'Riesgos de Gestión'!$S$43="Mayor"),CONCATENATE("R",'Riesgos de Gestión'!$A$43),"")</f>
        <v/>
      </c>
      <c r="AG40" s="594"/>
      <c r="AH40" s="604" t="str">
        <f>IF(AND('Riesgos de Gestión'!$O$31="Muy Baja",'Riesgos de Gestión'!$S$31="Catastrófico"),CONCATENATE("R",'Riesgos de Gestión'!$A$31),"")</f>
        <v/>
      </c>
      <c r="AI40" s="605"/>
      <c r="AJ40" s="605" t="str">
        <f>IF(AND('Riesgos de Gestión'!$O$37="Muy Baja",'Riesgos de Gestión'!$S$37="Catastrófico"),CONCATENATE("R",'Riesgos de Gestión'!$A$37),"")</f>
        <v/>
      </c>
      <c r="AK40" s="605"/>
      <c r="AL40" s="605" t="str">
        <f>IF(AND('Riesgos de Gestión'!$O$43="Muy Baja",'Riesgos de Gestión'!$S$43="Catastrófico"),CONCATENATE("R",'Riesgos de Gestión'!$A$43),"")</f>
        <v/>
      </c>
      <c r="AM40" s="60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546"/>
      <c r="C41" s="546"/>
      <c r="D41" s="547"/>
      <c r="E41" s="587"/>
      <c r="F41" s="588"/>
      <c r="G41" s="588"/>
      <c r="H41" s="588"/>
      <c r="I41" s="589"/>
      <c r="J41" s="624"/>
      <c r="K41" s="622"/>
      <c r="L41" s="622"/>
      <c r="M41" s="622"/>
      <c r="N41" s="622"/>
      <c r="O41" s="623"/>
      <c r="P41" s="624"/>
      <c r="Q41" s="622"/>
      <c r="R41" s="622"/>
      <c r="S41" s="622"/>
      <c r="T41" s="622"/>
      <c r="U41" s="623"/>
      <c r="V41" s="613"/>
      <c r="W41" s="614"/>
      <c r="X41" s="614"/>
      <c r="Y41" s="614"/>
      <c r="Z41" s="614"/>
      <c r="AA41" s="615"/>
      <c r="AB41" s="597"/>
      <c r="AC41" s="593"/>
      <c r="AD41" s="593"/>
      <c r="AE41" s="593"/>
      <c r="AF41" s="593"/>
      <c r="AG41" s="594"/>
      <c r="AH41" s="604"/>
      <c r="AI41" s="605"/>
      <c r="AJ41" s="605"/>
      <c r="AK41" s="605"/>
      <c r="AL41" s="605"/>
      <c r="AM41" s="60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546"/>
      <c r="C42" s="546"/>
      <c r="D42" s="547"/>
      <c r="E42" s="587"/>
      <c r="F42" s="588"/>
      <c r="G42" s="588"/>
      <c r="H42" s="588"/>
      <c r="I42" s="589"/>
      <c r="J42" s="624" t="str">
        <f>IF(AND('Riesgos de Gestión'!$O$49="Muy Baja",'Riesgos de Gestión'!$S$49="Leve"),CONCATENATE("R",'Riesgos de Gestión'!$A$49),"")</f>
        <v/>
      </c>
      <c r="K42" s="622"/>
      <c r="L42" s="622" t="str">
        <f>IF(AND('Riesgos de Gestión'!$O$55="Muy Baja",'Riesgos de Gestión'!$S$55="Leve"),CONCATENATE("R",'Riesgos de Gestión'!$A$55),"")</f>
        <v/>
      </c>
      <c r="M42" s="622"/>
      <c r="N42" s="622" t="str">
        <f>IF(AND('Riesgos de Gestión'!$O$61="Muy Baja",'Riesgos de Gestión'!$S$61="Leve"),CONCATENATE("R",'Riesgos de Gestión'!$A$61),"")</f>
        <v/>
      </c>
      <c r="O42" s="623"/>
      <c r="P42" s="624" t="str">
        <f>IF(AND('Riesgos de Gestión'!$O$49="Muy Baja",'Riesgos de Gestión'!$S$49="Menor"),CONCATENATE("R",'Riesgos de Gestión'!$A$49),"")</f>
        <v/>
      </c>
      <c r="Q42" s="622"/>
      <c r="R42" s="622" t="str">
        <f>IF(AND('Riesgos de Gestión'!$O$55="Muy Baja",'Riesgos de Gestión'!$S$55="Menor"),CONCATENATE("R",'Riesgos de Gestión'!$A$55),"")</f>
        <v/>
      </c>
      <c r="S42" s="622"/>
      <c r="T42" s="622" t="str">
        <f>IF(AND('Riesgos de Gestión'!$O$61="Muy Baja",'Riesgos de Gestión'!$S$61="Menor"),CONCATENATE("R",'Riesgos de Gestión'!$A$61),"")</f>
        <v/>
      </c>
      <c r="U42" s="623"/>
      <c r="V42" s="613" t="str">
        <f>IF(AND('Riesgos de Gestión'!$O$49="Muy Baja",'Riesgos de Gestión'!$S$49="Moderado"),CONCATENATE("R",'Riesgos de Gestión'!$A$49),"")</f>
        <v/>
      </c>
      <c r="W42" s="614"/>
      <c r="X42" s="614" t="str">
        <f>IF(AND('Riesgos de Gestión'!$O$55="Muy Baja",'Riesgos de Gestión'!$S$55="Moderado"),CONCATENATE("R",'Riesgos de Gestión'!$A$55),"")</f>
        <v/>
      </c>
      <c r="Y42" s="614"/>
      <c r="Z42" s="614" t="str">
        <f>IF(AND('Riesgos de Gestión'!$O$61="Muy Baja",'Riesgos de Gestión'!$S$61="Moderado"),CONCATENATE("R",'Riesgos de Gestión'!$A$61),"")</f>
        <v/>
      </c>
      <c r="AA42" s="615"/>
      <c r="AB42" s="597" t="str">
        <f>IF(AND('Riesgos de Gestión'!$O$49="Muy Baja",'Riesgos de Gestión'!$S$49="Mayor"),CONCATENATE("R",'Riesgos de Gestión'!$A$49),"")</f>
        <v/>
      </c>
      <c r="AC42" s="593"/>
      <c r="AD42" s="593" t="str">
        <f>IF(AND('Riesgos de Gestión'!$O$55="Muy Baja",'Riesgos de Gestión'!$S$55="Mayor"),CONCATENATE("R",'Riesgos de Gestión'!$A$55),"")</f>
        <v/>
      </c>
      <c r="AE42" s="593"/>
      <c r="AF42" s="593" t="str">
        <f>IF(AND('Riesgos de Gestión'!$O$61="Muy Baja",'Riesgos de Gestión'!$S$61="Mayor"),CONCATENATE("R",'Riesgos de Gestión'!$A$61),"")</f>
        <v/>
      </c>
      <c r="AG42" s="594"/>
      <c r="AH42" s="604" t="str">
        <f>IF(AND('Riesgos de Gestión'!$O$49="Muy Baja",'Riesgos de Gestión'!$S$49="Catastrófico"),CONCATENATE("R",'Riesgos de Gestión'!$A$49),"")</f>
        <v/>
      </c>
      <c r="AI42" s="605"/>
      <c r="AJ42" s="605" t="str">
        <f>IF(AND('Riesgos de Gestión'!$O$55="Muy Baja",'Riesgos de Gestión'!$S$55="Catastrófico"),CONCATENATE("R",'Riesgos de Gestión'!$A$55),"")</f>
        <v/>
      </c>
      <c r="AK42" s="605"/>
      <c r="AL42" s="605" t="str">
        <f>IF(AND('Riesgos de Gestión'!$O$61="Muy Baja",'Riesgos de Gestión'!$S$61="Catastrófico"),CONCATENATE("R",'Riesgos de Gestión'!$A$61),"")</f>
        <v/>
      </c>
      <c r="AM42" s="60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546"/>
      <c r="C43" s="546"/>
      <c r="D43" s="547"/>
      <c r="E43" s="587"/>
      <c r="F43" s="588"/>
      <c r="G43" s="588"/>
      <c r="H43" s="588"/>
      <c r="I43" s="589"/>
      <c r="J43" s="624"/>
      <c r="K43" s="622"/>
      <c r="L43" s="622"/>
      <c r="M43" s="622"/>
      <c r="N43" s="622"/>
      <c r="O43" s="623"/>
      <c r="P43" s="624"/>
      <c r="Q43" s="622"/>
      <c r="R43" s="622"/>
      <c r="S43" s="622"/>
      <c r="T43" s="622"/>
      <c r="U43" s="623"/>
      <c r="V43" s="613"/>
      <c r="W43" s="614"/>
      <c r="X43" s="614"/>
      <c r="Y43" s="614"/>
      <c r="Z43" s="614"/>
      <c r="AA43" s="615"/>
      <c r="AB43" s="597"/>
      <c r="AC43" s="593"/>
      <c r="AD43" s="593"/>
      <c r="AE43" s="593"/>
      <c r="AF43" s="593"/>
      <c r="AG43" s="594"/>
      <c r="AH43" s="604"/>
      <c r="AI43" s="605"/>
      <c r="AJ43" s="605"/>
      <c r="AK43" s="605"/>
      <c r="AL43" s="605"/>
      <c r="AM43" s="60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546"/>
      <c r="C44" s="546"/>
      <c r="D44" s="547"/>
      <c r="E44" s="587"/>
      <c r="F44" s="588"/>
      <c r="G44" s="588"/>
      <c r="H44" s="588"/>
      <c r="I44" s="589"/>
      <c r="J44" s="624" t="str">
        <f>IF(AND('Riesgos de Gestión'!$O$67="Muy Baja",'Riesgos de Gestión'!$S$67="Leve"),CONCATENATE("R",'Riesgos de Gestión'!$A$67),"")</f>
        <v/>
      </c>
      <c r="K44" s="622"/>
      <c r="L44" s="622" t="str">
        <f>IF(AND('Riesgos de Gestión'!$P$73="Muy Baja",'Riesgos de Gestión'!$T$73="Leve"),CONCATENATE("R",'Riesgos de Gestión'!$A$73),"")</f>
        <v/>
      </c>
      <c r="M44" s="622"/>
      <c r="N44" s="622" t="str">
        <f>IF(AND('Riesgos de Gestión'!$P$79="Muy Baja",'Riesgos de Gestión'!$T$79="Leve"),CONCATENATE("R",'Riesgos de Gestión'!$A$79),"")</f>
        <v/>
      </c>
      <c r="O44" s="623"/>
      <c r="P44" s="624" t="str">
        <f>IF(AND('Riesgos de Gestión'!$O$67="Muy Baja",'Riesgos de Gestión'!$S$67="Menor"),CONCATENATE("R",'Riesgos de Gestión'!$A$67),"")</f>
        <v/>
      </c>
      <c r="Q44" s="622"/>
      <c r="R44" s="622" t="str">
        <f>IF(AND('Riesgos de Gestión'!$P$73="Muy Baja",'Riesgos de Gestión'!$T$73="Menor"),CONCATENATE("R",'Riesgos de Gestión'!$A$73),"")</f>
        <v/>
      </c>
      <c r="S44" s="622"/>
      <c r="T44" s="622" t="str">
        <f>IF(AND('Riesgos de Gestión'!$P$79="Muy Baja",'Riesgos de Gestión'!$T$79="Menor"),CONCATENATE("R",'Riesgos de Gestión'!$A$79),"")</f>
        <v/>
      </c>
      <c r="U44" s="623"/>
      <c r="V44" s="613" t="str">
        <f>IF(AND('Riesgos de Gestión'!$O$67="Muy Baja",'Riesgos de Gestión'!$S$67="Moderado"),CONCATENATE("R",'Riesgos de Gestión'!$A$67),"")</f>
        <v/>
      </c>
      <c r="W44" s="614"/>
      <c r="X44" s="614" t="str">
        <f>IF(AND('Riesgos de Gestión'!$P$73="Muy Baja",'Riesgos de Gestión'!$T$73="Moderado"),CONCATENATE("R",'Riesgos de Gestión'!$A$73),"")</f>
        <v/>
      </c>
      <c r="Y44" s="614"/>
      <c r="Z44" s="614" t="str">
        <f>IF(AND('Riesgos de Gestión'!$P$79="Muy Baja",'Riesgos de Gestión'!$T$79="Moderado"),CONCATENATE("R",'Riesgos de Gestión'!$A$79),"")</f>
        <v/>
      </c>
      <c r="AA44" s="615"/>
      <c r="AB44" s="597" t="str">
        <f>IF(AND('Riesgos de Gestión'!$O$67="Muy Baja",'Riesgos de Gestión'!$S$67="Mayor"),CONCATENATE("R",'Riesgos de Gestión'!$A$67),"")</f>
        <v/>
      </c>
      <c r="AC44" s="593"/>
      <c r="AD44" s="593" t="str">
        <f>IF(AND('Riesgos de Gestión'!$P$73="Muy Baja",'Riesgos de Gestión'!$T$73="Mayor"),CONCATENATE("R",'Riesgos de Gestión'!$A$73),"")</f>
        <v/>
      </c>
      <c r="AE44" s="593"/>
      <c r="AF44" s="593" t="str">
        <f>IF(AND('Riesgos de Gestión'!$P$79="Muy Baja",'Riesgos de Gestión'!$T$79="Mayor"),CONCATENATE("R",'Riesgos de Gestión'!$A$79),"")</f>
        <v/>
      </c>
      <c r="AG44" s="594"/>
      <c r="AH44" s="604" t="str">
        <f>IF(AND('Riesgos de Gestión'!$O$67="Muy Baja",'Riesgos de Gestión'!$S$67="Catastrófico"),CONCATENATE("R",'Riesgos de Gestión'!$A$67),"")</f>
        <v/>
      </c>
      <c r="AI44" s="605"/>
      <c r="AJ44" s="605" t="str">
        <f>IF(AND('Riesgos de Gestión'!$P$73="Muy Baja",'Riesgos de Gestión'!$T$73="Catastrófico"),CONCATENATE("R",'Riesgos de Gestión'!$A$73),"")</f>
        <v/>
      </c>
      <c r="AK44" s="605"/>
      <c r="AL44" s="605" t="str">
        <f>IF(AND('Riesgos de Gestión'!$P$79="Muy Baja",'Riesgos de Gestión'!$T$79="Catastrófico"),CONCATENATE("R",'Riesgos de Gestión'!$A$79),"")</f>
        <v/>
      </c>
      <c r="AM44" s="60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546"/>
      <c r="C45" s="546"/>
      <c r="D45" s="547"/>
      <c r="E45" s="590"/>
      <c r="F45" s="591"/>
      <c r="G45" s="591"/>
      <c r="H45" s="591"/>
      <c r="I45" s="592"/>
      <c r="J45" s="625"/>
      <c r="K45" s="626"/>
      <c r="L45" s="626"/>
      <c r="M45" s="626"/>
      <c r="N45" s="626"/>
      <c r="O45" s="627"/>
      <c r="P45" s="625"/>
      <c r="Q45" s="626"/>
      <c r="R45" s="626"/>
      <c r="S45" s="626"/>
      <c r="T45" s="626"/>
      <c r="U45" s="627"/>
      <c r="V45" s="616"/>
      <c r="W45" s="617"/>
      <c r="X45" s="617"/>
      <c r="Y45" s="617"/>
      <c r="Z45" s="617"/>
      <c r="AA45" s="618"/>
      <c r="AB45" s="601"/>
      <c r="AC45" s="602"/>
      <c r="AD45" s="602"/>
      <c r="AE45" s="602"/>
      <c r="AF45" s="602"/>
      <c r="AG45" s="603"/>
      <c r="AH45" s="607"/>
      <c r="AI45" s="608"/>
      <c r="AJ45" s="608"/>
      <c r="AK45" s="608"/>
      <c r="AL45" s="608"/>
      <c r="AM45" s="60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584" t="s">
        <v>496</v>
      </c>
      <c r="K46" s="585"/>
      <c r="L46" s="585"/>
      <c r="M46" s="585"/>
      <c r="N46" s="585"/>
      <c r="O46" s="586"/>
      <c r="P46" s="584" t="s">
        <v>497</v>
      </c>
      <c r="Q46" s="585"/>
      <c r="R46" s="585"/>
      <c r="S46" s="585"/>
      <c r="T46" s="585"/>
      <c r="U46" s="586"/>
      <c r="V46" s="584" t="s">
        <v>498</v>
      </c>
      <c r="W46" s="585"/>
      <c r="X46" s="585"/>
      <c r="Y46" s="585"/>
      <c r="Z46" s="585"/>
      <c r="AA46" s="586"/>
      <c r="AB46" s="584" t="s">
        <v>499</v>
      </c>
      <c r="AC46" s="600"/>
      <c r="AD46" s="585"/>
      <c r="AE46" s="585"/>
      <c r="AF46" s="585"/>
      <c r="AG46" s="586"/>
      <c r="AH46" s="584" t="s">
        <v>500</v>
      </c>
      <c r="AI46" s="585"/>
      <c r="AJ46" s="585"/>
      <c r="AK46" s="585"/>
      <c r="AL46" s="585"/>
      <c r="AM46" s="58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587"/>
      <c r="K47" s="588"/>
      <c r="L47" s="588"/>
      <c r="M47" s="588"/>
      <c r="N47" s="588"/>
      <c r="O47" s="589"/>
      <c r="P47" s="587"/>
      <c r="Q47" s="588"/>
      <c r="R47" s="588"/>
      <c r="S47" s="588"/>
      <c r="T47" s="588"/>
      <c r="U47" s="589"/>
      <c r="V47" s="587"/>
      <c r="W47" s="588"/>
      <c r="X47" s="588"/>
      <c r="Y47" s="588"/>
      <c r="Z47" s="588"/>
      <c r="AA47" s="589"/>
      <c r="AB47" s="587"/>
      <c r="AC47" s="588"/>
      <c r="AD47" s="588"/>
      <c r="AE47" s="588"/>
      <c r="AF47" s="588"/>
      <c r="AG47" s="589"/>
      <c r="AH47" s="587"/>
      <c r="AI47" s="588"/>
      <c r="AJ47" s="588"/>
      <c r="AK47" s="588"/>
      <c r="AL47" s="588"/>
      <c r="AM47" s="58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587"/>
      <c r="K48" s="588"/>
      <c r="L48" s="588"/>
      <c r="M48" s="588"/>
      <c r="N48" s="588"/>
      <c r="O48" s="589"/>
      <c r="P48" s="587"/>
      <c r="Q48" s="588"/>
      <c r="R48" s="588"/>
      <c r="S48" s="588"/>
      <c r="T48" s="588"/>
      <c r="U48" s="589"/>
      <c r="V48" s="587"/>
      <c r="W48" s="588"/>
      <c r="X48" s="588"/>
      <c r="Y48" s="588"/>
      <c r="Z48" s="588"/>
      <c r="AA48" s="589"/>
      <c r="AB48" s="587"/>
      <c r="AC48" s="588"/>
      <c r="AD48" s="588"/>
      <c r="AE48" s="588"/>
      <c r="AF48" s="588"/>
      <c r="AG48" s="589"/>
      <c r="AH48" s="587"/>
      <c r="AI48" s="588"/>
      <c r="AJ48" s="588"/>
      <c r="AK48" s="588"/>
      <c r="AL48" s="588"/>
      <c r="AM48" s="58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587"/>
      <c r="K49" s="588"/>
      <c r="L49" s="588"/>
      <c r="M49" s="588"/>
      <c r="N49" s="588"/>
      <c r="O49" s="589"/>
      <c r="P49" s="587"/>
      <c r="Q49" s="588"/>
      <c r="R49" s="588"/>
      <c r="S49" s="588"/>
      <c r="T49" s="588"/>
      <c r="U49" s="589"/>
      <c r="V49" s="587"/>
      <c r="W49" s="588"/>
      <c r="X49" s="588"/>
      <c r="Y49" s="588"/>
      <c r="Z49" s="588"/>
      <c r="AA49" s="589"/>
      <c r="AB49" s="587"/>
      <c r="AC49" s="588"/>
      <c r="AD49" s="588"/>
      <c r="AE49" s="588"/>
      <c r="AF49" s="588"/>
      <c r="AG49" s="589"/>
      <c r="AH49" s="587"/>
      <c r="AI49" s="588"/>
      <c r="AJ49" s="588"/>
      <c r="AK49" s="588"/>
      <c r="AL49" s="588"/>
      <c r="AM49" s="58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587"/>
      <c r="K50" s="588"/>
      <c r="L50" s="588"/>
      <c r="M50" s="588"/>
      <c r="N50" s="588"/>
      <c r="O50" s="589"/>
      <c r="P50" s="587"/>
      <c r="Q50" s="588"/>
      <c r="R50" s="588"/>
      <c r="S50" s="588"/>
      <c r="T50" s="588"/>
      <c r="U50" s="589"/>
      <c r="V50" s="587"/>
      <c r="W50" s="588"/>
      <c r="X50" s="588"/>
      <c r="Y50" s="588"/>
      <c r="Z50" s="588"/>
      <c r="AA50" s="589"/>
      <c r="AB50" s="587"/>
      <c r="AC50" s="588"/>
      <c r="AD50" s="588"/>
      <c r="AE50" s="588"/>
      <c r="AF50" s="588"/>
      <c r="AG50" s="589"/>
      <c r="AH50" s="587"/>
      <c r="AI50" s="588"/>
      <c r="AJ50" s="588"/>
      <c r="AK50" s="588"/>
      <c r="AL50" s="588"/>
      <c r="AM50" s="58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590"/>
      <c r="K51" s="591"/>
      <c r="L51" s="591"/>
      <c r="M51" s="591"/>
      <c r="N51" s="591"/>
      <c r="O51" s="592"/>
      <c r="P51" s="590"/>
      <c r="Q51" s="591"/>
      <c r="R51" s="591"/>
      <c r="S51" s="591"/>
      <c r="T51" s="591"/>
      <c r="U51" s="592"/>
      <c r="V51" s="590"/>
      <c r="W51" s="591"/>
      <c r="X51" s="591"/>
      <c r="Y51" s="591"/>
      <c r="Z51" s="591"/>
      <c r="AA51" s="592"/>
      <c r="AB51" s="590"/>
      <c r="AC51" s="591"/>
      <c r="AD51" s="591"/>
      <c r="AE51" s="591"/>
      <c r="AF51" s="591"/>
      <c r="AG51" s="592"/>
      <c r="AH51" s="590"/>
      <c r="AI51" s="591"/>
      <c r="AJ51" s="591"/>
      <c r="AK51" s="591"/>
      <c r="AL51" s="591"/>
      <c r="AM51" s="59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H15" zoomScale="50" zoomScaleNormal="50" workbookViewId="0">
      <selection activeCell="U53" sqref="U53"/>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657" t="s">
        <v>501</v>
      </c>
      <c r="C2" s="658"/>
      <c r="D2" s="658"/>
      <c r="E2" s="658"/>
      <c r="F2" s="658"/>
      <c r="G2" s="658"/>
      <c r="H2" s="658"/>
      <c r="I2" s="658"/>
      <c r="J2" s="599" t="s">
        <v>15</v>
      </c>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658"/>
      <c r="C3" s="658"/>
      <c r="D3" s="658"/>
      <c r="E3" s="658"/>
      <c r="F3" s="658"/>
      <c r="G3" s="658"/>
      <c r="H3" s="658"/>
      <c r="I3" s="658"/>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658"/>
      <c r="C4" s="658"/>
      <c r="D4" s="658"/>
      <c r="E4" s="658"/>
      <c r="F4" s="658"/>
      <c r="G4" s="658"/>
      <c r="H4" s="658"/>
      <c r="I4" s="658"/>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546" t="s">
        <v>486</v>
      </c>
      <c r="C6" s="546"/>
      <c r="D6" s="547"/>
      <c r="E6" s="641" t="s">
        <v>487</v>
      </c>
      <c r="F6" s="642"/>
      <c r="G6" s="642"/>
      <c r="H6" s="642"/>
      <c r="I6" s="659"/>
      <c r="J6" s="29" t="str">
        <f>IF(AND('Riesgos de Gestión'!$AI$13="Muy Alta",'Riesgos de Gestión'!$AK$13="Leve"),CONCATENATE("R1C",'Riesgos de Gestión'!$V$13),"")</f>
        <v/>
      </c>
      <c r="K6" s="30" t="str">
        <f>IF(AND('Riesgos de Gestión'!$AI$14="Muy Alta",'Riesgos de Gestión'!$AK$14="Leve"),CONCATENATE("R1C",'Riesgos de Gestión'!$V$14),"")</f>
        <v/>
      </c>
      <c r="L6" s="30" t="str">
        <f>IF(AND('Riesgos de Gestión'!$AI$15="Muy Alta",'Riesgos de Gestión'!$AK$15="Leve"),CONCATENATE("R1C",'Riesgos de Gestión'!$V$15),"")</f>
        <v/>
      </c>
      <c r="M6" s="30" t="str">
        <f>IF(AND('Riesgos de Gestión'!$AI$16="Muy Alta",'Riesgos de Gestión'!$AK$16="Leve"),CONCATENATE("R1C",'Riesgos de Gestión'!$V$16),"")</f>
        <v/>
      </c>
      <c r="N6" s="30" t="str">
        <f>IF(AND('Riesgos de Gestión'!$AI$17="Muy Alta",'Riesgos de Gestión'!$AK$17="Leve"),CONCATENATE("R1C",'Riesgos de Gestión'!$V$17),"")</f>
        <v/>
      </c>
      <c r="O6" s="31" t="str">
        <f>IF(AND('Riesgos de Gestión'!$AI$18="Muy Alta",'Riesgos de Gestión'!$AK$18="Leve"),CONCATENATE("R1C",'Riesgos de Gestión'!$V$18),"")</f>
        <v/>
      </c>
      <c r="P6" s="29" t="str">
        <f>IF(AND('Riesgos de Gestión'!$AI$13="Muy Alta",'Riesgos de Gestión'!$AK$13="Menor"),CONCATENATE("R1C",'Riesgos de Gestión'!$V$13),"")</f>
        <v/>
      </c>
      <c r="Q6" s="30" t="str">
        <f>IF(AND('Riesgos de Gestión'!$AI$14="Muy Alta",'Riesgos de Gestión'!$AK$14="Menor"),CONCATENATE("R1C",'Riesgos de Gestión'!$V$14),"")</f>
        <v/>
      </c>
      <c r="R6" s="30" t="str">
        <f>IF(AND('Riesgos de Gestión'!$AI$15="Muy Alta",'Riesgos de Gestión'!$AK$15="Menor"),CONCATENATE("R1C",'Riesgos de Gestión'!$V$15),"")</f>
        <v/>
      </c>
      <c r="S6" s="30" t="str">
        <f>IF(AND('Riesgos de Gestión'!$AI$16="Muy Alta",'Riesgos de Gestión'!$AK$16="Menor"),CONCATENATE("R1C",'Riesgos de Gestión'!$V$16),"")</f>
        <v/>
      </c>
      <c r="T6" s="30" t="str">
        <f>IF(AND('Riesgos de Gestión'!$AI$17="Muy Alta",'Riesgos de Gestión'!$AK$17="Menor"),CONCATENATE("R1C",'Riesgos de Gestión'!$V$17),"")</f>
        <v/>
      </c>
      <c r="U6" s="31" t="str">
        <f>IF(AND('Riesgos de Gestión'!$AI$18="Muy Alta",'Riesgos de Gestión'!$AK$18="Menor"),CONCATENATE("R1C",'Riesgos de Gestión'!$V$18),"")</f>
        <v/>
      </c>
      <c r="V6" s="29" t="str">
        <f>IF(AND('Riesgos de Gestión'!$AI$13="Muy Alta",'Riesgos de Gestión'!$AK$13="Moderado"),CONCATENATE("R1C",'Riesgos de Gestión'!$V$13),"")</f>
        <v/>
      </c>
      <c r="W6" s="30" t="str">
        <f>IF(AND('Riesgos de Gestión'!$AI$14="Muy Alta",'Riesgos de Gestión'!$AK$14="Moderado"),CONCATENATE("R1C",'Riesgos de Gestión'!$V$14),"")</f>
        <v/>
      </c>
      <c r="X6" s="30" t="str">
        <f>IF(AND('Riesgos de Gestión'!$AI$15="Muy Alta",'Riesgos de Gestión'!$AK$15="Moderado"),CONCATENATE("R1C",'Riesgos de Gestión'!$V$15),"")</f>
        <v/>
      </c>
      <c r="Y6" s="30" t="str">
        <f>IF(AND('Riesgos de Gestión'!$AI$16="Muy Alta",'Riesgos de Gestión'!$AK$16="Moderado"),CONCATENATE("R1C",'Riesgos de Gestión'!$V$16),"")</f>
        <v/>
      </c>
      <c r="Z6" s="30" t="str">
        <f>IF(AND('Riesgos de Gestión'!$AI$17="Muy Alta",'Riesgos de Gestión'!$AK$17="Moderado"),CONCATENATE("R1C",'Riesgos de Gestión'!$V$17),"")</f>
        <v/>
      </c>
      <c r="AA6" s="31" t="str">
        <f>IF(AND('Riesgos de Gestión'!$AI$18="Muy Alta",'Riesgos de Gestión'!$AK$18="Moderado"),CONCATENATE("R1C",'Riesgos de Gestión'!$V$18),"")</f>
        <v/>
      </c>
      <c r="AB6" s="29" t="str">
        <f>IF(AND('Riesgos de Gestión'!$AI$13="Muy Alta",'Riesgos de Gestión'!$AK$13="Mayor"),CONCATENATE("R1C",'Riesgos de Gestión'!$V$13),"")</f>
        <v/>
      </c>
      <c r="AC6" s="30" t="str">
        <f>IF(AND('Riesgos de Gestión'!$AI$14="Muy Alta",'Riesgos de Gestión'!$AK$14="Mayor"),CONCATENATE("R1C",'Riesgos de Gestión'!$V$14),"")</f>
        <v/>
      </c>
      <c r="AD6" s="30" t="str">
        <f>IF(AND('Riesgos de Gestión'!$AI$15="Muy Alta",'Riesgos de Gestión'!$AK$15="Mayor"),CONCATENATE("R1C",'Riesgos de Gestión'!$V$15),"")</f>
        <v/>
      </c>
      <c r="AE6" s="30" t="str">
        <f>IF(AND('Riesgos de Gestión'!$AI$16="Muy Alta",'Riesgos de Gestión'!$AK$16="Mayor"),CONCATENATE("R1C",'Riesgos de Gestión'!$V$16),"")</f>
        <v/>
      </c>
      <c r="AF6" s="30" t="str">
        <f>IF(AND('Riesgos de Gestión'!$AI$17="Muy Alta",'Riesgos de Gestión'!$AK$17="Mayor"),CONCATENATE("R1C",'Riesgos de Gestión'!$V$17),"")</f>
        <v/>
      </c>
      <c r="AG6" s="31" t="str">
        <f>IF(AND('Riesgos de Gestión'!$AI$18="Muy Alta",'Riesgos de Gestión'!$AK$18="Mayor"),CONCATENATE("R1C",'Riesgos de Gestión'!$V$18),"")</f>
        <v/>
      </c>
      <c r="AH6" s="32" t="str">
        <f>IF(AND('Riesgos de Gestión'!$AI$13="Muy Alta",'Riesgos de Gestión'!$AK$13="Catastrófico"),CONCATENATE("R1C",'Riesgos de Gestión'!$V$13),"")</f>
        <v/>
      </c>
      <c r="AI6" s="33" t="str">
        <f>IF(AND('Riesgos de Gestión'!$AI$14="Muy Alta",'Riesgos de Gestión'!$AK$14="Catastrófico"),CONCATENATE("R1C",'Riesgos de Gestión'!$V$14),"")</f>
        <v/>
      </c>
      <c r="AJ6" s="33" t="str">
        <f>IF(AND('Riesgos de Gestión'!$AI$15="Muy Alta",'Riesgos de Gestión'!$AK$15="Catastrófico"),CONCATENATE("R1C",'Riesgos de Gestión'!$V$15),"")</f>
        <v/>
      </c>
      <c r="AK6" s="33" t="str">
        <f>IF(AND('Riesgos de Gestión'!$AI$16="Muy Alta",'Riesgos de Gestión'!$AK$16="Catastrófico"),CONCATENATE("R1C",'Riesgos de Gestión'!$V$16),"")</f>
        <v/>
      </c>
      <c r="AL6" s="33" t="str">
        <f>IF(AND('Riesgos de Gestión'!$AI$17="Muy Alta",'Riesgos de Gestión'!$AK$17="Catastrófico"),CONCATENATE("R1C",'Riesgos de Gestión'!$V$17),"")</f>
        <v/>
      </c>
      <c r="AM6" s="34" t="str">
        <f>IF(AND('Riesgos de Gestión'!$AI$18="Muy Alta",'Riesgos de Gestión'!$AK$18="Catastrófico"),CONCATENATE("R1C",'Riesgos de Gestión'!$V$18),"")</f>
        <v/>
      </c>
      <c r="AN6" s="66"/>
      <c r="AO6" s="648" t="s">
        <v>488</v>
      </c>
      <c r="AP6" s="649"/>
      <c r="AQ6" s="649"/>
      <c r="AR6" s="649"/>
      <c r="AS6" s="649"/>
      <c r="AT6" s="65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546"/>
      <c r="C7" s="546"/>
      <c r="D7" s="547"/>
      <c r="E7" s="645"/>
      <c r="F7" s="644"/>
      <c r="G7" s="644"/>
      <c r="H7" s="644"/>
      <c r="I7" s="660"/>
      <c r="J7" s="35" t="str">
        <f>IF(AND('Riesgos de Gestión'!$AI$19="Muy Alta",'Riesgos de Gestión'!$AK$19="Leve"),CONCATENATE("R2C",'Riesgos de Gestión'!$V$19),"")</f>
        <v/>
      </c>
      <c r="K7" s="36" t="str">
        <f>IF(AND('Riesgos de Gestión'!$AI$20="Muy Alta",'Riesgos de Gestión'!$AK$20="Leve"),CONCATENATE("R2C",'Riesgos de Gestión'!$V$20),"")</f>
        <v/>
      </c>
      <c r="L7" s="36" t="str">
        <f>IF(AND('Riesgos de Gestión'!$AI$21="Muy Alta",'Riesgos de Gestión'!$AK$21="Leve"),CONCATENATE("R2C",'Riesgos de Gestión'!$V$21),"")</f>
        <v/>
      </c>
      <c r="M7" s="36" t="str">
        <f>IF(AND('Riesgos de Gestión'!$AI$22="Muy Alta",'Riesgos de Gestión'!$AK$22="Leve"),CONCATENATE("R2C",'Riesgos de Gestión'!$V$22),"")</f>
        <v/>
      </c>
      <c r="N7" s="36" t="str">
        <f>IF(AND('Riesgos de Gestión'!$AI$23="Muy Alta",'Riesgos de Gestión'!$AK$23="Leve"),CONCATENATE("R2C",'Riesgos de Gestión'!$V$23),"")</f>
        <v/>
      </c>
      <c r="O7" s="37" t="str">
        <f>IF(AND('Riesgos de Gestión'!$AI$24="Muy Alta",'Riesgos de Gestión'!$AK$24="Leve"),CONCATENATE("R2C",'Riesgos de Gestión'!$V$24),"")</f>
        <v/>
      </c>
      <c r="P7" s="35" t="str">
        <f>IF(AND('Riesgos de Gestión'!$AI$19="Muy Alta",'Riesgos de Gestión'!$AK$19="Menor"),CONCATENATE("R2C",'Riesgos de Gestión'!$V$19),"")</f>
        <v/>
      </c>
      <c r="Q7" s="36" t="str">
        <f>IF(AND('Riesgos de Gestión'!$AI$20="Muy Alta",'Riesgos de Gestión'!$AK$20="Menor"),CONCATENATE("R2C",'Riesgos de Gestión'!$V$20),"")</f>
        <v/>
      </c>
      <c r="R7" s="36" t="str">
        <f>IF(AND('Riesgos de Gestión'!$AI$21="Muy Alta",'Riesgos de Gestión'!$AK$21="Menor"),CONCATENATE("R2C",'Riesgos de Gestión'!$V$21),"")</f>
        <v/>
      </c>
      <c r="S7" s="36" t="str">
        <f>IF(AND('Riesgos de Gestión'!$AI$22="Muy Alta",'Riesgos de Gestión'!$AK$22="Menor"),CONCATENATE("R2C",'Riesgos de Gestión'!$V$22),"")</f>
        <v/>
      </c>
      <c r="T7" s="36" t="str">
        <f>IF(AND('Riesgos de Gestión'!$AI$23="Muy Alta",'Riesgos de Gestión'!$AK$23="Menor"),CONCATENATE("R2C",'Riesgos de Gestión'!$V$23),"")</f>
        <v/>
      </c>
      <c r="U7" s="37" t="str">
        <f>IF(AND('Riesgos de Gestión'!$AI$24="Muy Alta",'Riesgos de Gestión'!$AK$24="Menor"),CONCATENATE("R2C",'Riesgos de Gestión'!$V$24),"")</f>
        <v/>
      </c>
      <c r="V7" s="35" t="str">
        <f>IF(AND('Riesgos de Gestión'!$AI$19="Muy Alta",'Riesgos de Gestión'!$AK$19="Moderado"),CONCATENATE("R2C",'Riesgos de Gestión'!$V$19),"")</f>
        <v/>
      </c>
      <c r="W7" s="36" t="str">
        <f>IF(AND('Riesgos de Gestión'!$AI$20="Muy Alta",'Riesgos de Gestión'!$AK$20="Moderado"),CONCATENATE("R2C",'Riesgos de Gestión'!$V$20),"")</f>
        <v/>
      </c>
      <c r="X7" s="36" t="str">
        <f>IF(AND('Riesgos de Gestión'!$AI$21="Muy Alta",'Riesgos de Gestión'!$AK$21="Moderado"),CONCATENATE("R2C",'Riesgos de Gestión'!$V$21),"")</f>
        <v/>
      </c>
      <c r="Y7" s="36" t="str">
        <f>IF(AND('Riesgos de Gestión'!$AI$22="Muy Alta",'Riesgos de Gestión'!$AK$22="Moderado"),CONCATENATE("R2C",'Riesgos de Gestión'!$V$22),"")</f>
        <v/>
      </c>
      <c r="Z7" s="36" t="str">
        <f>IF(AND('Riesgos de Gestión'!$AI$23="Muy Alta",'Riesgos de Gestión'!$AK$23="Moderado"),CONCATENATE("R2C",'Riesgos de Gestión'!$V$23),"")</f>
        <v/>
      </c>
      <c r="AA7" s="37" t="str">
        <f>IF(AND('Riesgos de Gestión'!$AI$24="Muy Alta",'Riesgos de Gestión'!$AK$24="Moderado"),CONCATENATE("R2C",'Riesgos de Gestión'!$V$24),"")</f>
        <v/>
      </c>
      <c r="AB7" s="35" t="str">
        <f>IF(AND('Riesgos de Gestión'!$AI$19="Muy Alta",'Riesgos de Gestión'!$AK$19="Mayor"),CONCATENATE("R2C",'Riesgos de Gestión'!$V$19),"")</f>
        <v/>
      </c>
      <c r="AC7" s="36" t="str">
        <f>IF(AND('Riesgos de Gestión'!$AI$20="Muy Alta",'Riesgos de Gestión'!$AK$20="Mayor"),CONCATENATE("R2C",'Riesgos de Gestión'!$V$20),"")</f>
        <v/>
      </c>
      <c r="AD7" s="36" t="str">
        <f>IF(AND('Riesgos de Gestión'!$AI$21="Muy Alta",'Riesgos de Gestión'!$AK$21="Mayor"),CONCATENATE("R2C",'Riesgos de Gestión'!$V$21),"")</f>
        <v/>
      </c>
      <c r="AE7" s="36" t="str">
        <f>IF(AND('Riesgos de Gestión'!$AI$22="Muy Alta",'Riesgos de Gestión'!$AK$22="Mayor"),CONCATENATE("R2C",'Riesgos de Gestión'!$V$22),"")</f>
        <v/>
      </c>
      <c r="AF7" s="36" t="str">
        <f>IF(AND('Riesgos de Gestión'!$AI$23="Muy Alta",'Riesgos de Gestión'!$AK$23="Mayor"),CONCATENATE("R2C",'Riesgos de Gestión'!$V$23),"")</f>
        <v/>
      </c>
      <c r="AG7" s="37" t="str">
        <f>IF(AND('Riesgos de Gestión'!$AI$24="Muy Alta",'Riesgos de Gestión'!$AK$24="Mayor"),CONCATENATE("R2C",'Riesgos de Gestión'!$V$24),"")</f>
        <v/>
      </c>
      <c r="AH7" s="38" t="str">
        <f>IF(AND('Riesgos de Gestión'!$AI$19="Muy Alta",'Riesgos de Gestión'!$AK$19="Catastrófico"),CONCATENATE("R2C",'Riesgos de Gestión'!$V$19),"")</f>
        <v/>
      </c>
      <c r="AI7" s="39" t="str">
        <f>IF(AND('Riesgos de Gestión'!$AI$20="Muy Alta",'Riesgos de Gestión'!$AK$20="Catastrófico"),CONCATENATE("R2C",'Riesgos de Gestión'!$V$20),"")</f>
        <v/>
      </c>
      <c r="AJ7" s="39" t="str">
        <f>IF(AND('Riesgos de Gestión'!$AI$21="Muy Alta",'Riesgos de Gestión'!$AK$21="Catastrófico"),CONCATENATE("R2C",'Riesgos de Gestión'!$V$21),"")</f>
        <v/>
      </c>
      <c r="AK7" s="39" t="str">
        <f>IF(AND('Riesgos de Gestión'!$AI$22="Muy Alta",'Riesgos de Gestión'!$AK$22="Catastrófico"),CONCATENATE("R2C",'Riesgos de Gestión'!$V$22),"")</f>
        <v/>
      </c>
      <c r="AL7" s="39" t="str">
        <f>IF(AND('Riesgos de Gestión'!$AI$23="Muy Alta",'Riesgos de Gestión'!$AK$23="Catastrófico"),CONCATENATE("R2C",'Riesgos de Gestión'!$V$23),"")</f>
        <v/>
      </c>
      <c r="AM7" s="40" t="str">
        <f>IF(AND('Riesgos de Gestión'!$AI$24="Muy Alta",'Riesgos de Gestión'!$AK$24="Catastrófico"),CONCATENATE("R2C",'Riesgos de Gestión'!$V$24),"")</f>
        <v/>
      </c>
      <c r="AN7" s="66"/>
      <c r="AO7" s="651"/>
      <c r="AP7" s="652"/>
      <c r="AQ7" s="652"/>
      <c r="AR7" s="652"/>
      <c r="AS7" s="652"/>
      <c r="AT7" s="65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546"/>
      <c r="C8" s="546"/>
      <c r="D8" s="547"/>
      <c r="E8" s="645"/>
      <c r="F8" s="644"/>
      <c r="G8" s="644"/>
      <c r="H8" s="644"/>
      <c r="I8" s="660"/>
      <c r="J8" s="35" t="str">
        <f>IF(AND('Riesgos de Gestión'!$AI$25="Muy Alta",'Riesgos de Gestión'!$AK$25="Leve"),CONCATENATE("R3C",'Riesgos de Gestión'!$V$25),"")</f>
        <v/>
      </c>
      <c r="K8" s="36" t="str">
        <f>IF(AND('Riesgos de Gestión'!$AI$26="Muy Alta",'Riesgos de Gestión'!$AK$26="Leve"),CONCATENATE("R3C",'Riesgos de Gestión'!$V$26),"")</f>
        <v/>
      </c>
      <c r="L8" s="36" t="str">
        <f>IF(AND('Riesgos de Gestión'!$AI$27="Muy Alta",'Riesgos de Gestión'!$AK$27="Leve"),CONCATENATE("R3C",'Riesgos de Gestión'!$V$27),"")</f>
        <v/>
      </c>
      <c r="M8" s="36" t="str">
        <f>IF(AND('Riesgos de Gestión'!$AI$28="Muy Alta",'Riesgos de Gestión'!$AK$28="Leve"),CONCATENATE("R3C",'Riesgos de Gestión'!$V$28),"")</f>
        <v/>
      </c>
      <c r="N8" s="36" t="str">
        <f>IF(AND('Riesgos de Gestión'!$AI$29="Muy Alta",'Riesgos de Gestión'!$AK$29="Leve"),CONCATENATE("R3C",'Riesgos de Gestión'!$V$29),"")</f>
        <v/>
      </c>
      <c r="O8" s="37" t="str">
        <f>IF(AND('Riesgos de Gestión'!$AI$30="Muy Alta",'Riesgos de Gestión'!$AK$30="Leve"),CONCATENATE("R3C",'Riesgos de Gestión'!$V$30),"")</f>
        <v/>
      </c>
      <c r="P8" s="35" t="str">
        <f>IF(AND('Riesgos de Gestión'!$AI$25="Muy Alta",'Riesgos de Gestión'!$AK$25="Menor"),CONCATENATE("R3C",'Riesgos de Gestión'!$V$25),"")</f>
        <v/>
      </c>
      <c r="Q8" s="36" t="str">
        <f>IF(AND('Riesgos de Gestión'!$AI$26="Muy Alta",'Riesgos de Gestión'!$AK$26="Menor"),CONCATENATE("R3C",'Riesgos de Gestión'!$V$26),"")</f>
        <v/>
      </c>
      <c r="R8" s="36" t="str">
        <f>IF(AND('Riesgos de Gestión'!$AI$27="Muy Alta",'Riesgos de Gestión'!$AK$27="Menor"),CONCATENATE("R3C",'Riesgos de Gestión'!$V$27),"")</f>
        <v/>
      </c>
      <c r="S8" s="36" t="str">
        <f>IF(AND('Riesgos de Gestión'!$AI$28="Muy Alta",'Riesgos de Gestión'!$AK$28="Menor"),CONCATENATE("R3C",'Riesgos de Gestión'!$V$28),"")</f>
        <v/>
      </c>
      <c r="T8" s="36" t="str">
        <f>IF(AND('Riesgos de Gestión'!$AI$29="Muy Alta",'Riesgos de Gestión'!$AK$29="Menor"),CONCATENATE("R3C",'Riesgos de Gestión'!$V$29),"")</f>
        <v/>
      </c>
      <c r="U8" s="37" t="str">
        <f>IF(AND('Riesgos de Gestión'!$AI$30="Muy Alta",'Riesgos de Gestión'!$AK$30="Menor"),CONCATENATE("R3C",'Riesgos de Gestión'!$V$30),"")</f>
        <v/>
      </c>
      <c r="V8" s="35" t="str">
        <f>IF(AND('Riesgos de Gestión'!$AI$25="Muy Alta",'Riesgos de Gestión'!$AK$25="Moderado"),CONCATENATE("R3C",'Riesgos de Gestión'!$V$25),"")</f>
        <v/>
      </c>
      <c r="W8" s="36" t="str">
        <f>IF(AND('Riesgos de Gestión'!$AI$26="Muy Alta",'Riesgos de Gestión'!$AK$26="Moderado"),CONCATENATE("R3C",'Riesgos de Gestión'!$V$26),"")</f>
        <v/>
      </c>
      <c r="X8" s="36" t="str">
        <f>IF(AND('Riesgos de Gestión'!$AI$27="Muy Alta",'Riesgos de Gestión'!$AK$27="Moderado"),CONCATENATE("R3C",'Riesgos de Gestión'!$V$27),"")</f>
        <v/>
      </c>
      <c r="Y8" s="36" t="str">
        <f>IF(AND('Riesgos de Gestión'!$AI$28="Muy Alta",'Riesgos de Gestión'!$AK$28="Moderado"),CONCATENATE("R3C",'Riesgos de Gestión'!$V$28),"")</f>
        <v/>
      </c>
      <c r="Z8" s="36" t="str">
        <f>IF(AND('Riesgos de Gestión'!$AI$29="Muy Alta",'Riesgos de Gestión'!$AK$29="Moderado"),CONCATENATE("R3C",'Riesgos de Gestión'!$V$29),"")</f>
        <v/>
      </c>
      <c r="AA8" s="37" t="str">
        <f>IF(AND('Riesgos de Gestión'!$AI$30="Muy Alta",'Riesgos de Gestión'!$AK$30="Moderado"),CONCATENATE("R3C",'Riesgos de Gestión'!$V$30),"")</f>
        <v/>
      </c>
      <c r="AB8" s="35" t="str">
        <f>IF(AND('Riesgos de Gestión'!$AI$25="Muy Alta",'Riesgos de Gestión'!$AK$25="Mayor"),CONCATENATE("R3C",'Riesgos de Gestión'!$V$25),"")</f>
        <v/>
      </c>
      <c r="AC8" s="36" t="str">
        <f>IF(AND('Riesgos de Gestión'!$AI$26="Muy Alta",'Riesgos de Gestión'!$AK$26="Mayor"),CONCATENATE("R3C",'Riesgos de Gestión'!$V$26),"")</f>
        <v/>
      </c>
      <c r="AD8" s="36" t="str">
        <f>IF(AND('Riesgos de Gestión'!$AI$27="Muy Alta",'Riesgos de Gestión'!$AK$27="Mayor"),CONCATENATE("R3C",'Riesgos de Gestión'!$V$27),"")</f>
        <v/>
      </c>
      <c r="AE8" s="36" t="str">
        <f>IF(AND('Riesgos de Gestión'!$AI$28="Muy Alta",'Riesgos de Gestión'!$AK$28="Mayor"),CONCATENATE("R3C",'Riesgos de Gestión'!$V$28),"")</f>
        <v/>
      </c>
      <c r="AF8" s="36" t="str">
        <f>IF(AND('Riesgos de Gestión'!$AI$29="Muy Alta",'Riesgos de Gestión'!$AK$29="Mayor"),CONCATENATE("R3C",'Riesgos de Gestión'!$V$29),"")</f>
        <v/>
      </c>
      <c r="AG8" s="37" t="str">
        <f>IF(AND('Riesgos de Gestión'!$AI$30="Muy Alta",'Riesgos de Gestión'!$AK$30="Mayor"),CONCATENATE("R3C",'Riesgos de Gestión'!$V$30),"")</f>
        <v/>
      </c>
      <c r="AH8" s="38" t="str">
        <f>IF(AND('Riesgos de Gestión'!$AI$25="Muy Alta",'Riesgos de Gestión'!$AK$25="Catastrófico"),CONCATENATE("R3C",'Riesgos de Gestión'!$V$25),"")</f>
        <v/>
      </c>
      <c r="AI8" s="39" t="str">
        <f>IF(AND('Riesgos de Gestión'!$AI$26="Muy Alta",'Riesgos de Gestión'!$AK$26="Catastrófico"),CONCATENATE("R3C",'Riesgos de Gestión'!$V$26),"")</f>
        <v/>
      </c>
      <c r="AJ8" s="39" t="str">
        <f>IF(AND('Riesgos de Gestión'!$AI$27="Muy Alta",'Riesgos de Gestión'!$AK$27="Catastrófico"),CONCATENATE("R3C",'Riesgos de Gestión'!$V$27),"")</f>
        <v/>
      </c>
      <c r="AK8" s="39" t="str">
        <f>IF(AND('Riesgos de Gestión'!$AI$28="Muy Alta",'Riesgos de Gestión'!$AK$28="Catastrófico"),CONCATENATE("R3C",'Riesgos de Gestión'!$V$28),"")</f>
        <v/>
      </c>
      <c r="AL8" s="39" t="str">
        <f>IF(AND('Riesgos de Gestión'!$AI$29="Muy Alta",'Riesgos de Gestión'!$AK$29="Catastrófico"),CONCATENATE("R3C",'Riesgos de Gestión'!$V$29),"")</f>
        <v/>
      </c>
      <c r="AM8" s="40" t="str">
        <f>IF(AND('Riesgos de Gestión'!$AI$30="Muy Alta",'Riesgos de Gestión'!$AK$30="Catastrófico"),CONCATENATE("R3C",'Riesgos de Gestión'!$V$30),"")</f>
        <v/>
      </c>
      <c r="AN8" s="66"/>
      <c r="AO8" s="651"/>
      <c r="AP8" s="652"/>
      <c r="AQ8" s="652"/>
      <c r="AR8" s="652"/>
      <c r="AS8" s="652"/>
      <c r="AT8" s="65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546"/>
      <c r="C9" s="546"/>
      <c r="D9" s="547"/>
      <c r="E9" s="645"/>
      <c r="F9" s="644"/>
      <c r="G9" s="644"/>
      <c r="H9" s="644"/>
      <c r="I9" s="660"/>
      <c r="J9" s="35" t="str">
        <f>IF(AND('Riesgos de Gestión'!$AI$31="Muy Alta",'Riesgos de Gestión'!$AK$31="Leve"),CONCATENATE("R4C",'Riesgos de Gestión'!$V$31),"")</f>
        <v/>
      </c>
      <c r="K9" s="36" t="str">
        <f>IF(AND('Riesgos de Gestión'!$AI$32="Muy Alta",'Riesgos de Gestión'!$AK$32="Leve"),CONCATENATE("R4C",'Riesgos de Gestión'!$V$32),"")</f>
        <v/>
      </c>
      <c r="L9" s="36" t="str">
        <f>IF(AND('Riesgos de Gestión'!$AI$33="Muy Alta",'Riesgos de Gestión'!$AK$33="Leve"),CONCATENATE("R4C",'Riesgos de Gestión'!$V$33),"")</f>
        <v/>
      </c>
      <c r="M9" s="36" t="str">
        <f>IF(AND('Riesgos de Gestión'!$AI$34="Muy Alta",'Riesgos de Gestión'!$AK$34="Leve"),CONCATENATE("R4C",'Riesgos de Gestión'!$V$34),"")</f>
        <v/>
      </c>
      <c r="N9" s="36" t="str">
        <f>IF(AND('Riesgos de Gestión'!$AI$35="Muy Alta",'Riesgos de Gestión'!$AK$35="Leve"),CONCATENATE("R4C",'Riesgos de Gestión'!$V$35),"")</f>
        <v/>
      </c>
      <c r="O9" s="37" t="str">
        <f>IF(AND('Riesgos de Gestión'!$AI$36="Muy Alta",'Riesgos de Gestión'!$AK$36="Leve"),CONCATENATE("R4C",'Riesgos de Gestión'!$V$36),"")</f>
        <v/>
      </c>
      <c r="P9" s="35" t="str">
        <f>IF(AND('Riesgos de Gestión'!$AI$31="Muy Alta",'Riesgos de Gestión'!$AK$31="Menor"),CONCATENATE("R4C",'Riesgos de Gestión'!$V$31),"")</f>
        <v/>
      </c>
      <c r="Q9" s="36" t="str">
        <f>IF(AND('Riesgos de Gestión'!$AI$32="Muy Alta",'Riesgos de Gestión'!$AK$32="Menor"),CONCATENATE("R4C",'Riesgos de Gestión'!$V$32),"")</f>
        <v/>
      </c>
      <c r="R9" s="36" t="str">
        <f>IF(AND('Riesgos de Gestión'!$AI$33="Muy Alta",'Riesgos de Gestión'!$AK$33="Menor"),CONCATENATE("R4C",'Riesgos de Gestión'!$V$33),"")</f>
        <v/>
      </c>
      <c r="S9" s="36" t="str">
        <f>IF(AND('Riesgos de Gestión'!$AI$34="Muy Alta",'Riesgos de Gestión'!$AK$34="Menor"),CONCATENATE("R4C",'Riesgos de Gestión'!$V$34),"")</f>
        <v/>
      </c>
      <c r="T9" s="36" t="str">
        <f>IF(AND('Riesgos de Gestión'!$AI$35="Muy Alta",'Riesgos de Gestión'!$AK$35="Menor"),CONCATENATE("R4C",'Riesgos de Gestión'!$V$35),"")</f>
        <v/>
      </c>
      <c r="U9" s="37" t="str">
        <f>IF(AND('Riesgos de Gestión'!$AI$36="Muy Alta",'Riesgos de Gestión'!$AK$36="Menor"),CONCATENATE("R4C",'Riesgos de Gestión'!$V$36),"")</f>
        <v/>
      </c>
      <c r="V9" s="35" t="str">
        <f>IF(AND('Riesgos de Gestión'!$AI$31="Muy Alta",'Riesgos de Gestión'!$AK$31="Moderado"),CONCATENATE("R4C",'Riesgos de Gestión'!$V$31),"")</f>
        <v/>
      </c>
      <c r="W9" s="36" t="str">
        <f>IF(AND('Riesgos de Gestión'!$AI$32="Muy Alta",'Riesgos de Gestión'!$AK$32="Moderado"),CONCATENATE("R4C",'Riesgos de Gestión'!$V$32),"")</f>
        <v/>
      </c>
      <c r="X9" s="36" t="str">
        <f>IF(AND('Riesgos de Gestión'!$AI$33="Muy Alta",'Riesgos de Gestión'!$AK$33="Moderado"),CONCATENATE("R4C",'Riesgos de Gestión'!$V$33),"")</f>
        <v/>
      </c>
      <c r="Y9" s="36" t="str">
        <f>IF(AND('Riesgos de Gestión'!$AI$34="Muy Alta",'Riesgos de Gestión'!$AK$34="Moderado"),CONCATENATE("R4C",'Riesgos de Gestión'!$V$34),"")</f>
        <v/>
      </c>
      <c r="Z9" s="36" t="str">
        <f>IF(AND('Riesgos de Gestión'!$AI$35="Muy Alta",'Riesgos de Gestión'!$AK$35="Moderado"),CONCATENATE("R4C",'Riesgos de Gestión'!$V$35),"")</f>
        <v/>
      </c>
      <c r="AA9" s="37" t="str">
        <f>IF(AND('Riesgos de Gestión'!$AI$36="Muy Alta",'Riesgos de Gestión'!$AK$36="Moderado"),CONCATENATE("R4C",'Riesgos de Gestión'!$V$36),"")</f>
        <v/>
      </c>
      <c r="AB9" s="35" t="str">
        <f>IF(AND('Riesgos de Gestión'!$AI$31="Muy Alta",'Riesgos de Gestión'!$AK$31="Mayor"),CONCATENATE("R4C",'Riesgos de Gestión'!$V$31),"")</f>
        <v/>
      </c>
      <c r="AC9" s="36" t="str">
        <f>IF(AND('Riesgos de Gestión'!$AI$32="Muy Alta",'Riesgos de Gestión'!$AK$32="Mayor"),CONCATENATE("R4C",'Riesgos de Gestión'!$V$32),"")</f>
        <v/>
      </c>
      <c r="AD9" s="36" t="str">
        <f>IF(AND('Riesgos de Gestión'!$AI$33="Muy Alta",'Riesgos de Gestión'!$AK$33="Mayor"),CONCATENATE("R4C",'Riesgos de Gestión'!$V$33),"")</f>
        <v/>
      </c>
      <c r="AE9" s="36" t="str">
        <f>IF(AND('Riesgos de Gestión'!$AI$34="Muy Alta",'Riesgos de Gestión'!$AK$34="Mayor"),CONCATENATE("R4C",'Riesgos de Gestión'!$V$34),"")</f>
        <v/>
      </c>
      <c r="AF9" s="36" t="str">
        <f>IF(AND('Riesgos de Gestión'!$AI$35="Muy Alta",'Riesgos de Gestión'!$AK$35="Mayor"),CONCATENATE("R4C",'Riesgos de Gestión'!$V$35),"")</f>
        <v/>
      </c>
      <c r="AG9" s="37" t="str">
        <f>IF(AND('Riesgos de Gestión'!$AI$36="Muy Alta",'Riesgos de Gestión'!$AK$36="Mayor"),CONCATENATE("R4C",'Riesgos de Gestión'!$V$36),"")</f>
        <v/>
      </c>
      <c r="AH9" s="38" t="str">
        <f>IF(AND('Riesgos de Gestión'!$AI$31="Muy Alta",'Riesgos de Gestión'!$AK$31="Catastrófico"),CONCATENATE("R4C",'Riesgos de Gestión'!$V$31),"")</f>
        <v/>
      </c>
      <c r="AI9" s="39" t="str">
        <f>IF(AND('Riesgos de Gestión'!$AI$32="Muy Alta",'Riesgos de Gestión'!$AK$32="Catastrófico"),CONCATENATE("R4C",'Riesgos de Gestión'!$V$32),"")</f>
        <v/>
      </c>
      <c r="AJ9" s="39" t="str">
        <f>IF(AND('Riesgos de Gestión'!$AI$33="Muy Alta",'Riesgos de Gestión'!$AK$33="Catastrófico"),CONCATENATE("R4C",'Riesgos de Gestión'!$V$33),"")</f>
        <v/>
      </c>
      <c r="AK9" s="39" t="str">
        <f>IF(AND('Riesgos de Gestión'!$AI$34="Muy Alta",'Riesgos de Gestión'!$AK$34="Catastrófico"),CONCATENATE("R4C",'Riesgos de Gestión'!$V$34),"")</f>
        <v/>
      </c>
      <c r="AL9" s="39" t="str">
        <f>IF(AND('Riesgos de Gestión'!$AI$35="Muy Alta",'Riesgos de Gestión'!$AK$35="Catastrófico"),CONCATENATE("R4C",'Riesgos de Gestión'!$V$35),"")</f>
        <v/>
      </c>
      <c r="AM9" s="40" t="str">
        <f>IF(AND('Riesgos de Gestión'!$AI$36="Muy Alta",'Riesgos de Gestión'!$AK$36="Catastrófico"),CONCATENATE("R4C",'Riesgos de Gestión'!$V$36),"")</f>
        <v/>
      </c>
      <c r="AN9" s="66"/>
      <c r="AO9" s="651"/>
      <c r="AP9" s="652"/>
      <c r="AQ9" s="652"/>
      <c r="AR9" s="652"/>
      <c r="AS9" s="652"/>
      <c r="AT9" s="65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546"/>
      <c r="C10" s="546"/>
      <c r="D10" s="547"/>
      <c r="E10" s="645"/>
      <c r="F10" s="644"/>
      <c r="G10" s="644"/>
      <c r="H10" s="644"/>
      <c r="I10" s="660"/>
      <c r="J10" s="35" t="str">
        <f>IF(AND('Riesgos de Gestión'!$AI$37="Muy Alta",'Riesgos de Gestión'!$AK$37="Leve"),CONCATENATE("R5C",'Riesgos de Gestión'!$V$37),"")</f>
        <v/>
      </c>
      <c r="K10" s="36" t="str">
        <f>IF(AND('Riesgos de Gestión'!$AI$38="Muy Alta",'Riesgos de Gestión'!$AK$38="Leve"),CONCATENATE("R5C",'Riesgos de Gestión'!$V$38),"")</f>
        <v/>
      </c>
      <c r="L10" s="36" t="str">
        <f>IF(AND('Riesgos de Gestión'!$AI$39="Muy Alta",'Riesgos de Gestión'!$AK$39="Leve"),CONCATENATE("R5C",'Riesgos de Gestión'!$V$39),"")</f>
        <v/>
      </c>
      <c r="M10" s="36" t="str">
        <f>IF(AND('Riesgos de Gestión'!$AI$40="Muy Alta",'Riesgos de Gestión'!$AK$40="Leve"),CONCATENATE("R5C",'Riesgos de Gestión'!$V$40),"")</f>
        <v/>
      </c>
      <c r="N10" s="36" t="str">
        <f>IF(AND('Riesgos de Gestión'!$AI$41="Muy Alta",'Riesgos de Gestión'!$AK$41="Leve"),CONCATENATE("R5C",'Riesgos de Gestión'!$V$41),"")</f>
        <v/>
      </c>
      <c r="O10" s="37" t="str">
        <f>IF(AND('Riesgos de Gestión'!$AI$42="Muy Alta",'Riesgos de Gestión'!$AK$42="Leve"),CONCATENATE("R5C",'Riesgos de Gestión'!$V$42),"")</f>
        <v/>
      </c>
      <c r="P10" s="35" t="str">
        <f>IF(AND('Riesgos de Gestión'!$AI$37="Muy Alta",'Riesgos de Gestión'!$AK$37="Menor"),CONCATENATE("R5C",'Riesgos de Gestión'!$V$37),"")</f>
        <v/>
      </c>
      <c r="Q10" s="36" t="str">
        <f>IF(AND('Riesgos de Gestión'!$AI$38="Muy Alta",'Riesgos de Gestión'!$AK$38="Menor"),CONCATENATE("R5C",'Riesgos de Gestión'!$V$38),"")</f>
        <v/>
      </c>
      <c r="R10" s="36" t="str">
        <f>IF(AND('Riesgos de Gestión'!$AI$39="Muy Alta",'Riesgos de Gestión'!$AK$39="Menor"),CONCATENATE("R5C",'Riesgos de Gestión'!$V$39),"")</f>
        <v/>
      </c>
      <c r="S10" s="36" t="str">
        <f>IF(AND('Riesgos de Gestión'!$AI$40="Muy Alta",'Riesgos de Gestión'!$AK$40="Menor"),CONCATENATE("R5C",'Riesgos de Gestión'!$V$40),"")</f>
        <v/>
      </c>
      <c r="T10" s="36" t="str">
        <f>IF(AND('Riesgos de Gestión'!$AI$41="Muy Alta",'Riesgos de Gestión'!$AK$41="Menor"),CONCATENATE("R5C",'Riesgos de Gestión'!$V$41),"")</f>
        <v/>
      </c>
      <c r="U10" s="37" t="str">
        <f>IF(AND('Riesgos de Gestión'!$AI$42="Muy Alta",'Riesgos de Gestión'!$AK$42="Menor"),CONCATENATE("R5C",'Riesgos de Gestión'!$V$42),"")</f>
        <v/>
      </c>
      <c r="V10" s="35" t="str">
        <f>IF(AND('Riesgos de Gestión'!$AI$37="Muy Alta",'Riesgos de Gestión'!$AK$37="Moderado"),CONCATENATE("R5C",'Riesgos de Gestión'!$V$37),"")</f>
        <v/>
      </c>
      <c r="W10" s="36" t="str">
        <f>IF(AND('Riesgos de Gestión'!$AI$38="Muy Alta",'Riesgos de Gestión'!$AK$38="Moderado"),CONCATENATE("R5C",'Riesgos de Gestión'!$V$38),"")</f>
        <v/>
      </c>
      <c r="X10" s="36" t="str">
        <f>IF(AND('Riesgos de Gestión'!$AI$39="Muy Alta",'Riesgos de Gestión'!$AK$39="Moderado"),CONCATENATE("R5C",'Riesgos de Gestión'!$V$39),"")</f>
        <v/>
      </c>
      <c r="Y10" s="36" t="str">
        <f>IF(AND('Riesgos de Gestión'!$AI$40="Muy Alta",'Riesgos de Gestión'!$AK$40="Moderado"),CONCATENATE("R5C",'Riesgos de Gestión'!$V$40),"")</f>
        <v/>
      </c>
      <c r="Z10" s="36" t="str">
        <f>IF(AND('Riesgos de Gestión'!$AI$41="Muy Alta",'Riesgos de Gestión'!$AK$41="Moderado"),CONCATENATE("R5C",'Riesgos de Gestión'!$V$41),"")</f>
        <v/>
      </c>
      <c r="AA10" s="37" t="str">
        <f>IF(AND('Riesgos de Gestión'!$AI$42="Muy Alta",'Riesgos de Gestión'!$AK$42="Moderado"),CONCATENATE("R5C",'Riesgos de Gestión'!$V$42),"")</f>
        <v/>
      </c>
      <c r="AB10" s="35" t="str">
        <f>IF(AND('Riesgos de Gestión'!$AI$37="Muy Alta",'Riesgos de Gestión'!$AK$37="Mayor"),CONCATENATE("R5C",'Riesgos de Gestión'!$V$37),"")</f>
        <v/>
      </c>
      <c r="AC10" s="36" t="str">
        <f>IF(AND('Riesgos de Gestión'!$AI$38="Muy Alta",'Riesgos de Gestión'!$AK$38="Mayor"),CONCATENATE("R5C",'Riesgos de Gestión'!$V$38),"")</f>
        <v/>
      </c>
      <c r="AD10" s="36" t="str">
        <f>IF(AND('Riesgos de Gestión'!$AI$39="Muy Alta",'Riesgos de Gestión'!$AK$39="Mayor"),CONCATENATE("R5C",'Riesgos de Gestión'!$V$39),"")</f>
        <v/>
      </c>
      <c r="AE10" s="36" t="str">
        <f>IF(AND('Riesgos de Gestión'!$AI$40="Muy Alta",'Riesgos de Gestión'!$AK$40="Mayor"),CONCATENATE("R5C",'Riesgos de Gestión'!$V$40),"")</f>
        <v/>
      </c>
      <c r="AF10" s="36" t="str">
        <f>IF(AND('Riesgos de Gestión'!$AI$41="Muy Alta",'Riesgos de Gestión'!$AK$41="Mayor"),CONCATENATE("R5C",'Riesgos de Gestión'!$V$41),"")</f>
        <v/>
      </c>
      <c r="AG10" s="37" t="str">
        <f>IF(AND('Riesgos de Gestión'!$AI$42="Muy Alta",'Riesgos de Gestión'!$AK$42="Mayor"),CONCATENATE("R5C",'Riesgos de Gestión'!$V$42),"")</f>
        <v/>
      </c>
      <c r="AH10" s="38" t="str">
        <f>IF(AND('Riesgos de Gestión'!$AI$37="Muy Alta",'Riesgos de Gestión'!$AK$37="Catastrófico"),CONCATENATE("R5C",'Riesgos de Gestión'!$V$37),"")</f>
        <v/>
      </c>
      <c r="AI10" s="39" t="str">
        <f>IF(AND('Riesgos de Gestión'!$AI$38="Muy Alta",'Riesgos de Gestión'!$AK$38="Catastrófico"),CONCATENATE("R5C",'Riesgos de Gestión'!$V$38),"")</f>
        <v/>
      </c>
      <c r="AJ10" s="39" t="str">
        <f>IF(AND('Riesgos de Gestión'!$AI$39="Muy Alta",'Riesgos de Gestión'!$AK$39="Catastrófico"),CONCATENATE("R5C",'Riesgos de Gestión'!$V$39),"")</f>
        <v/>
      </c>
      <c r="AK10" s="39" t="str">
        <f>IF(AND('Riesgos de Gestión'!$AI$40="Muy Alta",'Riesgos de Gestión'!$AK$40="Catastrófico"),CONCATENATE("R5C",'Riesgos de Gestión'!$V$40),"")</f>
        <v/>
      </c>
      <c r="AL10" s="39" t="str">
        <f>IF(AND('Riesgos de Gestión'!$AI$41="Muy Alta",'Riesgos de Gestión'!$AK$41="Catastrófico"),CONCATENATE("R5C",'Riesgos de Gestión'!$V$41),"")</f>
        <v/>
      </c>
      <c r="AM10" s="40" t="str">
        <f>IF(AND('Riesgos de Gestión'!$AI$42="Muy Alta",'Riesgos de Gestión'!$AK$42="Catastrófico"),CONCATENATE("R5C",'Riesgos de Gestión'!$V$42),"")</f>
        <v/>
      </c>
      <c r="AN10" s="66"/>
      <c r="AO10" s="651"/>
      <c r="AP10" s="652"/>
      <c r="AQ10" s="652"/>
      <c r="AR10" s="652"/>
      <c r="AS10" s="652"/>
      <c r="AT10" s="65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546"/>
      <c r="C11" s="546"/>
      <c r="D11" s="547"/>
      <c r="E11" s="645"/>
      <c r="F11" s="644"/>
      <c r="G11" s="644"/>
      <c r="H11" s="644"/>
      <c r="I11" s="660"/>
      <c r="J11" s="35" t="str">
        <f>IF(AND('Riesgos de Gestión'!$AI$43="Muy Alta",'Riesgos de Gestión'!$AK$43="Leve"),CONCATENATE("R6C",'Riesgos de Gestión'!$V$43),"")</f>
        <v/>
      </c>
      <c r="K11" s="36" t="str">
        <f>IF(AND('Riesgos de Gestión'!$AI$44="Muy Alta",'Riesgos de Gestión'!$AK$44="Leve"),CONCATENATE("R6C",'Riesgos de Gestión'!$V$44),"")</f>
        <v/>
      </c>
      <c r="L11" s="36" t="str">
        <f>IF(AND('Riesgos de Gestión'!$AI$45="Muy Alta",'Riesgos de Gestión'!$AK$45="Leve"),CONCATENATE("R6C",'Riesgos de Gestión'!$V$45),"")</f>
        <v/>
      </c>
      <c r="M11" s="36" t="str">
        <f>IF(AND('Riesgos de Gestión'!$AI$46="Muy Alta",'Riesgos de Gestión'!$AK$46="Leve"),CONCATENATE("R6C",'Riesgos de Gestión'!$V$46),"")</f>
        <v/>
      </c>
      <c r="N11" s="36" t="str">
        <f>IF(AND('Riesgos de Gestión'!$AI$47="Muy Alta",'Riesgos de Gestión'!$AK$47="Leve"),CONCATENATE("R6C",'Riesgos de Gestión'!$V$47),"")</f>
        <v/>
      </c>
      <c r="O11" s="37" t="str">
        <f>IF(AND('Riesgos de Gestión'!$AI$48="Muy Alta",'Riesgos de Gestión'!$AK$48="Leve"),CONCATENATE("R6C",'Riesgos de Gestión'!$V$48),"")</f>
        <v/>
      </c>
      <c r="P11" s="35" t="str">
        <f>IF(AND('Riesgos de Gestión'!$AI$43="Muy Alta",'Riesgos de Gestión'!$AK$43="Menor"),CONCATENATE("R6C",'Riesgos de Gestión'!$V$43),"")</f>
        <v/>
      </c>
      <c r="Q11" s="36" t="str">
        <f>IF(AND('Riesgos de Gestión'!$AI$44="Muy Alta",'Riesgos de Gestión'!$AK$44="Menor"),CONCATENATE("R6C",'Riesgos de Gestión'!$V$44),"")</f>
        <v/>
      </c>
      <c r="R11" s="36" t="str">
        <f>IF(AND('Riesgos de Gestión'!$AI$45="Muy Alta",'Riesgos de Gestión'!$AK$45="Menor"),CONCATENATE("R6C",'Riesgos de Gestión'!$V$45),"")</f>
        <v/>
      </c>
      <c r="S11" s="36" t="str">
        <f>IF(AND('Riesgos de Gestión'!$AI$46="Muy Alta",'Riesgos de Gestión'!$AK$46="Menor"),CONCATENATE("R6C",'Riesgos de Gestión'!$V$46),"")</f>
        <v/>
      </c>
      <c r="T11" s="36" t="str">
        <f>IF(AND('Riesgos de Gestión'!$AI$47="Muy Alta",'Riesgos de Gestión'!$AK$47="Menor"),CONCATENATE("R6C",'Riesgos de Gestión'!$V$47),"")</f>
        <v/>
      </c>
      <c r="U11" s="37" t="str">
        <f>IF(AND('Riesgos de Gestión'!$AI$48="Muy Alta",'Riesgos de Gestión'!$AK$48="Menor"),CONCATENATE("R6C",'Riesgos de Gestión'!$V$48),"")</f>
        <v/>
      </c>
      <c r="V11" s="35" t="str">
        <f>IF(AND('Riesgos de Gestión'!$AI$43="Muy Alta",'Riesgos de Gestión'!$AK$43="Moderado"),CONCATENATE("R6C",'Riesgos de Gestión'!$V$43),"")</f>
        <v/>
      </c>
      <c r="W11" s="36" t="str">
        <f>IF(AND('Riesgos de Gestión'!$AI$44="Muy Alta",'Riesgos de Gestión'!$AK$44="Moderado"),CONCATENATE("R6C",'Riesgos de Gestión'!$V$44),"")</f>
        <v/>
      </c>
      <c r="X11" s="36" t="str">
        <f>IF(AND('Riesgos de Gestión'!$AI$45="Muy Alta",'Riesgos de Gestión'!$AK$45="Moderado"),CONCATENATE("R6C",'Riesgos de Gestión'!$V$45),"")</f>
        <v/>
      </c>
      <c r="Y11" s="36" t="str">
        <f>IF(AND('Riesgos de Gestión'!$AI$46="Muy Alta",'Riesgos de Gestión'!$AK$46="Moderado"),CONCATENATE("R6C",'Riesgos de Gestión'!$V$46),"")</f>
        <v/>
      </c>
      <c r="Z11" s="36" t="str">
        <f>IF(AND('Riesgos de Gestión'!$AI$47="Muy Alta",'Riesgos de Gestión'!$AK$47="Moderado"),CONCATENATE("R6C",'Riesgos de Gestión'!$V$47),"")</f>
        <v/>
      </c>
      <c r="AA11" s="37" t="str">
        <f>IF(AND('Riesgos de Gestión'!$AI$48="Muy Alta",'Riesgos de Gestión'!$AK$48="Moderado"),CONCATENATE("R6C",'Riesgos de Gestión'!$V$48),"")</f>
        <v/>
      </c>
      <c r="AB11" s="35" t="str">
        <f>IF(AND('Riesgos de Gestión'!$AI$43="Muy Alta",'Riesgos de Gestión'!$AK$43="Mayor"),CONCATENATE("R6C",'Riesgos de Gestión'!$V$43),"")</f>
        <v/>
      </c>
      <c r="AC11" s="36" t="str">
        <f>IF(AND('Riesgos de Gestión'!$AI$44="Muy Alta",'Riesgos de Gestión'!$AK$44="Mayor"),CONCATENATE("R6C",'Riesgos de Gestión'!$V$44),"")</f>
        <v/>
      </c>
      <c r="AD11" s="36" t="str">
        <f>IF(AND('Riesgos de Gestión'!$AI$45="Muy Alta",'Riesgos de Gestión'!$AK$45="Mayor"),CONCATENATE("R6C",'Riesgos de Gestión'!$V$45),"")</f>
        <v/>
      </c>
      <c r="AE11" s="36" t="str">
        <f>IF(AND('Riesgos de Gestión'!$AI$46="Muy Alta",'Riesgos de Gestión'!$AK$46="Mayor"),CONCATENATE("R6C",'Riesgos de Gestión'!$V$46),"")</f>
        <v/>
      </c>
      <c r="AF11" s="36" t="str">
        <f>IF(AND('Riesgos de Gestión'!$AI$47="Muy Alta",'Riesgos de Gestión'!$AK$47="Mayor"),CONCATENATE("R6C",'Riesgos de Gestión'!$V$47),"")</f>
        <v/>
      </c>
      <c r="AG11" s="37" t="str">
        <f>IF(AND('Riesgos de Gestión'!$AI$48="Muy Alta",'Riesgos de Gestión'!$AK$48="Mayor"),CONCATENATE("R6C",'Riesgos de Gestión'!$V$48),"")</f>
        <v/>
      </c>
      <c r="AH11" s="38" t="str">
        <f>IF(AND('Riesgos de Gestión'!$AI$43="Muy Alta",'Riesgos de Gestión'!$AK$43="Catastrófico"),CONCATENATE("R6C",'Riesgos de Gestión'!$V$43),"")</f>
        <v/>
      </c>
      <c r="AI11" s="39" t="str">
        <f>IF(AND('Riesgos de Gestión'!$AI$44="Muy Alta",'Riesgos de Gestión'!$AK$44="Catastrófico"),CONCATENATE("R6C",'Riesgos de Gestión'!$V$44),"")</f>
        <v/>
      </c>
      <c r="AJ11" s="39" t="str">
        <f>IF(AND('Riesgos de Gestión'!$AI$45="Muy Alta",'Riesgos de Gestión'!$AK$45="Catastrófico"),CONCATENATE("R6C",'Riesgos de Gestión'!$V$45),"")</f>
        <v/>
      </c>
      <c r="AK11" s="39" t="str">
        <f>IF(AND('Riesgos de Gestión'!$AI$46="Muy Alta",'Riesgos de Gestión'!$AK$46="Catastrófico"),CONCATENATE("R6C",'Riesgos de Gestión'!$V$46),"")</f>
        <v/>
      </c>
      <c r="AL11" s="39" t="str">
        <f>IF(AND('Riesgos de Gestión'!$AI$47="Muy Alta",'Riesgos de Gestión'!$AK$47="Catastrófico"),CONCATENATE("R6C",'Riesgos de Gestión'!$V$47),"")</f>
        <v/>
      </c>
      <c r="AM11" s="40" t="str">
        <f>IF(AND('Riesgos de Gestión'!$AI$48="Muy Alta",'Riesgos de Gestión'!$AK$48="Catastrófico"),CONCATENATE("R6C",'Riesgos de Gestión'!$V$48),"")</f>
        <v/>
      </c>
      <c r="AN11" s="66"/>
      <c r="AO11" s="651"/>
      <c r="AP11" s="652"/>
      <c r="AQ11" s="652"/>
      <c r="AR11" s="652"/>
      <c r="AS11" s="652"/>
      <c r="AT11" s="65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546"/>
      <c r="C12" s="546"/>
      <c r="D12" s="547"/>
      <c r="E12" s="645"/>
      <c r="F12" s="644"/>
      <c r="G12" s="644"/>
      <c r="H12" s="644"/>
      <c r="I12" s="660"/>
      <c r="J12" s="35" t="str">
        <f>IF(AND('Riesgos de Gestión'!$AI$49="Muy Alta",'Riesgos de Gestión'!$AK$49="Leve"),CONCATENATE("R7C",'Riesgos de Gestión'!$V$49),"")</f>
        <v/>
      </c>
      <c r="K12" s="36" t="str">
        <f>IF(AND('Riesgos de Gestión'!$AI$50="Muy Alta",'Riesgos de Gestión'!$AK$50="Leve"),CONCATENATE("R7C",'Riesgos de Gestión'!$V$50),"")</f>
        <v/>
      </c>
      <c r="L12" s="36" t="str">
        <f>IF(AND('Riesgos de Gestión'!$AI$51="Muy Alta",'Riesgos de Gestión'!$AK$51="Leve"),CONCATENATE("R7C",'Riesgos de Gestión'!$V$51),"")</f>
        <v/>
      </c>
      <c r="M12" s="36" t="str">
        <f>IF(AND('Riesgos de Gestión'!$AI$52="Muy Alta",'Riesgos de Gestión'!$AK$52="Leve"),CONCATENATE("R7C",'Riesgos de Gestión'!$V$52),"")</f>
        <v/>
      </c>
      <c r="N12" s="36" t="str">
        <f>IF(AND('Riesgos de Gestión'!$AI$53="Muy Alta",'Riesgos de Gestión'!$AK$53="Leve"),CONCATENATE("R7C",'Riesgos de Gestión'!$V$53),"")</f>
        <v/>
      </c>
      <c r="O12" s="37" t="str">
        <f>IF(AND('Riesgos de Gestión'!$AI$54="Muy Alta",'Riesgos de Gestión'!$AK$54="Leve"),CONCATENATE("R7C",'Riesgos de Gestión'!$V$54),"")</f>
        <v/>
      </c>
      <c r="P12" s="35" t="str">
        <f>IF(AND('Riesgos de Gestión'!$AI$49="Muy Alta",'Riesgos de Gestión'!$AK$49="Menor"),CONCATENATE("R7C",'Riesgos de Gestión'!$V$49),"")</f>
        <v/>
      </c>
      <c r="Q12" s="36" t="str">
        <f>IF(AND('Riesgos de Gestión'!$AI$50="Muy Alta",'Riesgos de Gestión'!$AK$50="Menor"),CONCATENATE("R7C",'Riesgos de Gestión'!$V$50),"")</f>
        <v/>
      </c>
      <c r="R12" s="36" t="str">
        <f>IF(AND('Riesgos de Gestión'!$AI$51="Muy Alta",'Riesgos de Gestión'!$AK$51="Menor"),CONCATENATE("R7C",'Riesgos de Gestión'!$V$51),"")</f>
        <v/>
      </c>
      <c r="S12" s="36" t="str">
        <f>IF(AND('Riesgos de Gestión'!$AI$52="Muy Alta",'Riesgos de Gestión'!$AK$52="Menor"),CONCATENATE("R7C",'Riesgos de Gestión'!$V$52),"")</f>
        <v/>
      </c>
      <c r="T12" s="36" t="str">
        <f>IF(AND('Riesgos de Gestión'!$AI$53="Muy Alta",'Riesgos de Gestión'!$AK$53="Menor"),CONCATENATE("R7C",'Riesgos de Gestión'!$V$53),"")</f>
        <v/>
      </c>
      <c r="U12" s="37" t="str">
        <f>IF(AND('Riesgos de Gestión'!$AI$54="Muy Alta",'Riesgos de Gestión'!$AK$54="Menor"),CONCATENATE("R7C",'Riesgos de Gestión'!$V$54),"")</f>
        <v/>
      </c>
      <c r="V12" s="35" t="str">
        <f>IF(AND('Riesgos de Gestión'!$AI$49="Muy Alta",'Riesgos de Gestión'!$AK$49="Moderado"),CONCATENATE("R7C",'Riesgos de Gestión'!$V$49),"")</f>
        <v/>
      </c>
      <c r="W12" s="36" t="str">
        <f>IF(AND('Riesgos de Gestión'!$AI$50="Muy Alta",'Riesgos de Gestión'!$AK$50="Moderado"),CONCATENATE("R7C",'Riesgos de Gestión'!$V$50),"")</f>
        <v/>
      </c>
      <c r="X12" s="36" t="str">
        <f>IF(AND('Riesgos de Gestión'!$AI$51="Muy Alta",'Riesgos de Gestión'!$AK$51="Moderado"),CONCATENATE("R7C",'Riesgos de Gestión'!$V$51),"")</f>
        <v/>
      </c>
      <c r="Y12" s="36" t="str">
        <f>IF(AND('Riesgos de Gestión'!$AI$52="Muy Alta",'Riesgos de Gestión'!$AK$52="Moderado"),CONCATENATE("R7C",'Riesgos de Gestión'!$V$52),"")</f>
        <v/>
      </c>
      <c r="Z12" s="36" t="str">
        <f>IF(AND('Riesgos de Gestión'!$AI$53="Muy Alta",'Riesgos de Gestión'!$AK$53="Moderado"),CONCATENATE("R7C",'Riesgos de Gestión'!$V$53),"")</f>
        <v/>
      </c>
      <c r="AA12" s="37" t="str">
        <f>IF(AND('Riesgos de Gestión'!$AI$54="Muy Alta",'Riesgos de Gestión'!$AK$54="Moderado"),CONCATENATE("R7C",'Riesgos de Gestión'!$V$54),"")</f>
        <v/>
      </c>
      <c r="AB12" s="35" t="str">
        <f>IF(AND('Riesgos de Gestión'!$AI$49="Muy Alta",'Riesgos de Gestión'!$AK$49="Mayor"),CONCATENATE("R7C",'Riesgos de Gestión'!$V$49),"")</f>
        <v/>
      </c>
      <c r="AC12" s="36" t="str">
        <f>IF(AND('Riesgos de Gestión'!$AI$50="Muy Alta",'Riesgos de Gestión'!$AK$50="Mayor"),CONCATENATE("R7C",'Riesgos de Gestión'!$V$50),"")</f>
        <v/>
      </c>
      <c r="AD12" s="36" t="str">
        <f>IF(AND('Riesgos de Gestión'!$AI$51="Muy Alta",'Riesgos de Gestión'!$AK$51="Mayor"),CONCATENATE("R7C",'Riesgos de Gestión'!$V$51),"")</f>
        <v/>
      </c>
      <c r="AE12" s="36" t="str">
        <f>IF(AND('Riesgos de Gestión'!$AI$52="Muy Alta",'Riesgos de Gestión'!$AK$52="Mayor"),CONCATENATE("R7C",'Riesgos de Gestión'!$V$52),"")</f>
        <v/>
      </c>
      <c r="AF12" s="36" t="str">
        <f>IF(AND('Riesgos de Gestión'!$AI$53="Muy Alta",'Riesgos de Gestión'!$AK$53="Mayor"),CONCATENATE("R7C",'Riesgos de Gestión'!$V$53),"")</f>
        <v/>
      </c>
      <c r="AG12" s="37" t="str">
        <f>IF(AND('Riesgos de Gestión'!$AI$54="Muy Alta",'Riesgos de Gestión'!$AK$54="Mayor"),CONCATENATE("R7C",'Riesgos de Gestión'!$V$54),"")</f>
        <v/>
      </c>
      <c r="AH12" s="38" t="str">
        <f>IF(AND('Riesgos de Gestión'!$AI$49="Muy Alta",'Riesgos de Gestión'!$AK$49="Catastrófico"),CONCATENATE("R7C",'Riesgos de Gestión'!$V$49),"")</f>
        <v/>
      </c>
      <c r="AI12" s="39" t="str">
        <f>IF(AND('Riesgos de Gestión'!$AI$50="Muy Alta",'Riesgos de Gestión'!$AK$50="Catastrófico"),CONCATENATE("R7C",'Riesgos de Gestión'!$V$50),"")</f>
        <v/>
      </c>
      <c r="AJ12" s="39" t="str">
        <f>IF(AND('Riesgos de Gestión'!$AI$51="Muy Alta",'Riesgos de Gestión'!$AK$51="Catastrófico"),CONCATENATE("R7C",'Riesgos de Gestión'!$V$51),"")</f>
        <v/>
      </c>
      <c r="AK12" s="39" t="str">
        <f>IF(AND('Riesgos de Gestión'!$AI$52="Muy Alta",'Riesgos de Gestión'!$AK$52="Catastrófico"),CONCATENATE("R7C",'Riesgos de Gestión'!$V$52),"")</f>
        <v/>
      </c>
      <c r="AL12" s="39" t="str">
        <f>IF(AND('Riesgos de Gestión'!$AI$53="Muy Alta",'Riesgos de Gestión'!$AK$53="Catastrófico"),CONCATENATE("R7C",'Riesgos de Gestión'!$V$53),"")</f>
        <v/>
      </c>
      <c r="AM12" s="40" t="str">
        <f>IF(AND('Riesgos de Gestión'!$AI$54="Muy Alta",'Riesgos de Gestión'!$AK$54="Catastrófico"),CONCATENATE("R7C",'Riesgos de Gestión'!$V$54),"")</f>
        <v/>
      </c>
      <c r="AN12" s="66"/>
      <c r="AO12" s="651"/>
      <c r="AP12" s="652"/>
      <c r="AQ12" s="652"/>
      <c r="AR12" s="652"/>
      <c r="AS12" s="652"/>
      <c r="AT12" s="65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546"/>
      <c r="C13" s="546"/>
      <c r="D13" s="547"/>
      <c r="E13" s="645"/>
      <c r="F13" s="644"/>
      <c r="G13" s="644"/>
      <c r="H13" s="644"/>
      <c r="I13" s="660"/>
      <c r="J13" s="35" t="str">
        <f>IF(AND('Riesgos de Gestión'!$AI$55="Muy Alta",'Riesgos de Gestión'!$AK$55="Leve"),CONCATENATE("R8C",'Riesgos de Gestión'!$V$55),"")</f>
        <v/>
      </c>
      <c r="K13" s="36" t="str">
        <f>IF(AND('Riesgos de Gestión'!$AI$56="Muy Alta",'Riesgos de Gestión'!$AK$56="Leve"),CONCATENATE("R8C",'Riesgos de Gestión'!$V$56),"")</f>
        <v/>
      </c>
      <c r="L13" s="36" t="str">
        <f>IF(AND('Riesgos de Gestión'!$AI$57="Muy Alta",'Riesgos de Gestión'!$AK$57="Leve"),CONCATENATE("R8C",'Riesgos de Gestión'!$V$57),"")</f>
        <v/>
      </c>
      <c r="M13" s="36" t="str">
        <f>IF(AND('Riesgos de Gestión'!$AI$58="Muy Alta",'Riesgos de Gestión'!$AK$58="Leve"),CONCATENATE("R8C",'Riesgos de Gestión'!$V$58),"")</f>
        <v/>
      </c>
      <c r="N13" s="36" t="str">
        <f>IF(AND('Riesgos de Gestión'!$AI$59="Muy Alta",'Riesgos de Gestión'!$AK$59="Leve"),CONCATENATE("R8C",'Riesgos de Gestión'!$V$59),"")</f>
        <v/>
      </c>
      <c r="O13" s="37" t="str">
        <f>IF(AND('Riesgos de Gestión'!$AI$60="Muy Alta",'Riesgos de Gestión'!$AK$60="Leve"),CONCATENATE("R8C",'Riesgos de Gestión'!$V$60),"")</f>
        <v/>
      </c>
      <c r="P13" s="35" t="str">
        <f>IF(AND('Riesgos de Gestión'!$AI$55="Muy Alta",'Riesgos de Gestión'!$AK$55="Menor"),CONCATENATE("R8C",'Riesgos de Gestión'!$V$55),"")</f>
        <v/>
      </c>
      <c r="Q13" s="36" t="str">
        <f>IF(AND('Riesgos de Gestión'!$AI$56="Muy Alta",'Riesgos de Gestión'!$AK$56="Menor"),CONCATENATE("R8C",'Riesgos de Gestión'!$V$56),"")</f>
        <v/>
      </c>
      <c r="R13" s="36" t="str">
        <f>IF(AND('Riesgos de Gestión'!$AI$57="Muy Alta",'Riesgos de Gestión'!$AK$57="Menor"),CONCATENATE("R8C",'Riesgos de Gestión'!$V$57),"")</f>
        <v/>
      </c>
      <c r="S13" s="36" t="str">
        <f>IF(AND('Riesgos de Gestión'!$AI$58="Muy Alta",'Riesgos de Gestión'!$AK$58="Menor"),CONCATENATE("R8C",'Riesgos de Gestión'!$V$58),"")</f>
        <v/>
      </c>
      <c r="T13" s="36" t="str">
        <f>IF(AND('Riesgos de Gestión'!$AI$59="Muy Alta",'Riesgos de Gestión'!$AK$59="Menor"),CONCATENATE("R8C",'Riesgos de Gestión'!$V$59),"")</f>
        <v/>
      </c>
      <c r="U13" s="37" t="str">
        <f>IF(AND('Riesgos de Gestión'!$AI$60="Muy Alta",'Riesgos de Gestión'!$AK$60="Menor"),CONCATENATE("R8C",'Riesgos de Gestión'!$V$60),"")</f>
        <v/>
      </c>
      <c r="V13" s="35" t="str">
        <f>IF(AND('Riesgos de Gestión'!$AI$55="Muy Alta",'Riesgos de Gestión'!$AK$55="Moderado"),CONCATENATE("R8C",'Riesgos de Gestión'!$V$55),"")</f>
        <v/>
      </c>
      <c r="W13" s="36" t="str">
        <f>IF(AND('Riesgos de Gestión'!$AI$56="Muy Alta",'Riesgos de Gestión'!$AK$56="Moderado"),CONCATENATE("R8C",'Riesgos de Gestión'!$V$56),"")</f>
        <v/>
      </c>
      <c r="X13" s="36" t="str">
        <f>IF(AND('Riesgos de Gestión'!$AI$57="Muy Alta",'Riesgos de Gestión'!$AK$57="Moderado"),CONCATENATE("R8C",'Riesgos de Gestión'!$V$57),"")</f>
        <v/>
      </c>
      <c r="Y13" s="36" t="str">
        <f>IF(AND('Riesgos de Gestión'!$AI$58="Muy Alta",'Riesgos de Gestión'!$AK$58="Moderado"),CONCATENATE("R8C",'Riesgos de Gestión'!$V$58),"")</f>
        <v/>
      </c>
      <c r="Z13" s="36" t="str">
        <f>IF(AND('Riesgos de Gestión'!$AI$59="Muy Alta",'Riesgos de Gestión'!$AK$59="Moderado"),CONCATENATE("R8C",'Riesgos de Gestión'!$V$59),"")</f>
        <v/>
      </c>
      <c r="AA13" s="37" t="str">
        <f>IF(AND('Riesgos de Gestión'!$AI$60="Muy Alta",'Riesgos de Gestión'!$AK$60="Moderado"),CONCATENATE("R8C",'Riesgos de Gestión'!$V$60),"")</f>
        <v/>
      </c>
      <c r="AB13" s="35" t="str">
        <f>IF(AND('Riesgos de Gestión'!$AI$55="Muy Alta",'Riesgos de Gestión'!$AK$55="Mayor"),CONCATENATE("R8C",'Riesgos de Gestión'!$V$55),"")</f>
        <v/>
      </c>
      <c r="AC13" s="36" t="str">
        <f>IF(AND('Riesgos de Gestión'!$AI$56="Muy Alta",'Riesgos de Gestión'!$AK$56="Mayor"),CONCATENATE("R8C",'Riesgos de Gestión'!$V$56),"")</f>
        <v/>
      </c>
      <c r="AD13" s="36" t="str">
        <f>IF(AND('Riesgos de Gestión'!$AI$57="Muy Alta",'Riesgos de Gestión'!$AK$57="Mayor"),CONCATENATE("R8C",'Riesgos de Gestión'!$V$57),"")</f>
        <v/>
      </c>
      <c r="AE13" s="36" t="str">
        <f>IF(AND('Riesgos de Gestión'!$AI$58="Muy Alta",'Riesgos de Gestión'!$AK$58="Mayor"),CONCATENATE("R8C",'Riesgos de Gestión'!$V$58),"")</f>
        <v/>
      </c>
      <c r="AF13" s="36" t="str">
        <f>IF(AND('Riesgos de Gestión'!$AI$59="Muy Alta",'Riesgos de Gestión'!$AK$59="Mayor"),CONCATENATE("R8C",'Riesgos de Gestión'!$V$59),"")</f>
        <v/>
      </c>
      <c r="AG13" s="37" t="str">
        <f>IF(AND('Riesgos de Gestión'!$AI$60="Muy Alta",'Riesgos de Gestión'!$AK$60="Mayor"),CONCATENATE("R8C",'Riesgos de Gestión'!$V$60),"")</f>
        <v/>
      </c>
      <c r="AH13" s="38" t="str">
        <f>IF(AND('Riesgos de Gestión'!$AI$55="Muy Alta",'Riesgos de Gestión'!$AK$55="Catastrófico"),CONCATENATE("R8C",'Riesgos de Gestión'!$V$55),"")</f>
        <v/>
      </c>
      <c r="AI13" s="39" t="str">
        <f>IF(AND('Riesgos de Gestión'!$AI$56="Muy Alta",'Riesgos de Gestión'!$AK$56="Catastrófico"),CONCATENATE("R8C",'Riesgos de Gestión'!$V$56),"")</f>
        <v/>
      </c>
      <c r="AJ13" s="39" t="str">
        <f>IF(AND('Riesgos de Gestión'!$AI$57="Muy Alta",'Riesgos de Gestión'!$AK$57="Catastrófico"),CONCATENATE("R8C",'Riesgos de Gestión'!$V$57),"")</f>
        <v/>
      </c>
      <c r="AK13" s="39" t="str">
        <f>IF(AND('Riesgos de Gestión'!$AI$58="Muy Alta",'Riesgos de Gestión'!$AK$58="Catastrófico"),CONCATENATE("R8C",'Riesgos de Gestión'!$V$58),"")</f>
        <v/>
      </c>
      <c r="AL13" s="39" t="str">
        <f>IF(AND('Riesgos de Gestión'!$AI$59="Muy Alta",'Riesgos de Gestión'!$AK$59="Catastrófico"),CONCATENATE("R8C",'Riesgos de Gestión'!$V$59),"")</f>
        <v/>
      </c>
      <c r="AM13" s="40" t="str">
        <f>IF(AND('Riesgos de Gestión'!$AI$60="Muy Alta",'Riesgos de Gestión'!$AK$60="Catastrófico"),CONCATENATE("R8C",'Riesgos de Gestión'!$V$60),"")</f>
        <v/>
      </c>
      <c r="AN13" s="66"/>
      <c r="AO13" s="651"/>
      <c r="AP13" s="652"/>
      <c r="AQ13" s="652"/>
      <c r="AR13" s="652"/>
      <c r="AS13" s="652"/>
      <c r="AT13" s="65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546"/>
      <c r="C14" s="546"/>
      <c r="D14" s="547"/>
      <c r="E14" s="645"/>
      <c r="F14" s="644"/>
      <c r="G14" s="644"/>
      <c r="H14" s="644"/>
      <c r="I14" s="660"/>
      <c r="J14" s="35" t="str">
        <f>IF(AND('Riesgos de Gestión'!$AI$61="Muy Alta",'Riesgos de Gestión'!$AK$61="Leve"),CONCATENATE("R9C",'Riesgos de Gestión'!$V$61),"")</f>
        <v/>
      </c>
      <c r="K14" s="36" t="str">
        <f>IF(AND('Riesgos de Gestión'!$AI$62="Muy Alta",'Riesgos de Gestión'!$AK$62="Leve"),CONCATENATE("R9C",'Riesgos de Gestión'!$V$62),"")</f>
        <v/>
      </c>
      <c r="L14" s="36" t="str">
        <f>IF(AND('Riesgos de Gestión'!$AI$63="Muy Alta",'Riesgos de Gestión'!$AK$63="Leve"),CONCATENATE("R9C",'Riesgos de Gestión'!$V$63),"")</f>
        <v/>
      </c>
      <c r="M14" s="36" t="str">
        <f>IF(AND('Riesgos de Gestión'!$AI$64="Muy Alta",'Riesgos de Gestión'!$AK$64="Leve"),CONCATENATE("R9C",'Riesgos de Gestión'!$V$64),"")</f>
        <v/>
      </c>
      <c r="N14" s="36" t="str">
        <f>IF(AND('Riesgos de Gestión'!$AI$65="Muy Alta",'Riesgos de Gestión'!$AK$65="Leve"),CONCATENATE("R9C",'Riesgos de Gestión'!$V$65),"")</f>
        <v/>
      </c>
      <c r="O14" s="37" t="str">
        <f>IF(AND('Riesgos de Gestión'!$AI$66="Muy Alta",'Riesgos de Gestión'!$AK$66="Leve"),CONCATENATE("R9C",'Riesgos de Gestión'!$V$66),"")</f>
        <v/>
      </c>
      <c r="P14" s="35" t="str">
        <f>IF(AND('Riesgos de Gestión'!$AI$61="Muy Alta",'Riesgos de Gestión'!$AK$61="Menor"),CONCATENATE("R9C",'Riesgos de Gestión'!$V$61),"")</f>
        <v/>
      </c>
      <c r="Q14" s="36" t="str">
        <f>IF(AND('Riesgos de Gestión'!$AI$62="Muy Alta",'Riesgos de Gestión'!$AK$62="Menor"),CONCATENATE("R9C",'Riesgos de Gestión'!$V$62),"")</f>
        <v/>
      </c>
      <c r="R14" s="36" t="str">
        <f>IF(AND('Riesgos de Gestión'!$AI$63="Muy Alta",'Riesgos de Gestión'!$AK$63="Menor"),CONCATENATE("R9C",'Riesgos de Gestión'!$V$63),"")</f>
        <v/>
      </c>
      <c r="S14" s="36" t="str">
        <f>IF(AND('Riesgos de Gestión'!$AI$64="Muy Alta",'Riesgos de Gestión'!$AK$64="Menor"),CONCATENATE("R9C",'Riesgos de Gestión'!$V$64),"")</f>
        <v/>
      </c>
      <c r="T14" s="36" t="str">
        <f>IF(AND('Riesgos de Gestión'!$AI$65="Muy Alta",'Riesgos de Gestión'!$AK$65="Menor"),CONCATENATE("R9C",'Riesgos de Gestión'!$V$65),"")</f>
        <v/>
      </c>
      <c r="U14" s="37" t="str">
        <f>IF(AND('Riesgos de Gestión'!$AI$66="Muy Alta",'Riesgos de Gestión'!$AK$66="Menor"),CONCATENATE("R9C",'Riesgos de Gestión'!$V$66),"")</f>
        <v/>
      </c>
      <c r="V14" s="35" t="str">
        <f>IF(AND('Riesgos de Gestión'!$AI$61="Muy Alta",'Riesgos de Gestión'!$AK$61="Moderado"),CONCATENATE("R9C",'Riesgos de Gestión'!$V$61),"")</f>
        <v/>
      </c>
      <c r="W14" s="36" t="str">
        <f>IF(AND('Riesgos de Gestión'!$AI$62="Muy Alta",'Riesgos de Gestión'!$AK$62="Moderado"),CONCATENATE("R9C",'Riesgos de Gestión'!$V$62),"")</f>
        <v/>
      </c>
      <c r="X14" s="36" t="str">
        <f>IF(AND('Riesgos de Gestión'!$AI$63="Muy Alta",'Riesgos de Gestión'!$AK$63="Moderado"),CONCATENATE("R9C",'Riesgos de Gestión'!$V$63),"")</f>
        <v/>
      </c>
      <c r="Y14" s="36" t="str">
        <f>IF(AND('Riesgos de Gestión'!$AI$64="Muy Alta",'Riesgos de Gestión'!$AK$64="Moderado"),CONCATENATE("R9C",'Riesgos de Gestión'!$V$64),"")</f>
        <v/>
      </c>
      <c r="Z14" s="36" t="str">
        <f>IF(AND('Riesgos de Gestión'!$AI$65="Muy Alta",'Riesgos de Gestión'!$AK$65="Moderado"),CONCATENATE("R9C",'Riesgos de Gestión'!$V$65),"")</f>
        <v/>
      </c>
      <c r="AA14" s="37" t="str">
        <f>IF(AND('Riesgos de Gestión'!$AI$66="Muy Alta",'Riesgos de Gestión'!$AK$66="Moderado"),CONCATENATE("R9C",'Riesgos de Gestión'!$V$66),"")</f>
        <v/>
      </c>
      <c r="AB14" s="35" t="str">
        <f>IF(AND('Riesgos de Gestión'!$AI$61="Muy Alta",'Riesgos de Gestión'!$AK$61="Mayor"),CONCATENATE("R9C",'Riesgos de Gestión'!$V$61),"")</f>
        <v/>
      </c>
      <c r="AC14" s="36" t="str">
        <f>IF(AND('Riesgos de Gestión'!$AI$62="Muy Alta",'Riesgos de Gestión'!$AK$62="Mayor"),CONCATENATE("R9C",'Riesgos de Gestión'!$V$62),"")</f>
        <v/>
      </c>
      <c r="AD14" s="36" t="str">
        <f>IF(AND('Riesgos de Gestión'!$AI$63="Muy Alta",'Riesgos de Gestión'!$AK$63="Mayor"),CONCATENATE("R9C",'Riesgos de Gestión'!$V$63),"")</f>
        <v/>
      </c>
      <c r="AE14" s="36" t="str">
        <f>IF(AND('Riesgos de Gestión'!$AI$64="Muy Alta",'Riesgos de Gestión'!$AK$64="Mayor"),CONCATENATE("R9C",'Riesgos de Gestión'!$V$64),"")</f>
        <v/>
      </c>
      <c r="AF14" s="36" t="str">
        <f>IF(AND('Riesgos de Gestión'!$AI$65="Muy Alta",'Riesgos de Gestión'!$AK$65="Mayor"),CONCATENATE("R9C",'Riesgos de Gestión'!$V$65),"")</f>
        <v/>
      </c>
      <c r="AG14" s="37" t="str">
        <f>IF(AND('Riesgos de Gestión'!$AI$66="Muy Alta",'Riesgos de Gestión'!$AK$66="Mayor"),CONCATENATE("R9C",'Riesgos de Gestión'!$V$66),"")</f>
        <v/>
      </c>
      <c r="AH14" s="38" t="str">
        <f>IF(AND('Riesgos de Gestión'!$AI$61="Muy Alta",'Riesgos de Gestión'!$AK$61="Catastrófico"),CONCATENATE("R9C",'Riesgos de Gestión'!$V$61),"")</f>
        <v/>
      </c>
      <c r="AI14" s="39" t="str">
        <f>IF(AND('Riesgos de Gestión'!$AI$62="Muy Alta",'Riesgos de Gestión'!$AK$62="Catastrófico"),CONCATENATE("R9C",'Riesgos de Gestión'!$V$62),"")</f>
        <v/>
      </c>
      <c r="AJ14" s="39" t="str">
        <f>IF(AND('Riesgos de Gestión'!$AI$63="Muy Alta",'Riesgos de Gestión'!$AK$63="Catastrófico"),CONCATENATE("R9C",'Riesgos de Gestión'!$V$63),"")</f>
        <v/>
      </c>
      <c r="AK14" s="39" t="str">
        <f>IF(AND('Riesgos de Gestión'!$AI$64="Muy Alta",'Riesgos de Gestión'!$AK$64="Catastrófico"),CONCATENATE("R9C",'Riesgos de Gestión'!$V$64),"")</f>
        <v/>
      </c>
      <c r="AL14" s="39" t="str">
        <f>IF(AND('Riesgos de Gestión'!$AI$65="Muy Alta",'Riesgos de Gestión'!$AK$65="Catastrófico"),CONCATENATE("R9C",'Riesgos de Gestión'!$V$65),"")</f>
        <v/>
      </c>
      <c r="AM14" s="40" t="str">
        <f>IF(AND('Riesgos de Gestión'!$AI$66="Muy Alta",'Riesgos de Gestión'!$AK$66="Catastrófico"),CONCATENATE("R9C",'Riesgos de Gestión'!$V$66),"")</f>
        <v/>
      </c>
      <c r="AN14" s="66"/>
      <c r="AO14" s="651"/>
      <c r="AP14" s="652"/>
      <c r="AQ14" s="652"/>
      <c r="AR14" s="652"/>
      <c r="AS14" s="652"/>
      <c r="AT14" s="65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546"/>
      <c r="C15" s="546"/>
      <c r="D15" s="547"/>
      <c r="E15" s="646"/>
      <c r="F15" s="647"/>
      <c r="G15" s="647"/>
      <c r="H15" s="647"/>
      <c r="I15" s="661"/>
      <c r="J15" s="41" t="str">
        <f>IF(AND('Riesgos de Gestión'!$AI$67="Muy Alta",'Riesgos de Gestión'!$AK$67="Leve"),CONCATENATE("R10C",'Riesgos de Gestión'!$V$67),"")</f>
        <v/>
      </c>
      <c r="K15" s="42" t="str">
        <f>IF(AND('Riesgos de Gestión'!$AI$68="Muy Alta",'Riesgos de Gestión'!$AK$68="Leve"),CONCATENATE("R10C",'Riesgos de Gestión'!$V$68),"")</f>
        <v/>
      </c>
      <c r="L15" s="42" t="str">
        <f>IF(AND('Riesgos de Gestión'!$AI$69="Muy Alta",'Riesgos de Gestión'!$AK$69="Leve"),CONCATENATE("R10C",'Riesgos de Gestión'!$V$69),"")</f>
        <v/>
      </c>
      <c r="M15" s="42" t="str">
        <f>IF(AND('Riesgos de Gestión'!$AI$70="Muy Alta",'Riesgos de Gestión'!$AK$70="Leve"),CONCATENATE("R10C",'Riesgos de Gestión'!$V$70),"")</f>
        <v/>
      </c>
      <c r="N15" s="42" t="str">
        <f>IF(AND('Riesgos de Gestión'!$AI$71="Muy Alta",'Riesgos de Gestión'!$AK$71="Leve"),CONCATENATE("R10C",'Riesgos de Gestión'!$V$71),"")</f>
        <v/>
      </c>
      <c r="O15" s="43" t="str">
        <f>IF(AND('Riesgos de Gestión'!$AI$72="Muy Alta",'Riesgos de Gestión'!$AK$72="Leve"),CONCATENATE("R10C",'Riesgos de Gestión'!$V$72),"")</f>
        <v/>
      </c>
      <c r="P15" s="35" t="str">
        <f>IF(AND('Riesgos de Gestión'!$AI$67="Muy Alta",'Riesgos de Gestión'!$AK$67="Menor"),CONCATENATE("R10C",'Riesgos de Gestión'!$V$67),"")</f>
        <v/>
      </c>
      <c r="Q15" s="36" t="str">
        <f>IF(AND('Riesgos de Gestión'!$AI$68="Muy Alta",'Riesgos de Gestión'!$AK$68="Menor"),CONCATENATE("R10C",'Riesgos de Gestión'!$V$68),"")</f>
        <v/>
      </c>
      <c r="R15" s="36" t="str">
        <f>IF(AND('Riesgos de Gestión'!$AI$69="Muy Alta",'Riesgos de Gestión'!$AK$69="Menor"),CONCATENATE("R10C",'Riesgos de Gestión'!$V$69),"")</f>
        <v/>
      </c>
      <c r="S15" s="36" t="str">
        <f>IF(AND('Riesgos de Gestión'!$AI$70="Muy Alta",'Riesgos de Gestión'!$AK$70="Menor"),CONCATENATE("R10C",'Riesgos de Gestión'!$V$70),"")</f>
        <v/>
      </c>
      <c r="T15" s="36" t="str">
        <f>IF(AND('Riesgos de Gestión'!$AI$71="Muy Alta",'Riesgos de Gestión'!$AK$71="Menor"),CONCATENATE("R10C",'Riesgos de Gestión'!$V$71),"")</f>
        <v/>
      </c>
      <c r="U15" s="37" t="str">
        <f>IF(AND('Riesgos de Gestión'!$AI$72="Muy Alta",'Riesgos de Gestión'!$AK$72="Menor"),CONCATENATE("R10C",'Riesgos de Gestión'!$V$72),"")</f>
        <v/>
      </c>
      <c r="V15" s="41" t="str">
        <f>IF(AND('Riesgos de Gestión'!$AI$67="Muy Alta",'Riesgos de Gestión'!$AK$67="Moderado"),CONCATENATE("R10C",'Riesgos de Gestión'!$V$67),"")</f>
        <v/>
      </c>
      <c r="W15" s="42" t="str">
        <f>IF(AND('Riesgos de Gestión'!$AI$68="Muy Alta",'Riesgos de Gestión'!$AK$68="Moderado"),CONCATENATE("R10C",'Riesgos de Gestión'!$V$68),"")</f>
        <v/>
      </c>
      <c r="X15" s="42" t="str">
        <f>IF(AND('Riesgos de Gestión'!$AI$69="Muy Alta",'Riesgos de Gestión'!$AK$69="Moderado"),CONCATENATE("R10C",'Riesgos de Gestión'!$V$69),"")</f>
        <v/>
      </c>
      <c r="Y15" s="42" t="str">
        <f>IF(AND('Riesgos de Gestión'!$AI$70="Muy Alta",'Riesgos de Gestión'!$AK$70="Moderado"),CONCATENATE("R10C",'Riesgos de Gestión'!$V$70),"")</f>
        <v/>
      </c>
      <c r="Z15" s="42" t="str">
        <f>IF(AND('Riesgos de Gestión'!$AI$71="Muy Alta",'Riesgos de Gestión'!$AK$71="Moderado"),CONCATENATE("R10C",'Riesgos de Gestión'!$V$71),"")</f>
        <v/>
      </c>
      <c r="AA15" s="43" t="str">
        <f>IF(AND('Riesgos de Gestión'!$AI$72="Muy Alta",'Riesgos de Gestión'!$AK$72="Moderado"),CONCATENATE("R10C",'Riesgos de Gestión'!$V$72),"")</f>
        <v/>
      </c>
      <c r="AB15" s="35" t="str">
        <f>IF(AND('Riesgos de Gestión'!$AI$67="Muy Alta",'Riesgos de Gestión'!$AK$67="Mayor"),CONCATENATE("R10C",'Riesgos de Gestión'!$V$67),"")</f>
        <v/>
      </c>
      <c r="AC15" s="36" t="str">
        <f>IF(AND('Riesgos de Gestión'!$AI$68="Muy Alta",'Riesgos de Gestión'!$AK$68="Mayor"),CONCATENATE("R10C",'Riesgos de Gestión'!$V$68),"")</f>
        <v/>
      </c>
      <c r="AD15" s="36" t="str">
        <f>IF(AND('Riesgos de Gestión'!$AI$69="Muy Alta",'Riesgos de Gestión'!$AK$69="Mayor"),CONCATENATE("R10C",'Riesgos de Gestión'!$V$69),"")</f>
        <v/>
      </c>
      <c r="AE15" s="36" t="str">
        <f>IF(AND('Riesgos de Gestión'!$AI$70="Muy Alta",'Riesgos de Gestión'!$AK$70="Mayor"),CONCATENATE("R10C",'Riesgos de Gestión'!$V$70),"")</f>
        <v/>
      </c>
      <c r="AF15" s="36" t="str">
        <f>IF(AND('Riesgos de Gestión'!$AI$71="Muy Alta",'Riesgos de Gestión'!$AK$71="Mayor"),CONCATENATE("R10C",'Riesgos de Gestión'!$V$71),"")</f>
        <v/>
      </c>
      <c r="AG15" s="37" t="str">
        <f>IF(AND('Riesgos de Gestión'!$AI$72="Muy Alta",'Riesgos de Gestión'!$AK$72="Mayor"),CONCATENATE("R10C",'Riesgos de Gestión'!$V$72),"")</f>
        <v/>
      </c>
      <c r="AH15" s="44" t="str">
        <f>IF(AND('Riesgos de Gestión'!$AI$67="Muy Alta",'Riesgos de Gestión'!$AK$67="Catastrófico"),CONCATENATE("R10C",'Riesgos de Gestión'!$V$67),"")</f>
        <v/>
      </c>
      <c r="AI15" s="45" t="str">
        <f>IF(AND('Riesgos de Gestión'!$AI$68="Muy Alta",'Riesgos de Gestión'!$AK$68="Catastrófico"),CONCATENATE("R10C",'Riesgos de Gestión'!$V$68),"")</f>
        <v/>
      </c>
      <c r="AJ15" s="45" t="str">
        <f>IF(AND('Riesgos de Gestión'!$AI$69="Muy Alta",'Riesgos de Gestión'!$AK$69="Catastrófico"),CONCATENATE("R10C",'Riesgos de Gestión'!$V$69),"")</f>
        <v/>
      </c>
      <c r="AK15" s="45" t="str">
        <f>IF(AND('Riesgos de Gestión'!$AI$70="Muy Alta",'Riesgos de Gestión'!$AK$70="Catastrófico"),CONCATENATE("R10C",'Riesgos de Gestión'!$V$70),"")</f>
        <v/>
      </c>
      <c r="AL15" s="45" t="str">
        <f>IF(AND('Riesgos de Gestión'!$AI$71="Muy Alta",'Riesgos de Gestión'!$AK$71="Catastrófico"),CONCATENATE("R10C",'Riesgos de Gestión'!$V$71),"")</f>
        <v/>
      </c>
      <c r="AM15" s="46" t="str">
        <f>IF(AND('Riesgos de Gestión'!$AI$72="Muy Alta",'Riesgos de Gestión'!$AK$72="Catastrófico"),CONCATENATE("R10C",'Riesgos de Gestión'!$V$72),"")</f>
        <v/>
      </c>
      <c r="AN15" s="66"/>
      <c r="AO15" s="654"/>
      <c r="AP15" s="655"/>
      <c r="AQ15" s="655"/>
      <c r="AR15" s="655"/>
      <c r="AS15" s="655"/>
      <c r="AT15" s="65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546"/>
      <c r="C16" s="546"/>
      <c r="D16" s="547"/>
      <c r="E16" s="641" t="s">
        <v>489</v>
      </c>
      <c r="F16" s="642"/>
      <c r="G16" s="642"/>
      <c r="H16" s="642"/>
      <c r="I16" s="642"/>
      <c r="J16" s="47" t="str">
        <f>IF(AND('Riesgos de Gestión'!$AI$13="Alta",'Riesgos de Gestión'!$AK$13="Leve"),CONCATENATE("R1C",'Riesgos de Gestión'!$V$13),"")</f>
        <v/>
      </c>
      <c r="K16" s="48" t="str">
        <f>IF(AND('Riesgos de Gestión'!$AI$14="Alta",'Riesgos de Gestión'!$AK$14="Leve"),CONCATENATE("R1C",'Riesgos de Gestión'!$V$14),"")</f>
        <v/>
      </c>
      <c r="L16" s="48" t="str">
        <f>IF(AND('Riesgos de Gestión'!$AI$15="Alta",'Riesgos de Gestión'!$AK$15="Leve"),CONCATENATE("R1C",'Riesgos de Gestión'!$V$15),"")</f>
        <v/>
      </c>
      <c r="M16" s="48" t="str">
        <f>IF(AND('Riesgos de Gestión'!$AI$16="Alta",'Riesgos de Gestión'!$AK$16="Leve"),CONCATENATE("R1C",'Riesgos de Gestión'!$V$16),"")</f>
        <v/>
      </c>
      <c r="N16" s="48" t="str">
        <f>IF(AND('Riesgos de Gestión'!$AI$17="Alta",'Riesgos de Gestión'!$AK$17="Leve"),CONCATENATE("R1C",'Riesgos de Gestión'!$V$17),"")</f>
        <v/>
      </c>
      <c r="O16" s="49" t="str">
        <f>IF(AND('Riesgos de Gestión'!$AI$18="Alta",'Riesgos de Gestión'!$AK$18="Leve"),CONCATENATE("R1C",'Riesgos de Gestión'!$V$18),"")</f>
        <v/>
      </c>
      <c r="P16" s="47" t="str">
        <f>IF(AND('Riesgos de Gestión'!$AI$13="Alta",'Riesgos de Gestión'!$AK$13="Menor"),CONCATENATE("R1C",'Riesgos de Gestión'!$V$13),"")</f>
        <v/>
      </c>
      <c r="Q16" s="48" t="str">
        <f>IF(AND('Riesgos de Gestión'!$AI$14="Alta",'Riesgos de Gestión'!$AK$14="Menor"),CONCATENATE("R1C",'Riesgos de Gestión'!$V$14),"")</f>
        <v/>
      </c>
      <c r="R16" s="48" t="str">
        <f>IF(AND('Riesgos de Gestión'!$AI$15="Alta",'Riesgos de Gestión'!$AK$15="Menor"),CONCATENATE("R1C",'Riesgos de Gestión'!$V$15),"")</f>
        <v/>
      </c>
      <c r="S16" s="48" t="str">
        <f>IF(AND('Riesgos de Gestión'!$AI$16="Alta",'Riesgos de Gestión'!$AK$16="Menor"),CONCATENATE("R1C",'Riesgos de Gestión'!$V$16),"")</f>
        <v/>
      </c>
      <c r="T16" s="48" t="str">
        <f>IF(AND('Riesgos de Gestión'!$AI$17="Alta",'Riesgos de Gestión'!$AK$17="Menor"),CONCATENATE("R1C",'Riesgos de Gestión'!$V$17),"")</f>
        <v/>
      </c>
      <c r="U16" s="49" t="str">
        <f>IF(AND('Riesgos de Gestión'!$AI$18="Alta",'Riesgos de Gestión'!$AK$18="Menor"),CONCATENATE("R1C",'Riesgos de Gestión'!$V$18),"")</f>
        <v/>
      </c>
      <c r="V16" s="29" t="str">
        <f>IF(AND('Riesgos de Gestión'!$AI$13="Alta",'Riesgos de Gestión'!$AK$13="Moderado"),CONCATENATE("R1C",'Riesgos de Gestión'!$V$13),"")</f>
        <v/>
      </c>
      <c r="W16" s="30" t="str">
        <f>IF(AND('Riesgos de Gestión'!$AI$14="Alta",'Riesgos de Gestión'!$AK$14="Moderado"),CONCATENATE("R1C",'Riesgos de Gestión'!$V$14),"")</f>
        <v/>
      </c>
      <c r="X16" s="30" t="str">
        <f>IF(AND('Riesgos de Gestión'!$AI$15="Alta",'Riesgos de Gestión'!$AK$15="Moderado"),CONCATENATE("R1C",'Riesgos de Gestión'!$V$15),"")</f>
        <v/>
      </c>
      <c r="Y16" s="30" t="str">
        <f>IF(AND('Riesgos de Gestión'!$AI$16="Alta",'Riesgos de Gestión'!$AK$16="Moderado"),CONCATENATE("R1C",'Riesgos de Gestión'!$V$16),"")</f>
        <v/>
      </c>
      <c r="Z16" s="30" t="str">
        <f>IF(AND('Riesgos de Gestión'!$AI$17="Alta",'Riesgos de Gestión'!$AK$17="Moderado"),CONCATENATE("R1C",'Riesgos de Gestión'!$V$17),"")</f>
        <v/>
      </c>
      <c r="AA16" s="31" t="str">
        <f>IF(AND('Riesgos de Gestión'!$AI$18="Alta",'Riesgos de Gestión'!$AK$18="Moderado"),CONCATENATE("R1C",'Riesgos de Gestión'!$V$18),"")</f>
        <v/>
      </c>
      <c r="AB16" s="29" t="str">
        <f>IF(AND('Riesgos de Gestión'!$AI$13="Alta",'Riesgos de Gestión'!$AK$13="Mayor"),CONCATENATE("R1C",'Riesgos de Gestión'!$V$13),"")</f>
        <v/>
      </c>
      <c r="AC16" s="30" t="str">
        <f>IF(AND('Riesgos de Gestión'!$AI$14="Alta",'Riesgos de Gestión'!$AK$14="Mayor"),CONCATENATE("R1C",'Riesgos de Gestión'!$V$14),"")</f>
        <v/>
      </c>
      <c r="AD16" s="30" t="str">
        <f>IF(AND('Riesgos de Gestión'!$AI$15="Alta",'Riesgos de Gestión'!$AK$15="Mayor"),CONCATENATE("R1C",'Riesgos de Gestión'!$V$15),"")</f>
        <v/>
      </c>
      <c r="AE16" s="30" t="str">
        <f>IF(AND('Riesgos de Gestión'!$AI$16="Alta",'Riesgos de Gestión'!$AK$16="Mayor"),CONCATENATE("R1C",'Riesgos de Gestión'!$V$16),"")</f>
        <v/>
      </c>
      <c r="AF16" s="30" t="str">
        <f>IF(AND('Riesgos de Gestión'!$AI$17="Alta",'Riesgos de Gestión'!$AK$17="Mayor"),CONCATENATE("R1C",'Riesgos de Gestión'!$V$17),"")</f>
        <v/>
      </c>
      <c r="AG16" s="31" t="str">
        <f>IF(AND('Riesgos de Gestión'!$AI$18="Alta",'Riesgos de Gestión'!$AK$18="Mayor"),CONCATENATE("R1C",'Riesgos de Gestión'!$V$18),"")</f>
        <v/>
      </c>
      <c r="AH16" s="32" t="str">
        <f>IF(AND('Riesgos de Gestión'!$AI$13="Alta",'Riesgos de Gestión'!$AK$13="Catastrófico"),CONCATENATE("R1C",'Riesgos de Gestión'!$V$13),"")</f>
        <v/>
      </c>
      <c r="AI16" s="33" t="str">
        <f>IF(AND('Riesgos de Gestión'!$AI$14="Alta",'Riesgos de Gestión'!$AK$14="Catastrófico"),CONCATENATE("R1C",'Riesgos de Gestión'!$V$14),"")</f>
        <v/>
      </c>
      <c r="AJ16" s="33" t="str">
        <f>IF(AND('Riesgos de Gestión'!$AI$15="Alta",'Riesgos de Gestión'!$AK$15="Catastrófico"),CONCATENATE("R1C",'Riesgos de Gestión'!$V$15),"")</f>
        <v/>
      </c>
      <c r="AK16" s="33" t="str">
        <f>IF(AND('Riesgos de Gestión'!$AI$16="Alta",'Riesgos de Gestión'!$AK$16="Catastrófico"),CONCATENATE("R1C",'Riesgos de Gestión'!$V$16),"")</f>
        <v/>
      </c>
      <c r="AL16" s="33" t="str">
        <f>IF(AND('Riesgos de Gestión'!$AI$17="Alta",'Riesgos de Gestión'!$AK$17="Catastrófico"),CONCATENATE("R1C",'Riesgos de Gestión'!$V$17),"")</f>
        <v/>
      </c>
      <c r="AM16" s="34" t="str">
        <f>IF(AND('Riesgos de Gestión'!$AI$18="Alta",'Riesgos de Gestión'!$AK$18="Catastrófico"),CONCATENATE("R1C",'Riesgos de Gestión'!$V$18),"")</f>
        <v/>
      </c>
      <c r="AN16" s="66"/>
      <c r="AO16" s="632" t="s">
        <v>490</v>
      </c>
      <c r="AP16" s="633"/>
      <c r="AQ16" s="633"/>
      <c r="AR16" s="633"/>
      <c r="AS16" s="633"/>
      <c r="AT16" s="63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546"/>
      <c r="C17" s="546"/>
      <c r="D17" s="547"/>
      <c r="E17" s="643"/>
      <c r="F17" s="644"/>
      <c r="G17" s="644"/>
      <c r="H17" s="644"/>
      <c r="I17" s="644"/>
      <c r="J17" s="50" t="str">
        <f>IF(AND('Riesgos de Gestión'!$AI$19="Alta",'Riesgos de Gestión'!$AK$19="Leve"),CONCATENATE("R2C",'Riesgos de Gestión'!$V$19),"")</f>
        <v/>
      </c>
      <c r="K17" s="51" t="str">
        <f>IF(AND('Riesgos de Gestión'!$AI$20="Alta",'Riesgos de Gestión'!$AK$20="Leve"),CONCATENATE("R2C",'Riesgos de Gestión'!$V$20),"")</f>
        <v/>
      </c>
      <c r="L17" s="51" t="str">
        <f>IF(AND('Riesgos de Gestión'!$AI$21="Alta",'Riesgos de Gestión'!$AK$21="Leve"),CONCATENATE("R2C",'Riesgos de Gestión'!$V$21),"")</f>
        <v/>
      </c>
      <c r="M17" s="51" t="str">
        <f>IF(AND('Riesgos de Gestión'!$AI$22="Alta",'Riesgos de Gestión'!$AK$22="Leve"),CONCATENATE("R2C",'Riesgos de Gestión'!$V$22),"")</f>
        <v/>
      </c>
      <c r="N17" s="51" t="str">
        <f>IF(AND('Riesgos de Gestión'!$AI$23="Alta",'Riesgos de Gestión'!$AK$23="Leve"),CONCATENATE("R2C",'Riesgos de Gestión'!$V$23),"")</f>
        <v/>
      </c>
      <c r="O17" s="52" t="str">
        <f>IF(AND('Riesgos de Gestión'!$AI$24="Alta",'Riesgos de Gestión'!$AK$24="Leve"),CONCATENATE("R2C",'Riesgos de Gestión'!$V$24),"")</f>
        <v/>
      </c>
      <c r="P17" s="50" t="str">
        <f>IF(AND('Riesgos de Gestión'!$AI$19="Alta",'Riesgos de Gestión'!$AK$19="Menor"),CONCATENATE("R2C",'Riesgos de Gestión'!$V$19),"")</f>
        <v/>
      </c>
      <c r="Q17" s="51" t="str">
        <f>IF(AND('Riesgos de Gestión'!$AI$20="Alta",'Riesgos de Gestión'!$AK$20="Menor"),CONCATENATE("R2C",'Riesgos de Gestión'!$V$20),"")</f>
        <v/>
      </c>
      <c r="R17" s="51" t="str">
        <f>IF(AND('Riesgos de Gestión'!$AI$21="Alta",'Riesgos de Gestión'!$AK$21="Menor"),CONCATENATE("R2C",'Riesgos de Gestión'!$V$21),"")</f>
        <v/>
      </c>
      <c r="S17" s="51" t="str">
        <f>IF(AND('Riesgos de Gestión'!$AI$22="Alta",'Riesgos de Gestión'!$AK$22="Menor"),CONCATENATE("R2C",'Riesgos de Gestión'!$V$22),"")</f>
        <v/>
      </c>
      <c r="T17" s="51" t="str">
        <f>IF(AND('Riesgos de Gestión'!$AI$23="Alta",'Riesgos de Gestión'!$AK$23="Menor"),CONCATENATE("R2C",'Riesgos de Gestión'!$V$23),"")</f>
        <v/>
      </c>
      <c r="U17" s="52" t="str">
        <f>IF(AND('Riesgos de Gestión'!$AI$24="Alta",'Riesgos de Gestión'!$AK$24="Menor"),CONCATENATE("R2C",'Riesgos de Gestión'!$V$24),"")</f>
        <v/>
      </c>
      <c r="V17" s="35" t="str">
        <f>IF(AND('Riesgos de Gestión'!$AI$19="Alta",'Riesgos de Gestión'!$AK$19="Moderado"),CONCATENATE("R2C",'Riesgos de Gestión'!$V$19),"")</f>
        <v/>
      </c>
      <c r="W17" s="36" t="str">
        <f>IF(AND('Riesgos de Gestión'!$AI$20="Alta",'Riesgos de Gestión'!$AK$20="Moderado"),CONCATENATE("R2C",'Riesgos de Gestión'!$V$20),"")</f>
        <v/>
      </c>
      <c r="X17" s="36" t="str">
        <f>IF(AND('Riesgos de Gestión'!$AI$21="Alta",'Riesgos de Gestión'!$AK$21="Moderado"),CONCATENATE("R2C",'Riesgos de Gestión'!$V$21),"")</f>
        <v/>
      </c>
      <c r="Y17" s="36" t="str">
        <f>IF(AND('Riesgos de Gestión'!$AI$22="Alta",'Riesgos de Gestión'!$AK$22="Moderado"),CONCATENATE("R2C",'Riesgos de Gestión'!$V$22),"")</f>
        <v/>
      </c>
      <c r="Z17" s="36" t="str">
        <f>IF(AND('Riesgos de Gestión'!$AI$23="Alta",'Riesgos de Gestión'!$AK$23="Moderado"),CONCATENATE("R2C",'Riesgos de Gestión'!$V$23),"")</f>
        <v/>
      </c>
      <c r="AA17" s="37" t="str">
        <f>IF(AND('Riesgos de Gestión'!$AI$24="Alta",'Riesgos de Gestión'!$AK$24="Moderado"),CONCATENATE("R2C",'Riesgos de Gestión'!$V$24),"")</f>
        <v/>
      </c>
      <c r="AB17" s="35" t="str">
        <f>IF(AND('Riesgos de Gestión'!$AI$19="Alta",'Riesgos de Gestión'!$AK$19="Mayor"),CONCATENATE("R2C",'Riesgos de Gestión'!$V$19),"")</f>
        <v/>
      </c>
      <c r="AC17" s="36" t="str">
        <f>IF(AND('Riesgos de Gestión'!$AI$20="Alta",'Riesgos de Gestión'!$AK$20="Mayor"),CONCATENATE("R2C",'Riesgos de Gestión'!$V$20),"")</f>
        <v/>
      </c>
      <c r="AD17" s="36" t="str">
        <f>IF(AND('Riesgos de Gestión'!$AI$21="Alta",'Riesgos de Gestión'!$AK$21="Mayor"),CONCATENATE("R2C",'Riesgos de Gestión'!$V$21),"")</f>
        <v/>
      </c>
      <c r="AE17" s="36" t="str">
        <f>IF(AND('Riesgos de Gestión'!$AI$22="Alta",'Riesgos de Gestión'!$AK$22="Mayor"),CONCATENATE("R2C",'Riesgos de Gestión'!$V$22),"")</f>
        <v/>
      </c>
      <c r="AF17" s="36" t="str">
        <f>IF(AND('Riesgos de Gestión'!$AI$23="Alta",'Riesgos de Gestión'!$AK$23="Mayor"),CONCATENATE("R2C",'Riesgos de Gestión'!$V$23),"")</f>
        <v/>
      </c>
      <c r="AG17" s="37" t="str">
        <f>IF(AND('Riesgos de Gestión'!$AI$24="Alta",'Riesgos de Gestión'!$AK$24="Mayor"),CONCATENATE("R2C",'Riesgos de Gestión'!$V$24),"")</f>
        <v/>
      </c>
      <c r="AH17" s="38" t="str">
        <f>IF(AND('Riesgos de Gestión'!$AI$19="Alta",'Riesgos de Gestión'!$AK$19="Catastrófico"),CONCATENATE("R2C",'Riesgos de Gestión'!$V$19),"")</f>
        <v/>
      </c>
      <c r="AI17" s="39" t="str">
        <f>IF(AND('Riesgos de Gestión'!$AI$20="Alta",'Riesgos de Gestión'!$AK$20="Catastrófico"),CONCATENATE("R2C",'Riesgos de Gestión'!$V$20),"")</f>
        <v/>
      </c>
      <c r="AJ17" s="39" t="str">
        <f>IF(AND('Riesgos de Gestión'!$AI$21="Alta",'Riesgos de Gestión'!$AK$21="Catastrófico"),CONCATENATE("R2C",'Riesgos de Gestión'!$V$21),"")</f>
        <v/>
      </c>
      <c r="AK17" s="39" t="str">
        <f>IF(AND('Riesgos de Gestión'!$AI$22="Alta",'Riesgos de Gestión'!$AK$22="Catastrófico"),CONCATENATE("R2C",'Riesgos de Gestión'!$V$22),"")</f>
        <v/>
      </c>
      <c r="AL17" s="39" t="str">
        <f>IF(AND('Riesgos de Gestión'!$AI$23="Alta",'Riesgos de Gestión'!$AK$23="Catastrófico"),CONCATENATE("R2C",'Riesgos de Gestión'!$V$23),"")</f>
        <v/>
      </c>
      <c r="AM17" s="40" t="str">
        <f>IF(AND('Riesgos de Gestión'!$AI$24="Alta",'Riesgos de Gestión'!$AK$24="Catastrófico"),CONCATENATE("R2C",'Riesgos de Gestión'!$V$24),"")</f>
        <v/>
      </c>
      <c r="AN17" s="66"/>
      <c r="AO17" s="635"/>
      <c r="AP17" s="636"/>
      <c r="AQ17" s="636"/>
      <c r="AR17" s="636"/>
      <c r="AS17" s="636"/>
      <c r="AT17" s="63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546"/>
      <c r="C18" s="546"/>
      <c r="D18" s="547"/>
      <c r="E18" s="645"/>
      <c r="F18" s="644"/>
      <c r="G18" s="644"/>
      <c r="H18" s="644"/>
      <c r="I18" s="644"/>
      <c r="J18" s="50" t="str">
        <f>IF(AND('Riesgos de Gestión'!$AI$25="Alta",'Riesgos de Gestión'!$AK$25="Leve"),CONCATENATE("R3C",'Riesgos de Gestión'!$V$25),"")</f>
        <v/>
      </c>
      <c r="K18" s="51" t="str">
        <f>IF(AND('Riesgos de Gestión'!$AI$26="Alta",'Riesgos de Gestión'!$AK$26="Leve"),CONCATENATE("R3C",'Riesgos de Gestión'!$V$26),"")</f>
        <v/>
      </c>
      <c r="L18" s="51" t="str">
        <f>IF(AND('Riesgos de Gestión'!$AI$27="Alta",'Riesgos de Gestión'!$AK$27="Leve"),CONCATENATE("R3C",'Riesgos de Gestión'!$V$27),"")</f>
        <v/>
      </c>
      <c r="M18" s="51" t="str">
        <f>IF(AND('Riesgos de Gestión'!$AI$28="Alta",'Riesgos de Gestión'!$AK$28="Leve"),CONCATENATE("R3C",'Riesgos de Gestión'!$V$28),"")</f>
        <v/>
      </c>
      <c r="N18" s="51" t="str">
        <f>IF(AND('Riesgos de Gestión'!$AI$29="Alta",'Riesgos de Gestión'!$AK$29="Leve"),CONCATENATE("R3C",'Riesgos de Gestión'!$V$29),"")</f>
        <v/>
      </c>
      <c r="O18" s="52" t="str">
        <f>IF(AND('Riesgos de Gestión'!$AI$30="Alta",'Riesgos de Gestión'!$AK$30="Leve"),CONCATENATE("R3C",'Riesgos de Gestión'!$V$30),"")</f>
        <v/>
      </c>
      <c r="P18" s="50" t="str">
        <f>IF(AND('Riesgos de Gestión'!$AI$25="Alta",'Riesgos de Gestión'!$AK$25="Menor"),CONCATENATE("R3C",'Riesgos de Gestión'!$V$25),"")</f>
        <v/>
      </c>
      <c r="Q18" s="51" t="str">
        <f>IF(AND('Riesgos de Gestión'!$AI$26="Alta",'Riesgos de Gestión'!$AK$26="Menor"),CONCATENATE("R3C",'Riesgos de Gestión'!$V$26),"")</f>
        <v/>
      </c>
      <c r="R18" s="51" t="str">
        <f>IF(AND('Riesgos de Gestión'!$AI$27="Alta",'Riesgos de Gestión'!$AK$27="Menor"),CONCATENATE("R3C",'Riesgos de Gestión'!$V$27),"")</f>
        <v/>
      </c>
      <c r="S18" s="51" t="str">
        <f>IF(AND('Riesgos de Gestión'!$AI$28="Alta",'Riesgos de Gestión'!$AK$28="Menor"),CONCATENATE("R3C",'Riesgos de Gestión'!$V$28),"")</f>
        <v/>
      </c>
      <c r="T18" s="51" t="str">
        <f>IF(AND('Riesgos de Gestión'!$AI$29="Alta",'Riesgos de Gestión'!$AK$29="Menor"),CONCATENATE("R3C",'Riesgos de Gestión'!$V$29),"")</f>
        <v/>
      </c>
      <c r="U18" s="52" t="str">
        <f>IF(AND('Riesgos de Gestión'!$AI$30="Alta",'Riesgos de Gestión'!$AK$30="Menor"),CONCATENATE("R3C",'Riesgos de Gestión'!$V$30),"")</f>
        <v/>
      </c>
      <c r="V18" s="35" t="str">
        <f>IF(AND('Riesgos de Gestión'!$AI$25="Alta",'Riesgos de Gestión'!$AK$25="Moderado"),CONCATENATE("R3C",'Riesgos de Gestión'!$V$25),"")</f>
        <v/>
      </c>
      <c r="W18" s="36" t="str">
        <f>IF(AND('Riesgos de Gestión'!$AI$26="Alta",'Riesgos de Gestión'!$AK$26="Moderado"),CONCATENATE("R3C",'Riesgos de Gestión'!$V$26),"")</f>
        <v/>
      </c>
      <c r="X18" s="36" t="str">
        <f>IF(AND('Riesgos de Gestión'!$AI$27="Alta",'Riesgos de Gestión'!$AK$27="Moderado"),CONCATENATE("R3C",'Riesgos de Gestión'!$V$27),"")</f>
        <v/>
      </c>
      <c r="Y18" s="36" t="str">
        <f>IF(AND('Riesgos de Gestión'!$AI$28="Alta",'Riesgos de Gestión'!$AK$28="Moderado"),CONCATENATE("R3C",'Riesgos de Gestión'!$V$28),"")</f>
        <v/>
      </c>
      <c r="Z18" s="36" t="str">
        <f>IF(AND('Riesgos de Gestión'!$AI$29="Alta",'Riesgos de Gestión'!$AK$29="Moderado"),CONCATENATE("R3C",'Riesgos de Gestión'!$V$29),"")</f>
        <v/>
      </c>
      <c r="AA18" s="37" t="str">
        <f>IF(AND('Riesgos de Gestión'!$AI$30="Alta",'Riesgos de Gestión'!$AK$30="Moderado"),CONCATENATE("R3C",'Riesgos de Gestión'!$V$30),"")</f>
        <v/>
      </c>
      <c r="AB18" s="35" t="str">
        <f>IF(AND('Riesgos de Gestión'!$AI$25="Alta",'Riesgos de Gestión'!$AK$25="Mayor"),CONCATENATE("R3C",'Riesgos de Gestión'!$V$25),"")</f>
        <v/>
      </c>
      <c r="AC18" s="36" t="str">
        <f>IF(AND('Riesgos de Gestión'!$AI$26="Alta",'Riesgos de Gestión'!$AK$26="Mayor"),CONCATENATE("R3C",'Riesgos de Gestión'!$V$26),"")</f>
        <v/>
      </c>
      <c r="AD18" s="36" t="str">
        <f>IF(AND('Riesgos de Gestión'!$AI$27="Alta",'Riesgos de Gestión'!$AK$27="Mayor"),CONCATENATE("R3C",'Riesgos de Gestión'!$V$27),"")</f>
        <v/>
      </c>
      <c r="AE18" s="36" t="str">
        <f>IF(AND('Riesgos de Gestión'!$AI$28="Alta",'Riesgos de Gestión'!$AK$28="Mayor"),CONCATENATE("R3C",'Riesgos de Gestión'!$V$28),"")</f>
        <v/>
      </c>
      <c r="AF18" s="36" t="str">
        <f>IF(AND('Riesgos de Gestión'!$AI$29="Alta",'Riesgos de Gestión'!$AK$29="Mayor"),CONCATENATE("R3C",'Riesgos de Gestión'!$V$29),"")</f>
        <v/>
      </c>
      <c r="AG18" s="37" t="str">
        <f>IF(AND('Riesgos de Gestión'!$AI$30="Alta",'Riesgos de Gestión'!$AK$30="Mayor"),CONCATENATE("R3C",'Riesgos de Gestión'!$V$30),"")</f>
        <v/>
      </c>
      <c r="AH18" s="38" t="str">
        <f>IF(AND('Riesgos de Gestión'!$AI$25="Alta",'Riesgos de Gestión'!$AK$25="Catastrófico"),CONCATENATE("R3C",'Riesgos de Gestión'!$V$25),"")</f>
        <v/>
      </c>
      <c r="AI18" s="39" t="str">
        <f>IF(AND('Riesgos de Gestión'!$AI$26="Alta",'Riesgos de Gestión'!$AK$26="Catastrófico"),CONCATENATE("R3C",'Riesgos de Gestión'!$V$26),"")</f>
        <v/>
      </c>
      <c r="AJ18" s="39" t="str">
        <f>IF(AND('Riesgos de Gestión'!$AI$27="Alta",'Riesgos de Gestión'!$AK$27="Catastrófico"),CONCATENATE("R3C",'Riesgos de Gestión'!$V$27),"")</f>
        <v/>
      </c>
      <c r="AK18" s="39" t="str">
        <f>IF(AND('Riesgos de Gestión'!$AI$28="Alta",'Riesgos de Gestión'!$AK$28="Catastrófico"),CONCATENATE("R3C",'Riesgos de Gestión'!$V$28),"")</f>
        <v/>
      </c>
      <c r="AL18" s="39" t="str">
        <f>IF(AND('Riesgos de Gestión'!$AI$29="Alta",'Riesgos de Gestión'!$AK$29="Catastrófico"),CONCATENATE("R3C",'Riesgos de Gestión'!$V$29),"")</f>
        <v/>
      </c>
      <c r="AM18" s="40" t="str">
        <f>IF(AND('Riesgos de Gestión'!$AI$30="Alta",'Riesgos de Gestión'!$AK$30="Catastrófico"),CONCATENATE("R3C",'Riesgos de Gestión'!$V$30),"")</f>
        <v/>
      </c>
      <c r="AN18" s="66"/>
      <c r="AO18" s="635"/>
      <c r="AP18" s="636"/>
      <c r="AQ18" s="636"/>
      <c r="AR18" s="636"/>
      <c r="AS18" s="636"/>
      <c r="AT18" s="63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546"/>
      <c r="C19" s="546"/>
      <c r="D19" s="547"/>
      <c r="E19" s="645"/>
      <c r="F19" s="644"/>
      <c r="G19" s="644"/>
      <c r="H19" s="644"/>
      <c r="I19" s="644"/>
      <c r="J19" s="50" t="str">
        <f>IF(AND('Riesgos de Gestión'!$AI$31="Alta",'Riesgos de Gestión'!$AK$31="Leve"),CONCATENATE("R4C",'Riesgos de Gestión'!$V$31),"")</f>
        <v/>
      </c>
      <c r="K19" s="51" t="str">
        <f>IF(AND('Riesgos de Gestión'!$AI$32="Alta",'Riesgos de Gestión'!$AK$32="Leve"),CONCATENATE("R4C",'Riesgos de Gestión'!$V$32),"")</f>
        <v/>
      </c>
      <c r="L19" s="51" t="str">
        <f>IF(AND('Riesgos de Gestión'!$AI$33="Alta",'Riesgos de Gestión'!$AK$33="Leve"),CONCATENATE("R4C",'Riesgos de Gestión'!$V$33),"")</f>
        <v/>
      </c>
      <c r="M19" s="51" t="str">
        <f>IF(AND('Riesgos de Gestión'!$AI$34="Alta",'Riesgos de Gestión'!$AK$34="Leve"),CONCATENATE("R4C",'Riesgos de Gestión'!$V$34),"")</f>
        <v/>
      </c>
      <c r="N19" s="51" t="str">
        <f>IF(AND('Riesgos de Gestión'!$AI$35="Alta",'Riesgos de Gestión'!$AK$35="Leve"),CONCATENATE("R4C",'Riesgos de Gestión'!$V$35),"")</f>
        <v/>
      </c>
      <c r="O19" s="52" t="str">
        <f>IF(AND('Riesgos de Gestión'!$AI$36="Alta",'Riesgos de Gestión'!$AK$36="Leve"),CONCATENATE("R4C",'Riesgos de Gestión'!$V$36),"")</f>
        <v/>
      </c>
      <c r="P19" s="50" t="str">
        <f>IF(AND('Riesgos de Gestión'!$AI$31="Alta",'Riesgos de Gestión'!$AK$31="Menor"),CONCATENATE("R4C",'Riesgos de Gestión'!$V$31),"")</f>
        <v/>
      </c>
      <c r="Q19" s="51" t="str">
        <f>IF(AND('Riesgos de Gestión'!$AI$32="Alta",'Riesgos de Gestión'!$AK$32="Menor"),CONCATENATE("R4C",'Riesgos de Gestión'!$V$32),"")</f>
        <v/>
      </c>
      <c r="R19" s="51" t="str">
        <f>IF(AND('Riesgos de Gestión'!$AI$33="Alta",'Riesgos de Gestión'!$AK$33="Menor"),CONCATENATE("R4C",'Riesgos de Gestión'!$V$33),"")</f>
        <v/>
      </c>
      <c r="S19" s="51" t="str">
        <f>IF(AND('Riesgos de Gestión'!$AI$34="Alta",'Riesgos de Gestión'!$AK$34="Menor"),CONCATENATE("R4C",'Riesgos de Gestión'!$V$34),"")</f>
        <v/>
      </c>
      <c r="T19" s="51" t="str">
        <f>IF(AND('Riesgos de Gestión'!$AI$35="Alta",'Riesgos de Gestión'!$AK$35="Menor"),CONCATENATE("R4C",'Riesgos de Gestión'!$V$35),"")</f>
        <v/>
      </c>
      <c r="U19" s="52" t="str">
        <f>IF(AND('Riesgos de Gestión'!$AI$36="Alta",'Riesgos de Gestión'!$AK$36="Menor"),CONCATENATE("R4C",'Riesgos de Gestión'!$V$36),"")</f>
        <v/>
      </c>
      <c r="V19" s="35" t="str">
        <f>IF(AND('Riesgos de Gestión'!$AI$31="Alta",'Riesgos de Gestión'!$AK$31="Moderado"),CONCATENATE("R4C",'Riesgos de Gestión'!$V$31),"")</f>
        <v/>
      </c>
      <c r="W19" s="36" t="str">
        <f>IF(AND('Riesgos de Gestión'!$AI$32="Alta",'Riesgos de Gestión'!$AK$32="Moderado"),CONCATENATE("R4C",'Riesgos de Gestión'!$V$32),"")</f>
        <v/>
      </c>
      <c r="X19" s="36" t="str">
        <f>IF(AND('Riesgos de Gestión'!$AI$33="Alta",'Riesgos de Gestión'!$AK$33="Moderado"),CONCATENATE("R4C",'Riesgos de Gestión'!$V$33),"")</f>
        <v/>
      </c>
      <c r="Y19" s="36" t="str">
        <f>IF(AND('Riesgos de Gestión'!$AI$34="Alta",'Riesgos de Gestión'!$AK$34="Moderado"),CONCATENATE("R4C",'Riesgos de Gestión'!$V$34),"")</f>
        <v/>
      </c>
      <c r="Z19" s="36" t="str">
        <f>IF(AND('Riesgos de Gestión'!$AI$35="Alta",'Riesgos de Gestión'!$AK$35="Moderado"),CONCATENATE("R4C",'Riesgos de Gestión'!$V$35),"")</f>
        <v/>
      </c>
      <c r="AA19" s="37" t="str">
        <f>IF(AND('Riesgos de Gestión'!$AI$36="Alta",'Riesgos de Gestión'!$AK$36="Moderado"),CONCATENATE("R4C",'Riesgos de Gestión'!$V$36),"")</f>
        <v/>
      </c>
      <c r="AB19" s="35" t="str">
        <f>IF(AND('Riesgos de Gestión'!$AI$31="Alta",'Riesgos de Gestión'!$AK$31="Mayor"),CONCATENATE("R4C",'Riesgos de Gestión'!$V$31),"")</f>
        <v/>
      </c>
      <c r="AC19" s="36" t="str">
        <f>IF(AND('Riesgos de Gestión'!$AI$32="Alta",'Riesgos de Gestión'!$AK$32="Mayor"),CONCATENATE("R4C",'Riesgos de Gestión'!$V$32),"")</f>
        <v/>
      </c>
      <c r="AD19" s="36" t="str">
        <f>IF(AND('Riesgos de Gestión'!$AI$33="Alta",'Riesgos de Gestión'!$AK$33="Mayor"),CONCATENATE("R4C",'Riesgos de Gestión'!$V$33),"")</f>
        <v/>
      </c>
      <c r="AE19" s="36" t="str">
        <f>IF(AND('Riesgos de Gestión'!$AI$34="Alta",'Riesgos de Gestión'!$AK$34="Mayor"),CONCATENATE("R4C",'Riesgos de Gestión'!$V$34),"")</f>
        <v/>
      </c>
      <c r="AF19" s="36" t="str">
        <f>IF(AND('Riesgos de Gestión'!$AI$35="Alta",'Riesgos de Gestión'!$AK$35="Mayor"),CONCATENATE("R4C",'Riesgos de Gestión'!$V$35),"")</f>
        <v/>
      </c>
      <c r="AG19" s="37" t="str">
        <f>IF(AND('Riesgos de Gestión'!$AI$36="Alta",'Riesgos de Gestión'!$AK$36="Mayor"),CONCATENATE("R4C",'Riesgos de Gestión'!$V$36),"")</f>
        <v/>
      </c>
      <c r="AH19" s="38" t="str">
        <f>IF(AND('Riesgos de Gestión'!$AI$31="Alta",'Riesgos de Gestión'!$AK$31="Catastrófico"),CONCATENATE("R4C",'Riesgos de Gestión'!$V$31),"")</f>
        <v/>
      </c>
      <c r="AI19" s="39" t="str">
        <f>IF(AND('Riesgos de Gestión'!$AI$32="Alta",'Riesgos de Gestión'!$AK$32="Catastrófico"),CONCATENATE("R4C",'Riesgos de Gestión'!$V$32),"")</f>
        <v/>
      </c>
      <c r="AJ19" s="39" t="str">
        <f>IF(AND('Riesgos de Gestión'!$AI$33="Alta",'Riesgos de Gestión'!$AK$33="Catastrófico"),CONCATENATE("R4C",'Riesgos de Gestión'!$V$33),"")</f>
        <v/>
      </c>
      <c r="AK19" s="39" t="str">
        <f>IF(AND('Riesgos de Gestión'!$AI$34="Alta",'Riesgos de Gestión'!$AK$34="Catastrófico"),CONCATENATE("R4C",'Riesgos de Gestión'!$V$34),"")</f>
        <v/>
      </c>
      <c r="AL19" s="39" t="str">
        <f>IF(AND('Riesgos de Gestión'!$AI$35="Alta",'Riesgos de Gestión'!$AK$35="Catastrófico"),CONCATENATE("R4C",'Riesgos de Gestión'!$V$35),"")</f>
        <v/>
      </c>
      <c r="AM19" s="40" t="str">
        <f>IF(AND('Riesgos de Gestión'!$AI$36="Alta",'Riesgos de Gestión'!$AK$36="Catastrófico"),CONCATENATE("R4C",'Riesgos de Gestión'!$V$36),"")</f>
        <v/>
      </c>
      <c r="AN19" s="66"/>
      <c r="AO19" s="635"/>
      <c r="AP19" s="636"/>
      <c r="AQ19" s="636"/>
      <c r="AR19" s="636"/>
      <c r="AS19" s="636"/>
      <c r="AT19" s="63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546"/>
      <c r="C20" s="546"/>
      <c r="D20" s="547"/>
      <c r="E20" s="645"/>
      <c r="F20" s="644"/>
      <c r="G20" s="644"/>
      <c r="H20" s="644"/>
      <c r="I20" s="644"/>
      <c r="J20" s="50" t="str">
        <f>IF(AND('Riesgos de Gestión'!$AI$37="Alta",'Riesgos de Gestión'!$AK$37="Leve"),CONCATENATE("R5C",'Riesgos de Gestión'!$V$37),"")</f>
        <v/>
      </c>
      <c r="K20" s="51" t="str">
        <f>IF(AND('Riesgos de Gestión'!$AI$38="Alta",'Riesgos de Gestión'!$AK$38="Leve"),CONCATENATE("R5C",'Riesgos de Gestión'!$V$38),"")</f>
        <v/>
      </c>
      <c r="L20" s="51" t="str">
        <f>IF(AND('Riesgos de Gestión'!$AI$39="Alta",'Riesgos de Gestión'!$AK$39="Leve"),CONCATENATE("R5C",'Riesgos de Gestión'!$V$39),"")</f>
        <v/>
      </c>
      <c r="M20" s="51" t="str">
        <f>IF(AND('Riesgos de Gestión'!$AI$40="Alta",'Riesgos de Gestión'!$AK$40="Leve"),CONCATENATE("R5C",'Riesgos de Gestión'!$V$40),"")</f>
        <v/>
      </c>
      <c r="N20" s="51" t="str">
        <f>IF(AND('Riesgos de Gestión'!$AI$41="Alta",'Riesgos de Gestión'!$AK$41="Leve"),CONCATENATE("R5C",'Riesgos de Gestión'!$V$41),"")</f>
        <v/>
      </c>
      <c r="O20" s="52" t="str">
        <f>IF(AND('Riesgos de Gestión'!$AI$42="Alta",'Riesgos de Gestión'!$AK$42="Leve"),CONCATENATE("R5C",'Riesgos de Gestión'!$V$42),"")</f>
        <v/>
      </c>
      <c r="P20" s="50" t="str">
        <f>IF(AND('Riesgos de Gestión'!$AI$37="Alta",'Riesgos de Gestión'!$AK$37="Menor"),CONCATENATE("R5C",'Riesgos de Gestión'!$V$37),"")</f>
        <v/>
      </c>
      <c r="Q20" s="51" t="str">
        <f>IF(AND('Riesgos de Gestión'!$AI$38="Alta",'Riesgos de Gestión'!$AK$38="Menor"),CONCATENATE("R5C",'Riesgos de Gestión'!$V$38),"")</f>
        <v/>
      </c>
      <c r="R20" s="51" t="str">
        <f>IF(AND('Riesgos de Gestión'!$AI$39="Alta",'Riesgos de Gestión'!$AK$39="Menor"),CONCATENATE("R5C",'Riesgos de Gestión'!$V$39),"")</f>
        <v/>
      </c>
      <c r="S20" s="51" t="str">
        <f>IF(AND('Riesgos de Gestión'!$AI$40="Alta",'Riesgos de Gestión'!$AK$40="Menor"),CONCATENATE("R5C",'Riesgos de Gestión'!$V$40),"")</f>
        <v/>
      </c>
      <c r="T20" s="51" t="str">
        <f>IF(AND('Riesgos de Gestión'!$AI$41="Alta",'Riesgos de Gestión'!$AK$41="Menor"),CONCATENATE("R5C",'Riesgos de Gestión'!$V$41),"")</f>
        <v/>
      </c>
      <c r="U20" s="52" t="str">
        <f>IF(AND('Riesgos de Gestión'!$AI$42="Alta",'Riesgos de Gestión'!$AK$42="Menor"),CONCATENATE("R5C",'Riesgos de Gestión'!$V$42),"")</f>
        <v/>
      </c>
      <c r="V20" s="35" t="str">
        <f>IF(AND('Riesgos de Gestión'!$AI$37="Alta",'Riesgos de Gestión'!$AK$37="Moderado"),CONCATENATE("R5C",'Riesgos de Gestión'!$V$37),"")</f>
        <v/>
      </c>
      <c r="W20" s="36" t="str">
        <f>IF(AND('Riesgos de Gestión'!$AI$38="Alta",'Riesgos de Gestión'!$AK$38="Moderado"),CONCATENATE("R5C",'Riesgos de Gestión'!$V$38),"")</f>
        <v/>
      </c>
      <c r="X20" s="36" t="str">
        <f>IF(AND('Riesgos de Gestión'!$AI$39="Alta",'Riesgos de Gestión'!$AK$39="Moderado"),CONCATENATE("R5C",'Riesgos de Gestión'!$V$39),"")</f>
        <v/>
      </c>
      <c r="Y20" s="36" t="str">
        <f>IF(AND('Riesgos de Gestión'!$AI$40="Alta",'Riesgos de Gestión'!$AK$40="Moderado"),CONCATENATE("R5C",'Riesgos de Gestión'!$V$40),"")</f>
        <v/>
      </c>
      <c r="Z20" s="36" t="str">
        <f>IF(AND('Riesgos de Gestión'!$AI$41="Alta",'Riesgos de Gestión'!$AK$41="Moderado"),CONCATENATE("R5C",'Riesgos de Gestión'!$V$41),"")</f>
        <v/>
      </c>
      <c r="AA20" s="37" t="str">
        <f>IF(AND('Riesgos de Gestión'!$AI$42="Alta",'Riesgos de Gestión'!$AK$42="Moderado"),CONCATENATE("R5C",'Riesgos de Gestión'!$V$42),"")</f>
        <v/>
      </c>
      <c r="AB20" s="35" t="str">
        <f>IF(AND('Riesgos de Gestión'!$AI$37="Alta",'Riesgos de Gestión'!$AK$37="Mayor"),CONCATENATE("R5C",'Riesgos de Gestión'!$V$37),"")</f>
        <v/>
      </c>
      <c r="AC20" s="36" t="str">
        <f>IF(AND('Riesgos de Gestión'!$AI$38="Alta",'Riesgos de Gestión'!$AK$38="Mayor"),CONCATENATE("R5C",'Riesgos de Gestión'!$V$38),"")</f>
        <v/>
      </c>
      <c r="AD20" s="36" t="str">
        <f>IF(AND('Riesgos de Gestión'!$AI$39="Alta",'Riesgos de Gestión'!$AK$39="Mayor"),CONCATENATE("R5C",'Riesgos de Gestión'!$V$39),"")</f>
        <v/>
      </c>
      <c r="AE20" s="36" t="str">
        <f>IF(AND('Riesgos de Gestión'!$AI$40="Alta",'Riesgos de Gestión'!$AK$40="Mayor"),CONCATENATE("R5C",'Riesgos de Gestión'!$V$40),"")</f>
        <v/>
      </c>
      <c r="AF20" s="36" t="str">
        <f>IF(AND('Riesgos de Gestión'!$AI$41="Alta",'Riesgos de Gestión'!$AK$41="Mayor"),CONCATENATE("R5C",'Riesgos de Gestión'!$V$41),"")</f>
        <v/>
      </c>
      <c r="AG20" s="37" t="str">
        <f>IF(AND('Riesgos de Gestión'!$AI$42="Alta",'Riesgos de Gestión'!$AK$42="Mayor"),CONCATENATE("R5C",'Riesgos de Gestión'!$V$42),"")</f>
        <v/>
      </c>
      <c r="AH20" s="38" t="str">
        <f>IF(AND('Riesgos de Gestión'!$AI$37="Alta",'Riesgos de Gestión'!$AK$37="Catastrófico"),CONCATENATE("R5C",'Riesgos de Gestión'!$V$37),"")</f>
        <v/>
      </c>
      <c r="AI20" s="39" t="str">
        <f>IF(AND('Riesgos de Gestión'!$AI$38="Alta",'Riesgos de Gestión'!$AK$38="Catastrófico"),CONCATENATE("R5C",'Riesgos de Gestión'!$V$38),"")</f>
        <v/>
      </c>
      <c r="AJ20" s="39" t="str">
        <f>IF(AND('Riesgos de Gestión'!$AI$39="Alta",'Riesgos de Gestión'!$AK$39="Catastrófico"),CONCATENATE("R5C",'Riesgos de Gestión'!$V$39),"")</f>
        <v/>
      </c>
      <c r="AK20" s="39" t="str">
        <f>IF(AND('Riesgos de Gestión'!$AI$40="Alta",'Riesgos de Gestión'!$AK$40="Catastrófico"),CONCATENATE("R5C",'Riesgos de Gestión'!$V$40),"")</f>
        <v/>
      </c>
      <c r="AL20" s="39" t="str">
        <f>IF(AND('Riesgos de Gestión'!$AI$41="Alta",'Riesgos de Gestión'!$AK$41="Catastrófico"),CONCATENATE("R5C",'Riesgos de Gestión'!$V$41),"")</f>
        <v/>
      </c>
      <c r="AM20" s="40" t="str">
        <f>IF(AND('Riesgos de Gestión'!$AI$42="Alta",'Riesgos de Gestión'!$AK$42="Catastrófico"),CONCATENATE("R5C",'Riesgos de Gestión'!$V$42),"")</f>
        <v/>
      </c>
      <c r="AN20" s="66"/>
      <c r="AO20" s="635"/>
      <c r="AP20" s="636"/>
      <c r="AQ20" s="636"/>
      <c r="AR20" s="636"/>
      <c r="AS20" s="636"/>
      <c r="AT20" s="63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546"/>
      <c r="C21" s="546"/>
      <c r="D21" s="547"/>
      <c r="E21" s="645"/>
      <c r="F21" s="644"/>
      <c r="G21" s="644"/>
      <c r="H21" s="644"/>
      <c r="I21" s="644"/>
      <c r="J21" s="50" t="str">
        <f>IF(AND('Riesgos de Gestión'!$AI$43="Alta",'Riesgos de Gestión'!$AK$43="Leve"),CONCATENATE("R6C",'Riesgos de Gestión'!$V$43),"")</f>
        <v/>
      </c>
      <c r="K21" s="51" t="str">
        <f>IF(AND('Riesgos de Gestión'!$AI$44="Alta",'Riesgos de Gestión'!$AK$44="Leve"),CONCATENATE("R6C",'Riesgos de Gestión'!$V$44),"")</f>
        <v/>
      </c>
      <c r="L21" s="51" t="str">
        <f>IF(AND('Riesgos de Gestión'!$AI$45="Alta",'Riesgos de Gestión'!$AK$45="Leve"),CONCATENATE("R6C",'Riesgos de Gestión'!$V$45),"")</f>
        <v/>
      </c>
      <c r="M21" s="51" t="str">
        <f>IF(AND('Riesgos de Gestión'!$AI$46="Alta",'Riesgos de Gestión'!$AK$46="Leve"),CONCATENATE("R6C",'Riesgos de Gestión'!$V$46),"")</f>
        <v/>
      </c>
      <c r="N21" s="51" t="str">
        <f>IF(AND('Riesgos de Gestión'!$AI$47="Alta",'Riesgos de Gestión'!$AK$47="Leve"),CONCATENATE("R6C",'Riesgos de Gestión'!$V$47),"")</f>
        <v/>
      </c>
      <c r="O21" s="52" t="str">
        <f>IF(AND('Riesgos de Gestión'!$AI$48="Alta",'Riesgos de Gestión'!$AK$48="Leve"),CONCATENATE("R6C",'Riesgos de Gestión'!$V$48),"")</f>
        <v/>
      </c>
      <c r="P21" s="50" t="str">
        <f>IF(AND('Riesgos de Gestión'!$AI$43="Alta",'Riesgos de Gestión'!$AK$43="Menor"),CONCATENATE("R6C",'Riesgos de Gestión'!$V$43),"")</f>
        <v/>
      </c>
      <c r="Q21" s="51" t="str">
        <f>IF(AND('Riesgos de Gestión'!$AI$44="Alta",'Riesgos de Gestión'!$AK$44="Menor"),CONCATENATE("R6C",'Riesgos de Gestión'!$V$44),"")</f>
        <v/>
      </c>
      <c r="R21" s="51" t="str">
        <f>IF(AND('Riesgos de Gestión'!$AI$45="Alta",'Riesgos de Gestión'!$AK$45="Menor"),CONCATENATE("R6C",'Riesgos de Gestión'!$V$45),"")</f>
        <v/>
      </c>
      <c r="S21" s="51" t="str">
        <f>IF(AND('Riesgos de Gestión'!$AI$46="Alta",'Riesgos de Gestión'!$AK$46="Menor"),CONCATENATE("R6C",'Riesgos de Gestión'!$V$46),"")</f>
        <v/>
      </c>
      <c r="T21" s="51" t="str">
        <f>IF(AND('Riesgos de Gestión'!$AI$47="Alta",'Riesgos de Gestión'!$AK$47="Menor"),CONCATENATE("R6C",'Riesgos de Gestión'!$V$47),"")</f>
        <v/>
      </c>
      <c r="U21" s="52" t="str">
        <f>IF(AND('Riesgos de Gestión'!$AI$48="Alta",'Riesgos de Gestión'!$AK$48="Menor"),CONCATENATE("R6C",'Riesgos de Gestión'!$V$48),"")</f>
        <v/>
      </c>
      <c r="V21" s="35" t="str">
        <f>IF(AND('Riesgos de Gestión'!$AI$43="Alta",'Riesgos de Gestión'!$AK$43="Moderado"),CONCATENATE("R6C",'Riesgos de Gestión'!$V$43),"")</f>
        <v/>
      </c>
      <c r="W21" s="36" t="str">
        <f>IF(AND('Riesgos de Gestión'!$AI$44="Alta",'Riesgos de Gestión'!$AK$44="Moderado"),CONCATENATE("R6C",'Riesgos de Gestión'!$V$44),"")</f>
        <v/>
      </c>
      <c r="X21" s="36" t="str">
        <f>IF(AND('Riesgos de Gestión'!$AI$45="Alta",'Riesgos de Gestión'!$AK$45="Moderado"),CONCATENATE("R6C",'Riesgos de Gestión'!$V$45),"")</f>
        <v/>
      </c>
      <c r="Y21" s="36" t="str">
        <f>IF(AND('Riesgos de Gestión'!$AI$46="Alta",'Riesgos de Gestión'!$AK$46="Moderado"),CONCATENATE("R6C",'Riesgos de Gestión'!$V$46),"")</f>
        <v/>
      </c>
      <c r="Z21" s="36" t="str">
        <f>IF(AND('Riesgos de Gestión'!$AI$47="Alta",'Riesgos de Gestión'!$AK$47="Moderado"),CONCATENATE("R6C",'Riesgos de Gestión'!$V$47),"")</f>
        <v/>
      </c>
      <c r="AA21" s="37" t="str">
        <f>IF(AND('Riesgos de Gestión'!$AI$48="Alta",'Riesgos de Gestión'!$AK$48="Moderado"),CONCATENATE("R6C",'Riesgos de Gestión'!$V$48),"")</f>
        <v/>
      </c>
      <c r="AB21" s="35" t="str">
        <f>IF(AND('Riesgos de Gestión'!$AI$43="Alta",'Riesgos de Gestión'!$AK$43="Mayor"),CONCATENATE("R6C",'Riesgos de Gestión'!$V$43),"")</f>
        <v/>
      </c>
      <c r="AC21" s="36" t="str">
        <f>IF(AND('Riesgos de Gestión'!$AI$44="Alta",'Riesgos de Gestión'!$AK$44="Mayor"),CONCATENATE("R6C",'Riesgos de Gestión'!$V$44),"")</f>
        <v/>
      </c>
      <c r="AD21" s="36" t="str">
        <f>IF(AND('Riesgos de Gestión'!$AI$45="Alta",'Riesgos de Gestión'!$AK$45="Mayor"),CONCATENATE("R6C",'Riesgos de Gestión'!$V$45),"")</f>
        <v/>
      </c>
      <c r="AE21" s="36" t="str">
        <f>IF(AND('Riesgos de Gestión'!$AI$46="Alta",'Riesgos de Gestión'!$AK$46="Mayor"),CONCATENATE("R6C",'Riesgos de Gestión'!$V$46),"")</f>
        <v/>
      </c>
      <c r="AF21" s="36" t="str">
        <f>IF(AND('Riesgos de Gestión'!$AI$47="Alta",'Riesgos de Gestión'!$AK$47="Mayor"),CONCATENATE("R6C",'Riesgos de Gestión'!$V$47),"")</f>
        <v/>
      </c>
      <c r="AG21" s="37" t="str">
        <f>IF(AND('Riesgos de Gestión'!$AI$48="Alta",'Riesgos de Gestión'!$AK$48="Mayor"),CONCATENATE("R6C",'Riesgos de Gestión'!$V$48),"")</f>
        <v/>
      </c>
      <c r="AH21" s="38" t="str">
        <f>IF(AND('Riesgos de Gestión'!$AI$43="Alta",'Riesgos de Gestión'!$AK$43="Catastrófico"),CONCATENATE("R6C",'Riesgos de Gestión'!$V$43),"")</f>
        <v/>
      </c>
      <c r="AI21" s="39" t="str">
        <f>IF(AND('Riesgos de Gestión'!$AI$44="Alta",'Riesgos de Gestión'!$AK$44="Catastrófico"),CONCATENATE("R6C",'Riesgos de Gestión'!$V$44),"")</f>
        <v/>
      </c>
      <c r="AJ21" s="39" t="str">
        <f>IF(AND('Riesgos de Gestión'!$AI$45="Alta",'Riesgos de Gestión'!$AK$45="Catastrófico"),CONCATENATE("R6C",'Riesgos de Gestión'!$V$45),"")</f>
        <v/>
      </c>
      <c r="AK21" s="39" t="str">
        <f>IF(AND('Riesgos de Gestión'!$AI$46="Alta",'Riesgos de Gestión'!$AK$46="Catastrófico"),CONCATENATE("R6C",'Riesgos de Gestión'!$V$46),"")</f>
        <v/>
      </c>
      <c r="AL21" s="39" t="str">
        <f>IF(AND('Riesgos de Gestión'!$AI$47="Alta",'Riesgos de Gestión'!$AK$47="Catastrófico"),CONCATENATE("R6C",'Riesgos de Gestión'!$V$47),"")</f>
        <v/>
      </c>
      <c r="AM21" s="40" t="str">
        <f>IF(AND('Riesgos de Gestión'!$AI$48="Alta",'Riesgos de Gestión'!$AK$48="Catastrófico"),CONCATENATE("R6C",'Riesgos de Gestión'!$V$48),"")</f>
        <v/>
      </c>
      <c r="AN21" s="66"/>
      <c r="AO21" s="635"/>
      <c r="AP21" s="636"/>
      <c r="AQ21" s="636"/>
      <c r="AR21" s="636"/>
      <c r="AS21" s="636"/>
      <c r="AT21" s="63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546"/>
      <c r="C22" s="546"/>
      <c r="D22" s="547"/>
      <c r="E22" s="645"/>
      <c r="F22" s="644"/>
      <c r="G22" s="644"/>
      <c r="H22" s="644"/>
      <c r="I22" s="644"/>
      <c r="J22" s="50" t="str">
        <f>IF(AND('Riesgos de Gestión'!$AI$49="Alta",'Riesgos de Gestión'!$AK$49="Leve"),CONCATENATE("R7C",'Riesgos de Gestión'!$V$49),"")</f>
        <v/>
      </c>
      <c r="K22" s="51" t="str">
        <f>IF(AND('Riesgos de Gestión'!$AI$50="Alta",'Riesgos de Gestión'!$AK$50="Leve"),CONCATENATE("R7C",'Riesgos de Gestión'!$V$50),"")</f>
        <v/>
      </c>
      <c r="L22" s="51" t="str">
        <f>IF(AND('Riesgos de Gestión'!$AI$51="Alta",'Riesgos de Gestión'!$AK$51="Leve"),CONCATENATE("R7C",'Riesgos de Gestión'!$V$51),"")</f>
        <v/>
      </c>
      <c r="M22" s="51" t="str">
        <f>IF(AND('Riesgos de Gestión'!$AI$52="Alta",'Riesgos de Gestión'!$AK$52="Leve"),CONCATENATE("R7C",'Riesgos de Gestión'!$V$52),"")</f>
        <v/>
      </c>
      <c r="N22" s="51" t="str">
        <f>IF(AND('Riesgos de Gestión'!$AI$53="Alta",'Riesgos de Gestión'!$AK$53="Leve"),CONCATENATE("R7C",'Riesgos de Gestión'!$V$53),"")</f>
        <v/>
      </c>
      <c r="O22" s="52" t="str">
        <f>IF(AND('Riesgos de Gestión'!$AI$54="Alta",'Riesgos de Gestión'!$AK$54="Leve"),CONCATENATE("R7C",'Riesgos de Gestión'!$V$54),"")</f>
        <v/>
      </c>
      <c r="P22" s="50" t="str">
        <f>IF(AND('Riesgos de Gestión'!$AI$49="Alta",'Riesgos de Gestión'!$AK$49="Menor"),CONCATENATE("R7C",'Riesgos de Gestión'!$V$49),"")</f>
        <v/>
      </c>
      <c r="Q22" s="51" t="str">
        <f>IF(AND('Riesgos de Gestión'!$AI$50="Alta",'Riesgos de Gestión'!$AK$50="Menor"),CONCATENATE("R7C",'Riesgos de Gestión'!$V$50),"")</f>
        <v/>
      </c>
      <c r="R22" s="51" t="str">
        <f>IF(AND('Riesgos de Gestión'!$AI$51="Alta",'Riesgos de Gestión'!$AK$51="Menor"),CONCATENATE("R7C",'Riesgos de Gestión'!$V$51),"")</f>
        <v/>
      </c>
      <c r="S22" s="51" t="str">
        <f>IF(AND('Riesgos de Gestión'!$AI$52="Alta",'Riesgos de Gestión'!$AK$52="Menor"),CONCATENATE("R7C",'Riesgos de Gestión'!$V$52),"")</f>
        <v/>
      </c>
      <c r="T22" s="51" t="str">
        <f>IF(AND('Riesgos de Gestión'!$AI$53="Alta",'Riesgos de Gestión'!$AK$53="Menor"),CONCATENATE("R7C",'Riesgos de Gestión'!$V$53),"")</f>
        <v/>
      </c>
      <c r="U22" s="52" t="str">
        <f>IF(AND('Riesgos de Gestión'!$AI$54="Alta",'Riesgos de Gestión'!$AK$54="Menor"),CONCATENATE("R7C",'Riesgos de Gestión'!$V$54),"")</f>
        <v/>
      </c>
      <c r="V22" s="35" t="str">
        <f>IF(AND('Riesgos de Gestión'!$AI$49="Alta",'Riesgos de Gestión'!$AK$49="Moderado"),CONCATENATE("R7C",'Riesgos de Gestión'!$V$49),"")</f>
        <v/>
      </c>
      <c r="W22" s="36" t="str">
        <f>IF(AND('Riesgos de Gestión'!$AI$50="Alta",'Riesgos de Gestión'!$AK$50="Moderado"),CONCATENATE("R7C",'Riesgos de Gestión'!$V$50),"")</f>
        <v/>
      </c>
      <c r="X22" s="36" t="str">
        <f>IF(AND('Riesgos de Gestión'!$AI$51="Alta",'Riesgos de Gestión'!$AK$51="Moderado"),CONCATENATE("R7C",'Riesgos de Gestión'!$V$51),"")</f>
        <v/>
      </c>
      <c r="Y22" s="36" t="str">
        <f>IF(AND('Riesgos de Gestión'!$AI$52="Alta",'Riesgos de Gestión'!$AK$52="Moderado"),CONCATENATE("R7C",'Riesgos de Gestión'!$V$52),"")</f>
        <v/>
      </c>
      <c r="Z22" s="36" t="str">
        <f>IF(AND('Riesgos de Gestión'!$AI$53="Alta",'Riesgos de Gestión'!$AK$53="Moderado"),CONCATENATE("R7C",'Riesgos de Gestión'!$V$53),"")</f>
        <v/>
      </c>
      <c r="AA22" s="37" t="str">
        <f>IF(AND('Riesgos de Gestión'!$AI$54="Alta",'Riesgos de Gestión'!$AK$54="Moderado"),CONCATENATE("R7C",'Riesgos de Gestión'!$V$54),"")</f>
        <v/>
      </c>
      <c r="AB22" s="35" t="str">
        <f>IF(AND('Riesgos de Gestión'!$AI$49="Alta",'Riesgos de Gestión'!$AK$49="Mayor"),CONCATENATE("R7C",'Riesgos de Gestión'!$V$49),"")</f>
        <v/>
      </c>
      <c r="AC22" s="36" t="str">
        <f>IF(AND('Riesgos de Gestión'!$AI$50="Alta",'Riesgos de Gestión'!$AK$50="Mayor"),CONCATENATE("R7C",'Riesgos de Gestión'!$V$50),"")</f>
        <v/>
      </c>
      <c r="AD22" s="36" t="str">
        <f>IF(AND('Riesgos de Gestión'!$AI$51="Alta",'Riesgos de Gestión'!$AK$51="Mayor"),CONCATENATE("R7C",'Riesgos de Gestión'!$V$51),"")</f>
        <v/>
      </c>
      <c r="AE22" s="36" t="str">
        <f>IF(AND('Riesgos de Gestión'!$AI$52="Alta",'Riesgos de Gestión'!$AK$52="Mayor"),CONCATENATE("R7C",'Riesgos de Gestión'!$V$52),"")</f>
        <v/>
      </c>
      <c r="AF22" s="36" t="str">
        <f>IF(AND('Riesgos de Gestión'!$AI$53="Alta",'Riesgos de Gestión'!$AK$53="Mayor"),CONCATENATE("R7C",'Riesgos de Gestión'!$V$53),"")</f>
        <v/>
      </c>
      <c r="AG22" s="37" t="str">
        <f>IF(AND('Riesgos de Gestión'!$AI$54="Alta",'Riesgos de Gestión'!$AK$54="Mayor"),CONCATENATE("R7C",'Riesgos de Gestión'!$V$54),"")</f>
        <v/>
      </c>
      <c r="AH22" s="38" t="str">
        <f>IF(AND('Riesgos de Gestión'!$AI$49="Alta",'Riesgos de Gestión'!$AK$49="Catastrófico"),CONCATENATE("R7C",'Riesgos de Gestión'!$V$49),"")</f>
        <v/>
      </c>
      <c r="AI22" s="39" t="str">
        <f>IF(AND('Riesgos de Gestión'!$AI$50="Alta",'Riesgos de Gestión'!$AK$50="Catastrófico"),CONCATENATE("R7C",'Riesgos de Gestión'!$V$50),"")</f>
        <v/>
      </c>
      <c r="AJ22" s="39" t="str">
        <f>IF(AND('Riesgos de Gestión'!$AI$51="Alta",'Riesgos de Gestión'!$AK$51="Catastrófico"),CONCATENATE("R7C",'Riesgos de Gestión'!$V$51),"")</f>
        <v/>
      </c>
      <c r="AK22" s="39" t="str">
        <f>IF(AND('Riesgos de Gestión'!$AI$52="Alta",'Riesgos de Gestión'!$AK$52="Catastrófico"),CONCATENATE("R7C",'Riesgos de Gestión'!$V$52),"")</f>
        <v/>
      </c>
      <c r="AL22" s="39" t="str">
        <f>IF(AND('Riesgos de Gestión'!$AI$53="Alta",'Riesgos de Gestión'!$AK$53="Catastrófico"),CONCATENATE("R7C",'Riesgos de Gestión'!$V$53),"")</f>
        <v/>
      </c>
      <c r="AM22" s="40" t="str">
        <f>IF(AND('Riesgos de Gestión'!$AI$54="Alta",'Riesgos de Gestión'!$AK$54="Catastrófico"),CONCATENATE("R7C",'Riesgos de Gestión'!$V$54),"")</f>
        <v/>
      </c>
      <c r="AN22" s="66"/>
      <c r="AO22" s="635"/>
      <c r="AP22" s="636"/>
      <c r="AQ22" s="636"/>
      <c r="AR22" s="636"/>
      <c r="AS22" s="636"/>
      <c r="AT22" s="63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546"/>
      <c r="C23" s="546"/>
      <c r="D23" s="547"/>
      <c r="E23" s="645"/>
      <c r="F23" s="644"/>
      <c r="G23" s="644"/>
      <c r="H23" s="644"/>
      <c r="I23" s="644"/>
      <c r="J23" s="50" t="str">
        <f>IF(AND('Riesgos de Gestión'!$AI$55="Alta",'Riesgos de Gestión'!$AK$55="Leve"),CONCATENATE("R8C",'Riesgos de Gestión'!$V$55),"")</f>
        <v/>
      </c>
      <c r="K23" s="51" t="str">
        <f>IF(AND('Riesgos de Gestión'!$AI$56="Alta",'Riesgos de Gestión'!$AK$56="Leve"),CONCATENATE("R8C",'Riesgos de Gestión'!$V$56),"")</f>
        <v/>
      </c>
      <c r="L23" s="51" t="str">
        <f>IF(AND('Riesgos de Gestión'!$AI$57="Alta",'Riesgos de Gestión'!$AK$57="Leve"),CONCATENATE("R8C",'Riesgos de Gestión'!$V$57),"")</f>
        <v/>
      </c>
      <c r="M23" s="51" t="str">
        <f>IF(AND('Riesgos de Gestión'!$AI$58="Alta",'Riesgos de Gestión'!$AK$58="Leve"),CONCATENATE("R8C",'Riesgos de Gestión'!$V$58),"")</f>
        <v/>
      </c>
      <c r="N23" s="51" t="str">
        <f>IF(AND('Riesgos de Gestión'!$AI$59="Alta",'Riesgos de Gestión'!$AK$59="Leve"),CONCATENATE("R8C",'Riesgos de Gestión'!$V$59),"")</f>
        <v/>
      </c>
      <c r="O23" s="52" t="str">
        <f>IF(AND('Riesgos de Gestión'!$AI$60="Alta",'Riesgos de Gestión'!$AK$60="Leve"),CONCATENATE("R8C",'Riesgos de Gestión'!$V$60),"")</f>
        <v/>
      </c>
      <c r="P23" s="50" t="str">
        <f>IF(AND('Riesgos de Gestión'!$AI$55="Alta",'Riesgos de Gestión'!$AK$55="Menor"),CONCATENATE("R8C",'Riesgos de Gestión'!$V$55),"")</f>
        <v/>
      </c>
      <c r="Q23" s="51" t="str">
        <f>IF(AND('Riesgos de Gestión'!$AI$56="Alta",'Riesgos de Gestión'!$AK$56="Menor"),CONCATENATE("R8C",'Riesgos de Gestión'!$V$56),"")</f>
        <v/>
      </c>
      <c r="R23" s="51" t="str">
        <f>IF(AND('Riesgos de Gestión'!$AI$57="Alta",'Riesgos de Gestión'!$AK$57="Menor"),CONCATENATE("R8C",'Riesgos de Gestión'!$V$57),"")</f>
        <v/>
      </c>
      <c r="S23" s="51" t="str">
        <f>IF(AND('Riesgos de Gestión'!$AI$58="Alta",'Riesgos de Gestión'!$AK$58="Menor"),CONCATENATE("R8C",'Riesgos de Gestión'!$V$58),"")</f>
        <v/>
      </c>
      <c r="T23" s="51" t="str">
        <f>IF(AND('Riesgos de Gestión'!$AI$59="Alta",'Riesgos de Gestión'!$AK$59="Menor"),CONCATENATE("R8C",'Riesgos de Gestión'!$V$59),"")</f>
        <v/>
      </c>
      <c r="U23" s="52" t="str">
        <f>IF(AND('Riesgos de Gestión'!$AI$60="Alta",'Riesgos de Gestión'!$AK$60="Menor"),CONCATENATE("R8C",'Riesgos de Gestión'!$V$60),"")</f>
        <v/>
      </c>
      <c r="V23" s="35" t="str">
        <f>IF(AND('Riesgos de Gestión'!$AI$55="Alta",'Riesgos de Gestión'!$AK$55="Moderado"),CONCATENATE("R8C",'Riesgos de Gestión'!$V$55),"")</f>
        <v/>
      </c>
      <c r="W23" s="36" t="str">
        <f>IF(AND('Riesgos de Gestión'!$AI$56="Alta",'Riesgos de Gestión'!$AK$56="Moderado"),CONCATENATE("R8C",'Riesgos de Gestión'!$V$56),"")</f>
        <v/>
      </c>
      <c r="X23" s="36" t="str">
        <f>IF(AND('Riesgos de Gestión'!$AI$57="Alta",'Riesgos de Gestión'!$AK$57="Moderado"),CONCATENATE("R8C",'Riesgos de Gestión'!$V$57),"")</f>
        <v/>
      </c>
      <c r="Y23" s="36" t="str">
        <f>IF(AND('Riesgos de Gestión'!$AI$58="Alta",'Riesgos de Gestión'!$AK$58="Moderado"),CONCATENATE("R8C",'Riesgos de Gestión'!$V$58),"")</f>
        <v/>
      </c>
      <c r="Z23" s="36" t="str">
        <f>IF(AND('Riesgos de Gestión'!$AI$59="Alta",'Riesgos de Gestión'!$AK$59="Moderado"),CONCATENATE("R8C",'Riesgos de Gestión'!$V$59),"")</f>
        <v/>
      </c>
      <c r="AA23" s="37" t="str">
        <f>IF(AND('Riesgos de Gestión'!$AI$60="Alta",'Riesgos de Gestión'!$AK$60="Moderado"),CONCATENATE("R8C",'Riesgos de Gestión'!$V$60),"")</f>
        <v/>
      </c>
      <c r="AB23" s="35" t="str">
        <f>IF(AND('Riesgos de Gestión'!$AI$55="Alta",'Riesgos de Gestión'!$AK$55="Mayor"),CONCATENATE("R8C",'Riesgos de Gestión'!$V$55),"")</f>
        <v/>
      </c>
      <c r="AC23" s="36" t="str">
        <f>IF(AND('Riesgos de Gestión'!$AI$56="Alta",'Riesgos de Gestión'!$AK$56="Mayor"),CONCATENATE("R8C",'Riesgos de Gestión'!$V$56),"")</f>
        <v/>
      </c>
      <c r="AD23" s="36" t="str">
        <f>IF(AND('Riesgos de Gestión'!$AI$57="Alta",'Riesgos de Gestión'!$AK$57="Mayor"),CONCATENATE("R8C",'Riesgos de Gestión'!$V$57),"")</f>
        <v/>
      </c>
      <c r="AE23" s="36" t="str">
        <f>IF(AND('Riesgos de Gestión'!$AI$58="Alta",'Riesgos de Gestión'!$AK$58="Mayor"),CONCATENATE("R8C",'Riesgos de Gestión'!$V$58),"")</f>
        <v/>
      </c>
      <c r="AF23" s="36" t="str">
        <f>IF(AND('Riesgos de Gestión'!$AI$59="Alta",'Riesgos de Gestión'!$AK$59="Mayor"),CONCATENATE("R8C",'Riesgos de Gestión'!$V$59),"")</f>
        <v/>
      </c>
      <c r="AG23" s="37" t="str">
        <f>IF(AND('Riesgos de Gestión'!$AI$60="Alta",'Riesgos de Gestión'!$AK$60="Mayor"),CONCATENATE("R8C",'Riesgos de Gestión'!$V$60),"")</f>
        <v/>
      </c>
      <c r="AH23" s="38" t="str">
        <f>IF(AND('Riesgos de Gestión'!$AI$55="Alta",'Riesgos de Gestión'!$AK$55="Catastrófico"),CONCATENATE("R8C",'Riesgos de Gestión'!$V$55),"")</f>
        <v/>
      </c>
      <c r="AI23" s="39" t="str">
        <f>IF(AND('Riesgos de Gestión'!$AI$56="Alta",'Riesgos de Gestión'!$AK$56="Catastrófico"),CONCATENATE("R8C",'Riesgos de Gestión'!$V$56),"")</f>
        <v/>
      </c>
      <c r="AJ23" s="39" t="str">
        <f>IF(AND('Riesgos de Gestión'!$AI$57="Alta",'Riesgos de Gestión'!$AK$57="Catastrófico"),CONCATENATE("R8C",'Riesgos de Gestión'!$V$57),"")</f>
        <v/>
      </c>
      <c r="AK23" s="39" t="str">
        <f>IF(AND('Riesgos de Gestión'!$AI$58="Alta",'Riesgos de Gestión'!$AK$58="Catastrófico"),CONCATENATE("R8C",'Riesgos de Gestión'!$V$58),"")</f>
        <v/>
      </c>
      <c r="AL23" s="39" t="str">
        <f>IF(AND('Riesgos de Gestión'!$AI$59="Alta",'Riesgos de Gestión'!$AK$59="Catastrófico"),CONCATENATE("R8C",'Riesgos de Gestión'!$V$59),"")</f>
        <v/>
      </c>
      <c r="AM23" s="40" t="str">
        <f>IF(AND('Riesgos de Gestión'!$AI$60="Alta",'Riesgos de Gestión'!$AK$60="Catastrófico"),CONCATENATE("R8C",'Riesgos de Gestión'!$V$60),"")</f>
        <v/>
      </c>
      <c r="AN23" s="66"/>
      <c r="AO23" s="635"/>
      <c r="AP23" s="636"/>
      <c r="AQ23" s="636"/>
      <c r="AR23" s="636"/>
      <c r="AS23" s="636"/>
      <c r="AT23" s="63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546"/>
      <c r="C24" s="546"/>
      <c r="D24" s="547"/>
      <c r="E24" s="645"/>
      <c r="F24" s="644"/>
      <c r="G24" s="644"/>
      <c r="H24" s="644"/>
      <c r="I24" s="644"/>
      <c r="J24" s="50" t="str">
        <f>IF(AND('Riesgos de Gestión'!$AI$61="Alta",'Riesgos de Gestión'!$AK$61="Leve"),CONCATENATE("R9C",'Riesgos de Gestión'!$V$61),"")</f>
        <v/>
      </c>
      <c r="K24" s="51" t="str">
        <f>IF(AND('Riesgos de Gestión'!$AI$62="Alta",'Riesgos de Gestión'!$AK$62="Leve"),CONCATENATE("R9C",'Riesgos de Gestión'!$V$62),"")</f>
        <v/>
      </c>
      <c r="L24" s="51" t="str">
        <f>IF(AND('Riesgos de Gestión'!$AI$63="Alta",'Riesgos de Gestión'!$AK$63="Leve"),CONCATENATE("R9C",'Riesgos de Gestión'!$V$63),"")</f>
        <v/>
      </c>
      <c r="M24" s="51" t="str">
        <f>IF(AND('Riesgos de Gestión'!$AI$64="Alta",'Riesgos de Gestión'!$AK$64="Leve"),CONCATENATE("R9C",'Riesgos de Gestión'!$V$64),"")</f>
        <v/>
      </c>
      <c r="N24" s="51" t="str">
        <f>IF(AND('Riesgos de Gestión'!$AI$65="Alta",'Riesgos de Gestión'!$AK$65="Leve"),CONCATENATE("R9C",'Riesgos de Gestión'!$V$65),"")</f>
        <v/>
      </c>
      <c r="O24" s="52" t="str">
        <f>IF(AND('Riesgos de Gestión'!$AI$66="Alta",'Riesgos de Gestión'!$AK$66="Leve"),CONCATENATE("R9C",'Riesgos de Gestión'!$V$66),"")</f>
        <v/>
      </c>
      <c r="P24" s="50" t="str">
        <f>IF(AND('Riesgos de Gestión'!$AI$61="Alta",'Riesgos de Gestión'!$AK$61="Menor"),CONCATENATE("R9C",'Riesgos de Gestión'!$V$61),"")</f>
        <v/>
      </c>
      <c r="Q24" s="51" t="str">
        <f>IF(AND('Riesgos de Gestión'!$AI$62="Alta",'Riesgos de Gestión'!$AK$62="Menor"),CONCATENATE("R9C",'Riesgos de Gestión'!$V$62),"")</f>
        <v/>
      </c>
      <c r="R24" s="51" t="str">
        <f>IF(AND('Riesgos de Gestión'!$AI$63="Alta",'Riesgos de Gestión'!$AK$63="Menor"),CONCATENATE("R9C",'Riesgos de Gestión'!$V$63),"")</f>
        <v/>
      </c>
      <c r="S24" s="51" t="str">
        <f>IF(AND('Riesgos de Gestión'!$AI$64="Alta",'Riesgos de Gestión'!$AK$64="Menor"),CONCATENATE("R9C",'Riesgos de Gestión'!$V$64),"")</f>
        <v/>
      </c>
      <c r="T24" s="51" t="str">
        <f>IF(AND('Riesgos de Gestión'!$AI$65="Alta",'Riesgos de Gestión'!$AK$65="Menor"),CONCATENATE("R9C",'Riesgos de Gestión'!$V$65),"")</f>
        <v/>
      </c>
      <c r="U24" s="52" t="str">
        <f>IF(AND('Riesgos de Gestión'!$AI$66="Alta",'Riesgos de Gestión'!$AK$66="Menor"),CONCATENATE("R9C",'Riesgos de Gestión'!$V$66),"")</f>
        <v/>
      </c>
      <c r="V24" s="35" t="str">
        <f>IF(AND('Riesgos de Gestión'!$AI$61="Alta",'Riesgos de Gestión'!$AK$61="Moderado"),CONCATENATE("R9C",'Riesgos de Gestión'!$V$61),"")</f>
        <v/>
      </c>
      <c r="W24" s="36" t="str">
        <f>IF(AND('Riesgos de Gestión'!$AI$62="Alta",'Riesgos de Gestión'!$AK$62="Moderado"),CONCATENATE("R9C",'Riesgos de Gestión'!$V$62),"")</f>
        <v/>
      </c>
      <c r="X24" s="36" t="str">
        <f>IF(AND('Riesgos de Gestión'!$AI$63="Alta",'Riesgos de Gestión'!$AK$63="Moderado"),CONCATENATE("R9C",'Riesgos de Gestión'!$V$63),"")</f>
        <v/>
      </c>
      <c r="Y24" s="36" t="str">
        <f>IF(AND('Riesgos de Gestión'!$AI$64="Alta",'Riesgos de Gestión'!$AK$64="Moderado"),CONCATENATE("R9C",'Riesgos de Gestión'!$V$64),"")</f>
        <v/>
      </c>
      <c r="Z24" s="36" t="str">
        <f>IF(AND('Riesgos de Gestión'!$AI$65="Alta",'Riesgos de Gestión'!$AK$65="Moderado"),CONCATENATE("R9C",'Riesgos de Gestión'!$V$65),"")</f>
        <v/>
      </c>
      <c r="AA24" s="37" t="str">
        <f>IF(AND('Riesgos de Gestión'!$AI$66="Alta",'Riesgos de Gestión'!$AK$66="Moderado"),CONCATENATE("R9C",'Riesgos de Gestión'!$V$66),"")</f>
        <v/>
      </c>
      <c r="AB24" s="35" t="str">
        <f>IF(AND('Riesgos de Gestión'!$AI$61="Alta",'Riesgos de Gestión'!$AK$61="Mayor"),CONCATENATE("R9C",'Riesgos de Gestión'!$V$61),"")</f>
        <v/>
      </c>
      <c r="AC24" s="36" t="str">
        <f>IF(AND('Riesgos de Gestión'!$AI$62="Alta",'Riesgos de Gestión'!$AK$62="Mayor"),CONCATENATE("R9C",'Riesgos de Gestión'!$V$62),"")</f>
        <v/>
      </c>
      <c r="AD24" s="36" t="str">
        <f>IF(AND('Riesgos de Gestión'!$AI$63="Alta",'Riesgos de Gestión'!$AK$63="Mayor"),CONCATENATE("R9C",'Riesgos de Gestión'!$V$63),"")</f>
        <v/>
      </c>
      <c r="AE24" s="36" t="str">
        <f>IF(AND('Riesgos de Gestión'!$AI$64="Alta",'Riesgos de Gestión'!$AK$64="Mayor"),CONCATENATE("R9C",'Riesgos de Gestión'!$V$64),"")</f>
        <v/>
      </c>
      <c r="AF24" s="36" t="str">
        <f>IF(AND('Riesgos de Gestión'!$AI$65="Alta",'Riesgos de Gestión'!$AK$65="Mayor"),CONCATENATE("R9C",'Riesgos de Gestión'!$V$65),"")</f>
        <v/>
      </c>
      <c r="AG24" s="37" t="str">
        <f>IF(AND('Riesgos de Gestión'!$AI$66="Alta",'Riesgos de Gestión'!$AK$66="Mayor"),CONCATENATE("R9C",'Riesgos de Gestión'!$V$66),"")</f>
        <v/>
      </c>
      <c r="AH24" s="38" t="str">
        <f>IF(AND('Riesgos de Gestión'!$AI$61="Alta",'Riesgos de Gestión'!$AK$61="Catastrófico"),CONCATENATE("R9C",'Riesgos de Gestión'!$V$61),"")</f>
        <v/>
      </c>
      <c r="AI24" s="39" t="str">
        <f>IF(AND('Riesgos de Gestión'!$AI$62="Alta",'Riesgos de Gestión'!$AK$62="Catastrófico"),CONCATENATE("R9C",'Riesgos de Gestión'!$V$62),"")</f>
        <v/>
      </c>
      <c r="AJ24" s="39" t="str">
        <f>IF(AND('Riesgos de Gestión'!$AI$63="Alta",'Riesgos de Gestión'!$AK$63="Catastrófico"),CONCATENATE("R9C",'Riesgos de Gestión'!$V$63),"")</f>
        <v/>
      </c>
      <c r="AK24" s="39" t="str">
        <f>IF(AND('Riesgos de Gestión'!$AI$64="Alta",'Riesgos de Gestión'!$AK$64="Catastrófico"),CONCATENATE("R9C",'Riesgos de Gestión'!$V$64),"")</f>
        <v/>
      </c>
      <c r="AL24" s="39" t="str">
        <f>IF(AND('Riesgos de Gestión'!$AI$65="Alta",'Riesgos de Gestión'!$AK$65="Catastrófico"),CONCATENATE("R9C",'Riesgos de Gestión'!$V$65),"")</f>
        <v/>
      </c>
      <c r="AM24" s="40" t="str">
        <f>IF(AND('Riesgos de Gestión'!$AI$66="Alta",'Riesgos de Gestión'!$AK$66="Catastrófico"),CONCATENATE("R9C",'Riesgos de Gestión'!$V$66),"")</f>
        <v/>
      </c>
      <c r="AN24" s="66"/>
      <c r="AO24" s="635"/>
      <c r="AP24" s="636"/>
      <c r="AQ24" s="636"/>
      <c r="AR24" s="636"/>
      <c r="AS24" s="636"/>
      <c r="AT24" s="63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546"/>
      <c r="C25" s="546"/>
      <c r="D25" s="547"/>
      <c r="E25" s="646"/>
      <c r="F25" s="647"/>
      <c r="G25" s="647"/>
      <c r="H25" s="647"/>
      <c r="I25" s="647"/>
      <c r="J25" s="53" t="str">
        <f>IF(AND('Riesgos de Gestión'!$AI$67="Alta",'Riesgos de Gestión'!$AK$67="Leve"),CONCATENATE("R10C",'Riesgos de Gestión'!$V$67),"")</f>
        <v/>
      </c>
      <c r="K25" s="54" t="str">
        <f>IF(AND('Riesgos de Gestión'!$AI$68="Alta",'Riesgos de Gestión'!$AK$68="Leve"),CONCATENATE("R10C",'Riesgos de Gestión'!$V$68),"")</f>
        <v/>
      </c>
      <c r="L25" s="54" t="str">
        <f>IF(AND('Riesgos de Gestión'!$AI$69="Alta",'Riesgos de Gestión'!$AK$69="Leve"),CONCATENATE("R10C",'Riesgos de Gestión'!$V$69),"")</f>
        <v/>
      </c>
      <c r="M25" s="54" t="str">
        <f>IF(AND('Riesgos de Gestión'!$AI$70="Alta",'Riesgos de Gestión'!$AK$70="Leve"),CONCATENATE("R10C",'Riesgos de Gestión'!$V$70),"")</f>
        <v/>
      </c>
      <c r="N25" s="54" t="str">
        <f>IF(AND('Riesgos de Gestión'!$AI$71="Alta",'Riesgos de Gestión'!$AK$71="Leve"),CONCATENATE("R10C",'Riesgos de Gestión'!$V$71),"")</f>
        <v/>
      </c>
      <c r="O25" s="55" t="str">
        <f>IF(AND('Riesgos de Gestión'!$AI$72="Alta",'Riesgos de Gestión'!$AK$72="Leve"),CONCATENATE("R10C",'Riesgos de Gestión'!$V$72),"")</f>
        <v/>
      </c>
      <c r="P25" s="53" t="str">
        <f>IF(AND('Riesgos de Gestión'!$AI$67="Alta",'Riesgos de Gestión'!$AK$67="Menor"),CONCATENATE("R10C",'Riesgos de Gestión'!$V$67),"")</f>
        <v/>
      </c>
      <c r="Q25" s="54" t="str">
        <f>IF(AND('Riesgos de Gestión'!$AI$68="Alta",'Riesgos de Gestión'!$AK$68="Menor"),CONCATENATE("R10C",'Riesgos de Gestión'!$V$68),"")</f>
        <v/>
      </c>
      <c r="R25" s="54" t="str">
        <f>IF(AND('Riesgos de Gestión'!$AI$69="Alta",'Riesgos de Gestión'!$AK$69="Menor"),CONCATENATE("R10C",'Riesgos de Gestión'!$V$69),"")</f>
        <v/>
      </c>
      <c r="S25" s="54" t="str">
        <f>IF(AND('Riesgos de Gestión'!$AI$70="Alta",'Riesgos de Gestión'!$AK$70="Menor"),CONCATENATE("R10C",'Riesgos de Gestión'!$V$70),"")</f>
        <v/>
      </c>
      <c r="T25" s="54" t="str">
        <f>IF(AND('Riesgos de Gestión'!$AI$71="Alta",'Riesgos de Gestión'!$AK$71="Menor"),CONCATENATE("R10C",'Riesgos de Gestión'!$V$71),"")</f>
        <v/>
      </c>
      <c r="U25" s="55" t="str">
        <f>IF(AND('Riesgos de Gestión'!$AI$72="Alta",'Riesgos de Gestión'!$AK$72="Menor"),CONCATENATE("R10C",'Riesgos de Gestión'!$V$72),"")</f>
        <v/>
      </c>
      <c r="V25" s="41" t="str">
        <f>IF(AND('Riesgos de Gestión'!$AI$67="Alta",'Riesgos de Gestión'!$AK$67="Moderado"),CONCATENATE("R10C",'Riesgos de Gestión'!$V$67),"")</f>
        <v/>
      </c>
      <c r="W25" s="42" t="str">
        <f>IF(AND('Riesgos de Gestión'!$AI$68="Alta",'Riesgos de Gestión'!$AK$68="Moderado"),CONCATENATE("R10C",'Riesgos de Gestión'!$V$68),"")</f>
        <v/>
      </c>
      <c r="X25" s="42" t="str">
        <f>IF(AND('Riesgos de Gestión'!$AI$69="Alta",'Riesgos de Gestión'!$AK$69="Moderado"),CONCATENATE("R10C",'Riesgos de Gestión'!$V$69),"")</f>
        <v/>
      </c>
      <c r="Y25" s="42" t="str">
        <f>IF(AND('Riesgos de Gestión'!$AI$70="Alta",'Riesgos de Gestión'!$AK$70="Moderado"),CONCATENATE("R10C",'Riesgos de Gestión'!$V$70),"")</f>
        <v/>
      </c>
      <c r="Z25" s="42" t="str">
        <f>IF(AND('Riesgos de Gestión'!$AI$71="Alta",'Riesgos de Gestión'!$AK$71="Moderado"),CONCATENATE("R10C",'Riesgos de Gestión'!$V$71),"")</f>
        <v/>
      </c>
      <c r="AA25" s="43" t="str">
        <f>IF(AND('Riesgos de Gestión'!$AI$72="Alta",'Riesgos de Gestión'!$AK$72="Moderado"),CONCATENATE("R10C",'Riesgos de Gestión'!$V$72),"")</f>
        <v/>
      </c>
      <c r="AB25" s="41" t="str">
        <f>IF(AND('Riesgos de Gestión'!$AI$67="Alta",'Riesgos de Gestión'!$AK$67="Mayor"),CONCATENATE("R10C",'Riesgos de Gestión'!$V$67),"")</f>
        <v/>
      </c>
      <c r="AC25" s="42" t="str">
        <f>IF(AND('Riesgos de Gestión'!$AI$68="Alta",'Riesgos de Gestión'!$AK$68="Mayor"),CONCATENATE("R10C",'Riesgos de Gestión'!$V$68),"")</f>
        <v/>
      </c>
      <c r="AD25" s="42" t="str">
        <f>IF(AND('Riesgos de Gestión'!$AI$69="Alta",'Riesgos de Gestión'!$AK$69="Mayor"),CONCATENATE("R10C",'Riesgos de Gestión'!$V$69),"")</f>
        <v/>
      </c>
      <c r="AE25" s="42" t="str">
        <f>IF(AND('Riesgos de Gestión'!$AI$70="Alta",'Riesgos de Gestión'!$AK$70="Mayor"),CONCATENATE("R10C",'Riesgos de Gestión'!$V$70),"")</f>
        <v/>
      </c>
      <c r="AF25" s="42" t="str">
        <f>IF(AND('Riesgos de Gestión'!$AI$71="Alta",'Riesgos de Gestión'!$AK$71="Mayor"),CONCATENATE("R10C",'Riesgos de Gestión'!$V$71),"")</f>
        <v/>
      </c>
      <c r="AG25" s="43" t="str">
        <f>IF(AND('Riesgos de Gestión'!$AI$72="Alta",'Riesgos de Gestión'!$AK$72="Mayor"),CONCATENATE("R10C",'Riesgos de Gestión'!$V$72),"")</f>
        <v/>
      </c>
      <c r="AH25" s="44" t="str">
        <f>IF(AND('Riesgos de Gestión'!$AI$67="Alta",'Riesgos de Gestión'!$AK$67="Catastrófico"),CONCATENATE("R10C",'Riesgos de Gestión'!$V$67),"")</f>
        <v/>
      </c>
      <c r="AI25" s="45" t="str">
        <f>IF(AND('Riesgos de Gestión'!$AI$68="Alta",'Riesgos de Gestión'!$AK$68="Catastrófico"),CONCATENATE("R10C",'Riesgos de Gestión'!$V$68),"")</f>
        <v/>
      </c>
      <c r="AJ25" s="45" t="str">
        <f>IF(AND('Riesgos de Gestión'!$AI$69="Alta",'Riesgos de Gestión'!$AK$69="Catastrófico"),CONCATENATE("R10C",'Riesgos de Gestión'!$V$69),"")</f>
        <v/>
      </c>
      <c r="AK25" s="45" t="str">
        <f>IF(AND('Riesgos de Gestión'!$AI$70="Alta",'Riesgos de Gestión'!$AK$70="Catastrófico"),CONCATENATE("R10C",'Riesgos de Gestión'!$V$70),"")</f>
        <v/>
      </c>
      <c r="AL25" s="45" t="str">
        <f>IF(AND('Riesgos de Gestión'!$AI$71="Alta",'Riesgos de Gestión'!$AK$71="Catastrófico"),CONCATENATE("R10C",'Riesgos de Gestión'!$V$71),"")</f>
        <v/>
      </c>
      <c r="AM25" s="46" t="str">
        <f>IF(AND('Riesgos de Gestión'!$AI$72="Alta",'Riesgos de Gestión'!$AK$72="Catastrófico"),CONCATENATE("R10C",'Riesgos de Gestión'!$V$72),"")</f>
        <v/>
      </c>
      <c r="AN25" s="66"/>
      <c r="AO25" s="638"/>
      <c r="AP25" s="639"/>
      <c r="AQ25" s="639"/>
      <c r="AR25" s="639"/>
      <c r="AS25" s="639"/>
      <c r="AT25" s="64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546"/>
      <c r="C26" s="546"/>
      <c r="D26" s="547"/>
      <c r="E26" s="641" t="s">
        <v>491</v>
      </c>
      <c r="F26" s="642"/>
      <c r="G26" s="642"/>
      <c r="H26" s="642"/>
      <c r="I26" s="659"/>
      <c r="J26" s="47" t="str">
        <f>IF(AND('Riesgos de Gestión'!$AI$13="Media",'Riesgos de Gestión'!$AK$13="Leve"),CONCATENATE("R1C",'Riesgos de Gestión'!$V$13),"")</f>
        <v/>
      </c>
      <c r="K26" s="48" t="str">
        <f>IF(AND('Riesgos de Gestión'!$AI$14="Media",'Riesgos de Gestión'!$AK$14="Leve"),CONCATENATE("R1C",'Riesgos de Gestión'!$V$14),"")</f>
        <v/>
      </c>
      <c r="L26" s="48" t="str">
        <f>IF(AND('Riesgos de Gestión'!$AI$15="Media",'Riesgos de Gestión'!$AK$15="Leve"),CONCATENATE("R1C",'Riesgos de Gestión'!$V$15),"")</f>
        <v/>
      </c>
      <c r="M26" s="48" t="str">
        <f>IF(AND('Riesgos de Gestión'!$AI$16="Media",'Riesgos de Gestión'!$AK$16="Leve"),CONCATENATE("R1C",'Riesgos de Gestión'!$V$16),"")</f>
        <v/>
      </c>
      <c r="N26" s="48" t="str">
        <f>IF(AND('Riesgos de Gestión'!$AI$17="Media",'Riesgos de Gestión'!$AK$17="Leve"),CONCATENATE("R1C",'Riesgos de Gestión'!$V$17),"")</f>
        <v/>
      </c>
      <c r="O26" s="49" t="str">
        <f>IF(AND('Riesgos de Gestión'!$AI$18="Media",'Riesgos de Gestión'!$AK$18="Leve"),CONCATENATE("R1C",'Riesgos de Gestión'!$V$18),"")</f>
        <v/>
      </c>
      <c r="P26" s="47" t="str">
        <f>IF(AND('Riesgos de Gestión'!$AI$13="Media",'Riesgos de Gestión'!$AK$13="Menor"),CONCATENATE("R1C",'Riesgos de Gestión'!$V$13),"")</f>
        <v/>
      </c>
      <c r="Q26" s="48" t="str">
        <f>IF(AND('Riesgos de Gestión'!$AI$14="Media",'Riesgos de Gestión'!$AK$14="Menor"),CONCATENATE("R1C",'Riesgos de Gestión'!$V$14),"")</f>
        <v/>
      </c>
      <c r="R26" s="48" t="str">
        <f>IF(AND('Riesgos de Gestión'!$AI$15="Media",'Riesgos de Gestión'!$AK$15="Menor"),CONCATENATE("R1C",'Riesgos de Gestión'!$V$15),"")</f>
        <v/>
      </c>
      <c r="S26" s="48" t="str">
        <f>IF(AND('Riesgos de Gestión'!$AI$16="Media",'Riesgos de Gestión'!$AK$16="Menor"),CONCATENATE("R1C",'Riesgos de Gestión'!$V$16),"")</f>
        <v/>
      </c>
      <c r="T26" s="48" t="str">
        <f>IF(AND('Riesgos de Gestión'!$AI$17="Media",'Riesgos de Gestión'!$AK$17="Menor"),CONCATENATE("R1C",'Riesgos de Gestión'!$V$17),"")</f>
        <v/>
      </c>
      <c r="U26" s="49" t="str">
        <f>IF(AND('Riesgos de Gestión'!$AI$18="Media",'Riesgos de Gestión'!$AK$18="Menor"),CONCATENATE("R1C",'Riesgos de Gestión'!$V$18),"")</f>
        <v/>
      </c>
      <c r="V26" s="47" t="str">
        <f>IF(AND('Riesgos de Gestión'!$AI$13="Media",'Riesgos de Gestión'!$AK$13="Moderado"),CONCATENATE("R1C",'Riesgos de Gestión'!$V$13),"")</f>
        <v/>
      </c>
      <c r="W26" s="48" t="str">
        <f>IF(AND('Riesgos de Gestión'!$AI$14="Media",'Riesgos de Gestión'!$AK$14="Moderado"),CONCATENATE("R1C",'Riesgos de Gestión'!$V$14),"")</f>
        <v/>
      </c>
      <c r="X26" s="48" t="str">
        <f>IF(AND('Riesgos de Gestión'!$AI$15="Media",'Riesgos de Gestión'!$AK$15="Moderado"),CONCATENATE("R1C",'Riesgos de Gestión'!$V$15),"")</f>
        <v/>
      </c>
      <c r="Y26" s="48" t="str">
        <f>IF(AND('Riesgos de Gestión'!$AI$16="Media",'Riesgos de Gestión'!$AK$16="Moderado"),CONCATENATE("R1C",'Riesgos de Gestión'!$V$16),"")</f>
        <v/>
      </c>
      <c r="Z26" s="48" t="str">
        <f>IF(AND('Riesgos de Gestión'!$AI$17="Media",'Riesgos de Gestión'!$AK$17="Moderado"),CONCATENATE("R1C",'Riesgos de Gestión'!$V$17),"")</f>
        <v/>
      </c>
      <c r="AA26" s="49" t="str">
        <f>IF(AND('Riesgos de Gestión'!$AI$18="Media",'Riesgos de Gestión'!$AK$18="Moderado"),CONCATENATE("R1C",'Riesgos de Gestión'!$V$18),"")</f>
        <v/>
      </c>
      <c r="AB26" s="29" t="str">
        <f>IF(AND('Riesgos de Gestión'!$AI$13="Media",'Riesgos de Gestión'!$AK$13="Mayor"),CONCATENATE("R1C",'Riesgos de Gestión'!$V$13),"")</f>
        <v/>
      </c>
      <c r="AC26" s="30" t="str">
        <f>IF(AND('Riesgos de Gestión'!$AI$14="Media",'Riesgos de Gestión'!$AK$14="Mayor"),CONCATENATE("R1C",'Riesgos de Gestión'!$V$14),"")</f>
        <v/>
      </c>
      <c r="AD26" s="30" t="str">
        <f>IF(AND('Riesgos de Gestión'!$AI$15="Media",'Riesgos de Gestión'!$AK$15="Mayor"),CONCATENATE("R1C",'Riesgos de Gestión'!$V$15),"")</f>
        <v/>
      </c>
      <c r="AE26" s="30" t="str">
        <f>IF(AND('Riesgos de Gestión'!$AI$16="Media",'Riesgos de Gestión'!$AK$16="Mayor"),CONCATENATE("R1C",'Riesgos de Gestión'!$V$16),"")</f>
        <v/>
      </c>
      <c r="AF26" s="30" t="str">
        <f>IF(AND('Riesgos de Gestión'!$AI$17="Media",'Riesgos de Gestión'!$AK$17="Mayor"),CONCATENATE("R1C",'Riesgos de Gestión'!$V$17),"")</f>
        <v/>
      </c>
      <c r="AG26" s="31" t="str">
        <f>IF(AND('Riesgos de Gestión'!$AI$18="Media",'Riesgos de Gestión'!$AK$18="Mayor"),CONCATENATE("R1C",'Riesgos de Gestión'!$V$18),"")</f>
        <v/>
      </c>
      <c r="AH26" s="32" t="str">
        <f>IF(AND('Riesgos de Gestión'!$AI$13="Media",'Riesgos de Gestión'!$AK$13="Catastrófico"),CONCATENATE("R1C",'Riesgos de Gestión'!$V$13),"")</f>
        <v/>
      </c>
      <c r="AI26" s="33" t="str">
        <f>IF(AND('Riesgos de Gestión'!$AI$14="Media",'Riesgos de Gestión'!$AK$14="Catastrófico"),CONCATENATE("R1C",'Riesgos de Gestión'!$V$14),"")</f>
        <v/>
      </c>
      <c r="AJ26" s="33" t="str">
        <f>IF(AND('Riesgos de Gestión'!$AI$15="Media",'Riesgos de Gestión'!$AK$15="Catastrófico"),CONCATENATE("R1C",'Riesgos de Gestión'!$V$15),"")</f>
        <v/>
      </c>
      <c r="AK26" s="33" t="str">
        <f>IF(AND('Riesgos de Gestión'!$AI$16="Media",'Riesgos de Gestión'!$AK$16="Catastrófico"),CONCATENATE("R1C",'Riesgos de Gestión'!$V$16),"")</f>
        <v/>
      </c>
      <c r="AL26" s="33" t="str">
        <f>IF(AND('Riesgos de Gestión'!$AI$17="Media",'Riesgos de Gestión'!$AK$17="Catastrófico"),CONCATENATE("R1C",'Riesgos de Gestión'!$V$17),"")</f>
        <v/>
      </c>
      <c r="AM26" s="34" t="str">
        <f>IF(AND('Riesgos de Gestión'!$AI$18="Media",'Riesgos de Gestión'!$AK$18="Catastrófico"),CONCATENATE("R1C",'Riesgos de Gestión'!$V$18),"")</f>
        <v/>
      </c>
      <c r="AN26" s="66"/>
      <c r="AO26" s="671" t="s">
        <v>492</v>
      </c>
      <c r="AP26" s="672"/>
      <c r="AQ26" s="672"/>
      <c r="AR26" s="672"/>
      <c r="AS26" s="672"/>
      <c r="AT26" s="67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546"/>
      <c r="C27" s="546"/>
      <c r="D27" s="547"/>
      <c r="E27" s="643"/>
      <c r="F27" s="644"/>
      <c r="G27" s="644"/>
      <c r="H27" s="644"/>
      <c r="I27" s="660"/>
      <c r="J27" s="50" t="str">
        <f>IF(AND('Riesgos de Gestión'!$AI$19="Media",'Riesgos de Gestión'!$AK$19="Leve"),CONCATENATE("R2C",'Riesgos de Gestión'!$V$19),"")</f>
        <v/>
      </c>
      <c r="K27" s="51" t="str">
        <f>IF(AND('Riesgos de Gestión'!$AI$20="Media",'Riesgos de Gestión'!$AK$20="Leve"),CONCATENATE("R2C",'Riesgos de Gestión'!$V$20),"")</f>
        <v/>
      </c>
      <c r="L27" s="51" t="str">
        <f>IF(AND('Riesgos de Gestión'!$AI$21="Media",'Riesgos de Gestión'!$AK$21="Leve"),CONCATENATE("R2C",'Riesgos de Gestión'!$V$21),"")</f>
        <v/>
      </c>
      <c r="M27" s="51" t="str">
        <f>IF(AND('Riesgos de Gestión'!$AI$22="Media",'Riesgos de Gestión'!$AK$22="Leve"),CONCATENATE("R2C",'Riesgos de Gestión'!$V$22),"")</f>
        <v/>
      </c>
      <c r="N27" s="51" t="str">
        <f>IF(AND('Riesgos de Gestión'!$AI$23="Media",'Riesgos de Gestión'!$AK$23="Leve"),CONCATENATE("R2C",'Riesgos de Gestión'!$V$23),"")</f>
        <v/>
      </c>
      <c r="O27" s="52" t="str">
        <f>IF(AND('Riesgos de Gestión'!$AI$24="Media",'Riesgos de Gestión'!$AK$24="Leve"),CONCATENATE("R2C",'Riesgos de Gestión'!$V$24),"")</f>
        <v/>
      </c>
      <c r="P27" s="50" t="str">
        <f>IF(AND('Riesgos de Gestión'!$AI$19="Media",'Riesgos de Gestión'!$AK$19="Menor"),CONCATENATE("R2C",'Riesgos de Gestión'!$V$19),"")</f>
        <v/>
      </c>
      <c r="Q27" s="51" t="str">
        <f>IF(AND('Riesgos de Gestión'!$AI$20="Media",'Riesgos de Gestión'!$AK$20="Menor"),CONCATENATE("R2C",'Riesgos de Gestión'!$V$20),"")</f>
        <v/>
      </c>
      <c r="R27" s="51" t="str">
        <f>IF(AND('Riesgos de Gestión'!$AI$21="Media",'Riesgos de Gestión'!$AK$21="Menor"),CONCATENATE("R2C",'Riesgos de Gestión'!$V$21),"")</f>
        <v/>
      </c>
      <c r="S27" s="51" t="str">
        <f>IF(AND('Riesgos de Gestión'!$AI$22="Media",'Riesgos de Gestión'!$AK$22="Menor"),CONCATENATE("R2C",'Riesgos de Gestión'!$V$22),"")</f>
        <v/>
      </c>
      <c r="T27" s="51" t="str">
        <f>IF(AND('Riesgos de Gestión'!$AI$23="Media",'Riesgos de Gestión'!$AK$23="Menor"),CONCATENATE("R2C",'Riesgos de Gestión'!$V$23),"")</f>
        <v/>
      </c>
      <c r="U27" s="52" t="str">
        <f>IF(AND('Riesgos de Gestión'!$AI$24="Media",'Riesgos de Gestión'!$AK$24="Menor"),CONCATENATE("R2C",'Riesgos de Gestión'!$V$24),"")</f>
        <v/>
      </c>
      <c r="V27" s="50" t="str">
        <f>IF(AND('Riesgos de Gestión'!$AI$19="Media",'Riesgos de Gestión'!$AK$19="Moderado"),CONCATENATE("R2C",'Riesgos de Gestión'!$V$19),"")</f>
        <v/>
      </c>
      <c r="W27" s="51" t="str">
        <f>IF(AND('Riesgos de Gestión'!$AI$20="Media",'Riesgos de Gestión'!$AK$20="Moderado"),CONCATENATE("R2C",'Riesgos de Gestión'!$V$20),"")</f>
        <v/>
      </c>
      <c r="X27" s="51" t="str">
        <f>IF(AND('Riesgos de Gestión'!$AI$21="Media",'Riesgos de Gestión'!$AK$21="Moderado"),CONCATENATE("R2C",'Riesgos de Gestión'!$V$21),"")</f>
        <v/>
      </c>
      <c r="Y27" s="51" t="str">
        <f>IF(AND('Riesgos de Gestión'!$AI$22="Media",'Riesgos de Gestión'!$AK$22="Moderado"),CONCATENATE("R2C",'Riesgos de Gestión'!$V$22),"")</f>
        <v/>
      </c>
      <c r="Z27" s="51" t="str">
        <f>IF(AND('Riesgos de Gestión'!$AI$23="Media",'Riesgos de Gestión'!$AK$23="Moderado"),CONCATENATE("R2C",'Riesgos de Gestión'!$V$23),"")</f>
        <v/>
      </c>
      <c r="AA27" s="52" t="str">
        <f>IF(AND('Riesgos de Gestión'!$AI$24="Media",'Riesgos de Gestión'!$AK$24="Moderado"),CONCATENATE("R2C",'Riesgos de Gestión'!$V$24),"")</f>
        <v/>
      </c>
      <c r="AB27" s="35" t="str">
        <f>IF(AND('Riesgos de Gestión'!$AI$19="Media",'Riesgos de Gestión'!$AK$19="Mayor"),CONCATENATE("R2C",'Riesgos de Gestión'!$V$19),"")</f>
        <v/>
      </c>
      <c r="AC27" s="36" t="str">
        <f>IF(AND('Riesgos de Gestión'!$AI$20="Media",'Riesgos de Gestión'!$AK$20="Mayor"),CONCATENATE("R2C",'Riesgos de Gestión'!$V$20),"")</f>
        <v/>
      </c>
      <c r="AD27" s="36" t="str">
        <f>IF(AND('Riesgos de Gestión'!$AI$21="Media",'Riesgos de Gestión'!$AK$21="Mayor"),CONCATENATE("R2C",'Riesgos de Gestión'!$V$21),"")</f>
        <v/>
      </c>
      <c r="AE27" s="36" t="str">
        <f>IF(AND('Riesgos de Gestión'!$AI$22="Media",'Riesgos de Gestión'!$AK$22="Mayor"),CONCATENATE("R2C",'Riesgos de Gestión'!$V$22),"")</f>
        <v/>
      </c>
      <c r="AF27" s="36" t="str">
        <f>IF(AND('Riesgos de Gestión'!$AI$23="Media",'Riesgos de Gestión'!$AK$23="Mayor"),CONCATENATE("R2C",'Riesgos de Gestión'!$V$23),"")</f>
        <v/>
      </c>
      <c r="AG27" s="37" t="str">
        <f>IF(AND('Riesgos de Gestión'!$AI$24="Media",'Riesgos de Gestión'!$AK$24="Mayor"),CONCATENATE("R2C",'Riesgos de Gestión'!$V$24),"")</f>
        <v/>
      </c>
      <c r="AH27" s="38" t="str">
        <f>IF(AND('Riesgos de Gestión'!$AI$19="Media",'Riesgos de Gestión'!$AK$19="Catastrófico"),CONCATENATE("R2C",'Riesgos de Gestión'!$V$19),"")</f>
        <v/>
      </c>
      <c r="AI27" s="39" t="str">
        <f>IF(AND('Riesgos de Gestión'!$AI$20="Media",'Riesgos de Gestión'!$AK$20="Catastrófico"),CONCATENATE("R2C",'Riesgos de Gestión'!$V$20),"")</f>
        <v/>
      </c>
      <c r="AJ27" s="39" t="str">
        <f>IF(AND('Riesgos de Gestión'!$AI$21="Media",'Riesgos de Gestión'!$AK$21="Catastrófico"),CONCATENATE("R2C",'Riesgos de Gestión'!$V$21),"")</f>
        <v/>
      </c>
      <c r="AK27" s="39" t="str">
        <f>IF(AND('Riesgos de Gestión'!$AI$22="Media",'Riesgos de Gestión'!$AK$22="Catastrófico"),CONCATENATE("R2C",'Riesgos de Gestión'!$V$22),"")</f>
        <v/>
      </c>
      <c r="AL27" s="39" t="str">
        <f>IF(AND('Riesgos de Gestión'!$AI$23="Media",'Riesgos de Gestión'!$AK$23="Catastrófico"),CONCATENATE("R2C",'Riesgos de Gestión'!$V$23),"")</f>
        <v/>
      </c>
      <c r="AM27" s="40" t="str">
        <f>IF(AND('Riesgos de Gestión'!$AI$24="Media",'Riesgos de Gestión'!$AK$24="Catastrófico"),CONCATENATE("R2C",'Riesgos de Gestión'!$V$24),"")</f>
        <v/>
      </c>
      <c r="AN27" s="66"/>
      <c r="AO27" s="674"/>
      <c r="AP27" s="675"/>
      <c r="AQ27" s="675"/>
      <c r="AR27" s="675"/>
      <c r="AS27" s="675"/>
      <c r="AT27" s="67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546"/>
      <c r="C28" s="546"/>
      <c r="D28" s="547"/>
      <c r="E28" s="645"/>
      <c r="F28" s="644"/>
      <c r="G28" s="644"/>
      <c r="H28" s="644"/>
      <c r="I28" s="660"/>
      <c r="J28" s="50" t="str">
        <f>IF(AND('Riesgos de Gestión'!$AI$25="Media",'Riesgos de Gestión'!$AK$25="Leve"),CONCATENATE("R3C",'Riesgos de Gestión'!$V$25),"")</f>
        <v/>
      </c>
      <c r="K28" s="51" t="str">
        <f>IF(AND('Riesgos de Gestión'!$AI$26="Media",'Riesgos de Gestión'!$AK$26="Leve"),CONCATENATE("R3C",'Riesgos de Gestión'!$V$26),"")</f>
        <v/>
      </c>
      <c r="L28" s="51" t="str">
        <f>IF(AND('Riesgos de Gestión'!$AI$27="Media",'Riesgos de Gestión'!$AK$27="Leve"),CONCATENATE("R3C",'Riesgos de Gestión'!$V$27),"")</f>
        <v/>
      </c>
      <c r="M28" s="51" t="str">
        <f>IF(AND('Riesgos de Gestión'!$AI$28="Media",'Riesgos de Gestión'!$AK$28="Leve"),CONCATENATE("R3C",'Riesgos de Gestión'!$V$28),"")</f>
        <v/>
      </c>
      <c r="N28" s="51" t="str">
        <f>IF(AND('Riesgos de Gestión'!$AI$29="Media",'Riesgos de Gestión'!$AK$29="Leve"),CONCATENATE("R3C",'Riesgos de Gestión'!$V$29),"")</f>
        <v/>
      </c>
      <c r="O28" s="52" t="str">
        <f>IF(AND('Riesgos de Gestión'!$AI$30="Media",'Riesgos de Gestión'!$AK$30="Leve"),CONCATENATE("R3C",'Riesgos de Gestión'!$V$30),"")</f>
        <v/>
      </c>
      <c r="P28" s="50" t="str">
        <f>IF(AND('Riesgos de Gestión'!$AI$25="Media",'Riesgos de Gestión'!$AK$25="Menor"),CONCATENATE("R3C",'Riesgos de Gestión'!$V$25),"")</f>
        <v/>
      </c>
      <c r="Q28" s="51" t="str">
        <f>IF(AND('Riesgos de Gestión'!$AI$26="Media",'Riesgos de Gestión'!$AK$26="Menor"),CONCATENATE("R3C",'Riesgos de Gestión'!$V$26),"")</f>
        <v/>
      </c>
      <c r="R28" s="51" t="str">
        <f>IF(AND('Riesgos de Gestión'!$AI$27="Media",'Riesgos de Gestión'!$AK$27="Menor"),CONCATENATE("R3C",'Riesgos de Gestión'!$V$27),"")</f>
        <v/>
      </c>
      <c r="S28" s="51" t="str">
        <f>IF(AND('Riesgos de Gestión'!$AI$28="Media",'Riesgos de Gestión'!$AK$28="Menor"),CONCATENATE("R3C",'Riesgos de Gestión'!$V$28),"")</f>
        <v/>
      </c>
      <c r="T28" s="51" t="str">
        <f>IF(AND('Riesgos de Gestión'!$AI$29="Media",'Riesgos de Gestión'!$AK$29="Menor"),CONCATENATE("R3C",'Riesgos de Gestión'!$V$29),"")</f>
        <v/>
      </c>
      <c r="U28" s="52" t="str">
        <f>IF(AND('Riesgos de Gestión'!$AI$30="Media",'Riesgos de Gestión'!$AK$30="Menor"),CONCATENATE("R3C",'Riesgos de Gestión'!$V$30),"")</f>
        <v/>
      </c>
      <c r="V28" s="50" t="str">
        <f>IF(AND('Riesgos de Gestión'!$AI$25="Media",'Riesgos de Gestión'!$AK$25="Moderado"),CONCATENATE("R3C",'Riesgos de Gestión'!$V$25),"")</f>
        <v/>
      </c>
      <c r="W28" s="51" t="str">
        <f>IF(AND('Riesgos de Gestión'!$AI$26="Media",'Riesgos de Gestión'!$AK$26="Moderado"),CONCATENATE("R3C",'Riesgos de Gestión'!$V$26),"")</f>
        <v/>
      </c>
      <c r="X28" s="51" t="str">
        <f>IF(AND('Riesgos de Gestión'!$AI$27="Media",'Riesgos de Gestión'!$AK$27="Moderado"),CONCATENATE("R3C",'Riesgos de Gestión'!$V$27),"")</f>
        <v/>
      </c>
      <c r="Y28" s="51" t="str">
        <f>IF(AND('Riesgos de Gestión'!$AI$28="Media",'Riesgos de Gestión'!$AK$28="Moderado"),CONCATENATE("R3C",'Riesgos de Gestión'!$V$28),"")</f>
        <v/>
      </c>
      <c r="Z28" s="51" t="str">
        <f>IF(AND('Riesgos de Gestión'!$AI$29="Media",'Riesgos de Gestión'!$AK$29="Moderado"),CONCATENATE("R3C",'Riesgos de Gestión'!$V$29),"")</f>
        <v/>
      </c>
      <c r="AA28" s="52" t="str">
        <f>IF(AND('Riesgos de Gestión'!$AI$30="Media",'Riesgos de Gestión'!$AK$30="Moderado"),CONCATENATE("R3C",'Riesgos de Gestión'!$V$30),"")</f>
        <v/>
      </c>
      <c r="AB28" s="35" t="str">
        <f>IF(AND('Riesgos de Gestión'!$AI$25="Media",'Riesgos de Gestión'!$AK$25="Mayor"),CONCATENATE("R3C",'Riesgos de Gestión'!$V$25),"")</f>
        <v/>
      </c>
      <c r="AC28" s="36" t="str">
        <f>IF(AND('Riesgos de Gestión'!$AI$26="Media",'Riesgos de Gestión'!$AK$26="Mayor"),CONCATENATE("R3C",'Riesgos de Gestión'!$V$26),"")</f>
        <v/>
      </c>
      <c r="AD28" s="36" t="str">
        <f>IF(AND('Riesgos de Gestión'!$AI$27="Media",'Riesgos de Gestión'!$AK$27="Mayor"),CONCATENATE("R3C",'Riesgos de Gestión'!$V$27),"")</f>
        <v/>
      </c>
      <c r="AE28" s="36" t="str">
        <f>IF(AND('Riesgos de Gestión'!$AI$28="Media",'Riesgos de Gestión'!$AK$28="Mayor"),CONCATENATE("R3C",'Riesgos de Gestión'!$V$28),"")</f>
        <v/>
      </c>
      <c r="AF28" s="36" t="str">
        <f>IF(AND('Riesgos de Gestión'!$AI$29="Media",'Riesgos de Gestión'!$AK$29="Mayor"),CONCATENATE("R3C",'Riesgos de Gestión'!$V$29),"")</f>
        <v/>
      </c>
      <c r="AG28" s="37" t="str">
        <f>IF(AND('Riesgos de Gestión'!$AI$30="Media",'Riesgos de Gestión'!$AK$30="Mayor"),CONCATENATE("R3C",'Riesgos de Gestión'!$V$30),"")</f>
        <v/>
      </c>
      <c r="AH28" s="38" t="str">
        <f>IF(AND('Riesgos de Gestión'!$AI$25="Media",'Riesgos de Gestión'!$AK$25="Catastrófico"),CONCATENATE("R3C",'Riesgos de Gestión'!$V$25),"")</f>
        <v/>
      </c>
      <c r="AI28" s="39" t="str">
        <f>IF(AND('Riesgos de Gestión'!$AI$26="Media",'Riesgos de Gestión'!$AK$26="Catastrófico"),CONCATENATE("R3C",'Riesgos de Gestión'!$V$26),"")</f>
        <v/>
      </c>
      <c r="AJ28" s="39" t="str">
        <f>IF(AND('Riesgos de Gestión'!$AI$27="Media",'Riesgos de Gestión'!$AK$27="Catastrófico"),CONCATENATE("R3C",'Riesgos de Gestión'!$V$27),"")</f>
        <v/>
      </c>
      <c r="AK28" s="39" t="str">
        <f>IF(AND('Riesgos de Gestión'!$AI$28="Media",'Riesgos de Gestión'!$AK$28="Catastrófico"),CONCATENATE("R3C",'Riesgos de Gestión'!$V$28),"")</f>
        <v/>
      </c>
      <c r="AL28" s="39" t="str">
        <f>IF(AND('Riesgos de Gestión'!$AI$29="Media",'Riesgos de Gestión'!$AK$29="Catastrófico"),CONCATENATE("R3C",'Riesgos de Gestión'!$V$29),"")</f>
        <v/>
      </c>
      <c r="AM28" s="40" t="str">
        <f>IF(AND('Riesgos de Gestión'!$AI$30="Media",'Riesgos de Gestión'!$AK$30="Catastrófico"),CONCATENATE("R3C",'Riesgos de Gestión'!$V$30),"")</f>
        <v/>
      </c>
      <c r="AN28" s="66"/>
      <c r="AO28" s="674"/>
      <c r="AP28" s="675"/>
      <c r="AQ28" s="675"/>
      <c r="AR28" s="675"/>
      <c r="AS28" s="675"/>
      <c r="AT28" s="67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546"/>
      <c r="C29" s="546"/>
      <c r="D29" s="547"/>
      <c r="E29" s="645"/>
      <c r="F29" s="644"/>
      <c r="G29" s="644"/>
      <c r="H29" s="644"/>
      <c r="I29" s="660"/>
      <c r="J29" s="50" t="str">
        <f>IF(AND('Riesgos de Gestión'!$AI$31="Media",'Riesgos de Gestión'!$AK$31="Leve"),CONCATENATE("R4C",'Riesgos de Gestión'!$V$31),"")</f>
        <v/>
      </c>
      <c r="K29" s="51" t="str">
        <f>IF(AND('Riesgos de Gestión'!$AI$32="Media",'Riesgos de Gestión'!$AK$32="Leve"),CONCATENATE("R4C",'Riesgos de Gestión'!$V$32),"")</f>
        <v/>
      </c>
      <c r="L29" s="51" t="str">
        <f>IF(AND('Riesgos de Gestión'!$AI$33="Media",'Riesgos de Gestión'!$AK$33="Leve"),CONCATENATE("R4C",'Riesgos de Gestión'!$V$33),"")</f>
        <v/>
      </c>
      <c r="M29" s="51" t="str">
        <f>IF(AND('Riesgos de Gestión'!$AI$34="Media",'Riesgos de Gestión'!$AK$34="Leve"),CONCATENATE("R4C",'Riesgos de Gestión'!$V$34),"")</f>
        <v/>
      </c>
      <c r="N29" s="51" t="str">
        <f>IF(AND('Riesgos de Gestión'!$AI$35="Media",'Riesgos de Gestión'!$AK$35="Leve"),CONCATENATE("R4C",'Riesgos de Gestión'!$V$35),"")</f>
        <v/>
      </c>
      <c r="O29" s="52" t="str">
        <f>IF(AND('Riesgos de Gestión'!$AI$36="Media",'Riesgos de Gestión'!$AK$36="Leve"),CONCATENATE("R4C",'Riesgos de Gestión'!$V$36),"")</f>
        <v/>
      </c>
      <c r="P29" s="50" t="str">
        <f>IF(AND('Riesgos de Gestión'!$AI$31="Media",'Riesgos de Gestión'!$AK$31="Menor"),CONCATENATE("R4C",'Riesgos de Gestión'!$V$31),"")</f>
        <v/>
      </c>
      <c r="Q29" s="51" t="str">
        <f>IF(AND('Riesgos de Gestión'!$AI$32="Media",'Riesgos de Gestión'!$AK$32="Menor"),CONCATENATE("R4C",'Riesgos de Gestión'!$V$32),"")</f>
        <v/>
      </c>
      <c r="R29" s="51" t="str">
        <f>IF(AND('Riesgos de Gestión'!$AI$33="Media",'Riesgos de Gestión'!$AK$33="Menor"),CONCATENATE("R4C",'Riesgos de Gestión'!$V$33),"")</f>
        <v/>
      </c>
      <c r="S29" s="51" t="str">
        <f>IF(AND('Riesgos de Gestión'!$AI$34="Media",'Riesgos de Gestión'!$AK$34="Menor"),CONCATENATE("R4C",'Riesgos de Gestión'!$V$34),"")</f>
        <v/>
      </c>
      <c r="T29" s="51" t="str">
        <f>IF(AND('Riesgos de Gestión'!$AI$35="Media",'Riesgos de Gestión'!$AK$35="Menor"),CONCATENATE("R4C",'Riesgos de Gestión'!$V$35),"")</f>
        <v/>
      </c>
      <c r="U29" s="52" t="str">
        <f>IF(AND('Riesgos de Gestión'!$AI$36="Media",'Riesgos de Gestión'!$AK$36="Menor"),CONCATENATE("R4C",'Riesgos de Gestión'!$V$36),"")</f>
        <v/>
      </c>
      <c r="V29" s="50" t="str">
        <f>IF(AND('Riesgos de Gestión'!$AI$31="Media",'Riesgos de Gestión'!$AK$31="Moderado"),CONCATENATE("R4C",'Riesgos de Gestión'!$V$31),"")</f>
        <v/>
      </c>
      <c r="W29" s="51" t="str">
        <f>IF(AND('Riesgos de Gestión'!$AI$32="Media",'Riesgos de Gestión'!$AK$32="Moderado"),CONCATENATE("R4C",'Riesgos de Gestión'!$V$32),"")</f>
        <v/>
      </c>
      <c r="X29" s="51" t="str">
        <f>IF(AND('Riesgos de Gestión'!$AI$33="Media",'Riesgos de Gestión'!$AK$33="Moderado"),CONCATENATE("R4C",'Riesgos de Gestión'!$V$33),"")</f>
        <v/>
      </c>
      <c r="Y29" s="51" t="str">
        <f>IF(AND('Riesgos de Gestión'!$AI$34="Media",'Riesgos de Gestión'!$AK$34="Moderado"),CONCATENATE("R4C",'Riesgos de Gestión'!$V$34),"")</f>
        <v/>
      </c>
      <c r="Z29" s="51" t="str">
        <f>IF(AND('Riesgos de Gestión'!$AI$35="Media",'Riesgos de Gestión'!$AK$35="Moderado"),CONCATENATE("R4C",'Riesgos de Gestión'!$V$35),"")</f>
        <v/>
      </c>
      <c r="AA29" s="52" t="str">
        <f>IF(AND('Riesgos de Gestión'!$AI$36="Media",'Riesgos de Gestión'!$AK$36="Moderado"),CONCATENATE("R4C",'Riesgos de Gestión'!$V$36),"")</f>
        <v/>
      </c>
      <c r="AB29" s="35" t="str">
        <f>IF(AND('Riesgos de Gestión'!$AI$31="Media",'Riesgos de Gestión'!$AK$31="Mayor"),CONCATENATE("R4C",'Riesgos de Gestión'!$V$31),"")</f>
        <v/>
      </c>
      <c r="AC29" s="36" t="str">
        <f>IF(AND('Riesgos de Gestión'!$AI$32="Media",'Riesgos de Gestión'!$AK$32="Mayor"),CONCATENATE("R4C",'Riesgos de Gestión'!$V$32),"")</f>
        <v/>
      </c>
      <c r="AD29" s="36" t="str">
        <f>IF(AND('Riesgos de Gestión'!$AI$33="Media",'Riesgos de Gestión'!$AK$33="Mayor"),CONCATENATE("R4C",'Riesgos de Gestión'!$V$33),"")</f>
        <v/>
      </c>
      <c r="AE29" s="36" t="str">
        <f>IF(AND('Riesgos de Gestión'!$AI$34="Media",'Riesgos de Gestión'!$AK$34="Mayor"),CONCATENATE("R4C",'Riesgos de Gestión'!$V$34),"")</f>
        <v/>
      </c>
      <c r="AF29" s="36" t="str">
        <f>IF(AND('Riesgos de Gestión'!$AI$35="Media",'Riesgos de Gestión'!$AK$35="Mayor"),CONCATENATE("R4C",'Riesgos de Gestión'!$V$35),"")</f>
        <v/>
      </c>
      <c r="AG29" s="37" t="str">
        <f>IF(AND('Riesgos de Gestión'!$AI$36="Media",'Riesgos de Gestión'!$AK$36="Mayor"),CONCATENATE("R4C",'Riesgos de Gestión'!$V$36),"")</f>
        <v/>
      </c>
      <c r="AH29" s="38" t="str">
        <f>IF(AND('Riesgos de Gestión'!$AI$31="Media",'Riesgos de Gestión'!$AK$31="Catastrófico"),CONCATENATE("R4C",'Riesgos de Gestión'!$V$31),"")</f>
        <v/>
      </c>
      <c r="AI29" s="39" t="str">
        <f>IF(AND('Riesgos de Gestión'!$AI$32="Media",'Riesgos de Gestión'!$AK$32="Catastrófico"),CONCATENATE("R4C",'Riesgos de Gestión'!$V$32),"")</f>
        <v/>
      </c>
      <c r="AJ29" s="39" t="str">
        <f>IF(AND('Riesgos de Gestión'!$AI$33="Media",'Riesgos de Gestión'!$AK$33="Catastrófico"),CONCATENATE("R4C",'Riesgos de Gestión'!$V$33),"")</f>
        <v/>
      </c>
      <c r="AK29" s="39" t="str">
        <f>IF(AND('Riesgos de Gestión'!$AI$34="Media",'Riesgos de Gestión'!$AK$34="Catastrófico"),CONCATENATE("R4C",'Riesgos de Gestión'!$V$34),"")</f>
        <v/>
      </c>
      <c r="AL29" s="39" t="str">
        <f>IF(AND('Riesgos de Gestión'!$AI$35="Media",'Riesgos de Gestión'!$AK$35="Catastrófico"),CONCATENATE("R4C",'Riesgos de Gestión'!$V$35),"")</f>
        <v/>
      </c>
      <c r="AM29" s="40" t="str">
        <f>IF(AND('Riesgos de Gestión'!$AI$36="Media",'Riesgos de Gestión'!$AK$36="Catastrófico"),CONCATENATE("R4C",'Riesgos de Gestión'!$V$36),"")</f>
        <v/>
      </c>
      <c r="AN29" s="66"/>
      <c r="AO29" s="674"/>
      <c r="AP29" s="675"/>
      <c r="AQ29" s="675"/>
      <c r="AR29" s="675"/>
      <c r="AS29" s="675"/>
      <c r="AT29" s="67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546"/>
      <c r="C30" s="546"/>
      <c r="D30" s="547"/>
      <c r="E30" s="645"/>
      <c r="F30" s="644"/>
      <c r="G30" s="644"/>
      <c r="H30" s="644"/>
      <c r="I30" s="660"/>
      <c r="J30" s="50" t="str">
        <f>IF(AND('Riesgos de Gestión'!$AI$37="Media",'Riesgos de Gestión'!$AK$37="Leve"),CONCATENATE("R5C",'Riesgos de Gestión'!$V$37),"")</f>
        <v/>
      </c>
      <c r="K30" s="51" t="str">
        <f>IF(AND('Riesgos de Gestión'!$AI$38="Media",'Riesgos de Gestión'!$AK$38="Leve"),CONCATENATE("R5C",'Riesgos de Gestión'!$V$38),"")</f>
        <v/>
      </c>
      <c r="L30" s="51" t="str">
        <f>IF(AND('Riesgos de Gestión'!$AI$39="Media",'Riesgos de Gestión'!$AK$39="Leve"),CONCATENATE("R5C",'Riesgos de Gestión'!$V$39),"")</f>
        <v/>
      </c>
      <c r="M30" s="51" t="str">
        <f>IF(AND('Riesgos de Gestión'!$AI$40="Media",'Riesgos de Gestión'!$AK$40="Leve"),CONCATENATE("R5C",'Riesgos de Gestión'!$V$40),"")</f>
        <v/>
      </c>
      <c r="N30" s="51" t="str">
        <f>IF(AND('Riesgos de Gestión'!$AI$41="Media",'Riesgos de Gestión'!$AK$41="Leve"),CONCATENATE("R5C",'Riesgos de Gestión'!$V$41),"")</f>
        <v/>
      </c>
      <c r="O30" s="52" t="str">
        <f>IF(AND('Riesgos de Gestión'!$AI$42="Media",'Riesgos de Gestión'!$AK$42="Leve"),CONCATENATE("R5C",'Riesgos de Gestión'!$V$42),"")</f>
        <v/>
      </c>
      <c r="P30" s="50" t="str">
        <f>IF(AND('Riesgos de Gestión'!$AI$37="Media",'Riesgos de Gestión'!$AK$37="Menor"),CONCATENATE("R5C",'Riesgos de Gestión'!$V$37),"")</f>
        <v/>
      </c>
      <c r="Q30" s="51" t="str">
        <f>IF(AND('Riesgos de Gestión'!$AI$38="Media",'Riesgos de Gestión'!$AK$38="Menor"),CONCATENATE("R5C",'Riesgos de Gestión'!$V$38),"")</f>
        <v/>
      </c>
      <c r="R30" s="51" t="str">
        <f>IF(AND('Riesgos de Gestión'!$AI$39="Media",'Riesgos de Gestión'!$AK$39="Menor"),CONCATENATE("R5C",'Riesgos de Gestión'!$V$39),"")</f>
        <v/>
      </c>
      <c r="S30" s="51" t="str">
        <f>IF(AND('Riesgos de Gestión'!$AI$40="Media",'Riesgos de Gestión'!$AK$40="Menor"),CONCATENATE("R5C",'Riesgos de Gestión'!$V$40),"")</f>
        <v/>
      </c>
      <c r="T30" s="51" t="str">
        <f>IF(AND('Riesgos de Gestión'!$AI$41="Media",'Riesgos de Gestión'!$AK$41="Menor"),CONCATENATE("R5C",'Riesgos de Gestión'!$V$41),"")</f>
        <v/>
      </c>
      <c r="U30" s="52" t="str">
        <f>IF(AND('Riesgos de Gestión'!$AI$42="Media",'Riesgos de Gestión'!$AK$42="Menor"),CONCATENATE("R5C",'Riesgos de Gestión'!$V$42),"")</f>
        <v/>
      </c>
      <c r="V30" s="50" t="str">
        <f>IF(AND('Riesgos de Gestión'!$AI$37="Media",'Riesgos de Gestión'!$AK$37="Moderado"),CONCATENATE("R5C",'Riesgos de Gestión'!$V$37),"")</f>
        <v/>
      </c>
      <c r="W30" s="51" t="str">
        <f>IF(AND('Riesgos de Gestión'!$AI$38="Media",'Riesgos de Gestión'!$AK$38="Moderado"),CONCATENATE("R5C",'Riesgos de Gestión'!$V$38),"")</f>
        <v/>
      </c>
      <c r="X30" s="51" t="str">
        <f>IF(AND('Riesgos de Gestión'!$AI$39="Media",'Riesgos de Gestión'!$AK$39="Moderado"),CONCATENATE("R5C",'Riesgos de Gestión'!$V$39),"")</f>
        <v/>
      </c>
      <c r="Y30" s="51" t="str">
        <f>IF(AND('Riesgos de Gestión'!$AI$40="Media",'Riesgos de Gestión'!$AK$40="Moderado"),CONCATENATE("R5C",'Riesgos de Gestión'!$V$40),"")</f>
        <v/>
      </c>
      <c r="Z30" s="51" t="str">
        <f>IF(AND('Riesgos de Gestión'!$AI$41="Media",'Riesgos de Gestión'!$AK$41="Moderado"),CONCATENATE("R5C",'Riesgos de Gestión'!$V$41),"")</f>
        <v/>
      </c>
      <c r="AA30" s="52" t="str">
        <f>IF(AND('Riesgos de Gestión'!$AI$42="Media",'Riesgos de Gestión'!$AK$42="Moderado"),CONCATENATE("R5C",'Riesgos de Gestión'!$V$42),"")</f>
        <v/>
      </c>
      <c r="AB30" s="35" t="str">
        <f>IF(AND('Riesgos de Gestión'!$AI$37="Media",'Riesgos de Gestión'!$AK$37="Mayor"),CONCATENATE("R5C",'Riesgos de Gestión'!$V$37),"")</f>
        <v/>
      </c>
      <c r="AC30" s="36" t="str">
        <f>IF(AND('Riesgos de Gestión'!$AI$38="Media",'Riesgos de Gestión'!$AK$38="Mayor"),CONCATENATE("R5C",'Riesgos de Gestión'!$V$38),"")</f>
        <v/>
      </c>
      <c r="AD30" s="36" t="str">
        <f>IF(AND('Riesgos de Gestión'!$AI$39="Media",'Riesgos de Gestión'!$AK$39="Mayor"),CONCATENATE("R5C",'Riesgos de Gestión'!$V$39),"")</f>
        <v/>
      </c>
      <c r="AE30" s="36" t="str">
        <f>IF(AND('Riesgos de Gestión'!$AI$40="Media",'Riesgos de Gestión'!$AK$40="Mayor"),CONCATENATE("R5C",'Riesgos de Gestión'!$V$40),"")</f>
        <v/>
      </c>
      <c r="AF30" s="36" t="str">
        <f>IF(AND('Riesgos de Gestión'!$AI$41="Media",'Riesgos de Gestión'!$AK$41="Mayor"),CONCATENATE("R5C",'Riesgos de Gestión'!$V$41),"")</f>
        <v/>
      </c>
      <c r="AG30" s="37" t="str">
        <f>IF(AND('Riesgos de Gestión'!$AI$42="Media",'Riesgos de Gestión'!$AK$42="Mayor"),CONCATENATE("R5C",'Riesgos de Gestión'!$V$42),"")</f>
        <v/>
      </c>
      <c r="AH30" s="38" t="str">
        <f>IF(AND('Riesgos de Gestión'!$AI$37="Media",'Riesgos de Gestión'!$AK$37="Catastrófico"),CONCATENATE("R5C",'Riesgos de Gestión'!$V$37),"")</f>
        <v/>
      </c>
      <c r="AI30" s="39" t="str">
        <f>IF(AND('Riesgos de Gestión'!$AI$38="Media",'Riesgos de Gestión'!$AK$38="Catastrófico"),CONCATENATE("R5C",'Riesgos de Gestión'!$V$38),"")</f>
        <v/>
      </c>
      <c r="AJ30" s="39" t="str">
        <f>IF(AND('Riesgos de Gestión'!$AI$39="Media",'Riesgos de Gestión'!$AK$39="Catastrófico"),CONCATENATE("R5C",'Riesgos de Gestión'!$V$39),"")</f>
        <v/>
      </c>
      <c r="AK30" s="39" t="str">
        <f>IF(AND('Riesgos de Gestión'!$AI$40="Media",'Riesgos de Gestión'!$AK$40="Catastrófico"),CONCATENATE("R5C",'Riesgos de Gestión'!$V$40),"")</f>
        <v/>
      </c>
      <c r="AL30" s="39" t="str">
        <f>IF(AND('Riesgos de Gestión'!$AI$41="Media",'Riesgos de Gestión'!$AK$41="Catastrófico"),CONCATENATE("R5C",'Riesgos de Gestión'!$V$41),"")</f>
        <v/>
      </c>
      <c r="AM30" s="40" t="str">
        <f>IF(AND('Riesgos de Gestión'!$AI$42="Media",'Riesgos de Gestión'!$AK$42="Catastrófico"),CONCATENATE("R5C",'Riesgos de Gestión'!$V$42),"")</f>
        <v/>
      </c>
      <c r="AN30" s="66"/>
      <c r="AO30" s="674"/>
      <c r="AP30" s="675"/>
      <c r="AQ30" s="675"/>
      <c r="AR30" s="675"/>
      <c r="AS30" s="675"/>
      <c r="AT30" s="67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546"/>
      <c r="C31" s="546"/>
      <c r="D31" s="547"/>
      <c r="E31" s="645"/>
      <c r="F31" s="644"/>
      <c r="G31" s="644"/>
      <c r="H31" s="644"/>
      <c r="I31" s="660"/>
      <c r="J31" s="50" t="str">
        <f>IF(AND('Riesgos de Gestión'!$AI$43="Media",'Riesgos de Gestión'!$AK$43="Leve"),CONCATENATE("R6C",'Riesgos de Gestión'!$V$43),"")</f>
        <v/>
      </c>
      <c r="K31" s="51" t="str">
        <f>IF(AND('Riesgos de Gestión'!$AI$44="Media",'Riesgos de Gestión'!$AK$44="Leve"),CONCATENATE("R6C",'Riesgos de Gestión'!$V$44),"")</f>
        <v/>
      </c>
      <c r="L31" s="51" t="str">
        <f>IF(AND('Riesgos de Gestión'!$AI$45="Media",'Riesgos de Gestión'!$AK$45="Leve"),CONCATENATE("R6C",'Riesgos de Gestión'!$V$45),"")</f>
        <v/>
      </c>
      <c r="M31" s="51" t="str">
        <f>IF(AND('Riesgos de Gestión'!$AI$46="Media",'Riesgos de Gestión'!$AK$46="Leve"),CONCATENATE("R6C",'Riesgos de Gestión'!$V$46),"")</f>
        <v/>
      </c>
      <c r="N31" s="51" t="str">
        <f>IF(AND('Riesgos de Gestión'!$AI$47="Media",'Riesgos de Gestión'!$AK$47="Leve"),CONCATENATE("R6C",'Riesgos de Gestión'!$V$47),"")</f>
        <v/>
      </c>
      <c r="O31" s="52" t="str">
        <f>IF(AND('Riesgos de Gestión'!$AI$48="Media",'Riesgos de Gestión'!$AK$48="Leve"),CONCATENATE("R6C",'Riesgos de Gestión'!$V$48),"")</f>
        <v/>
      </c>
      <c r="P31" s="50" t="str">
        <f>IF(AND('Riesgos de Gestión'!$AI$43="Media",'Riesgos de Gestión'!$AK$43="Menor"),CONCATENATE("R6C",'Riesgos de Gestión'!$V$43),"")</f>
        <v/>
      </c>
      <c r="Q31" s="51" t="str">
        <f>IF(AND('Riesgos de Gestión'!$AI$44="Media",'Riesgos de Gestión'!$AK$44="Menor"),CONCATENATE("R6C",'Riesgos de Gestión'!$V$44),"")</f>
        <v/>
      </c>
      <c r="R31" s="51" t="str">
        <f>IF(AND('Riesgos de Gestión'!$AI$45="Media",'Riesgos de Gestión'!$AK$45="Menor"),CONCATENATE("R6C",'Riesgos de Gestión'!$V$45),"")</f>
        <v/>
      </c>
      <c r="S31" s="51" t="str">
        <f>IF(AND('Riesgos de Gestión'!$AI$46="Media",'Riesgos de Gestión'!$AK$46="Menor"),CONCATENATE("R6C",'Riesgos de Gestión'!$V$46),"")</f>
        <v/>
      </c>
      <c r="T31" s="51" t="str">
        <f>IF(AND('Riesgos de Gestión'!$AI$47="Media",'Riesgos de Gestión'!$AK$47="Menor"),CONCATENATE("R6C",'Riesgos de Gestión'!$V$47),"")</f>
        <v/>
      </c>
      <c r="U31" s="52" t="str">
        <f>IF(AND('Riesgos de Gestión'!$AI$48="Media",'Riesgos de Gestión'!$AK$48="Menor"),CONCATENATE("R6C",'Riesgos de Gestión'!$V$48),"")</f>
        <v/>
      </c>
      <c r="V31" s="50" t="str">
        <f>IF(AND('Riesgos de Gestión'!$AI$43="Media",'Riesgos de Gestión'!$AK$43="Moderado"),CONCATENATE("R6C",'Riesgos de Gestión'!$V$43),"")</f>
        <v/>
      </c>
      <c r="W31" s="51" t="str">
        <f>IF(AND('Riesgos de Gestión'!$AI$44="Media",'Riesgos de Gestión'!$AK$44="Moderado"),CONCATENATE("R6C",'Riesgos de Gestión'!$V$44),"")</f>
        <v/>
      </c>
      <c r="X31" s="51" t="str">
        <f>IF(AND('Riesgos de Gestión'!$AI$45="Media",'Riesgos de Gestión'!$AK$45="Moderado"),CONCATENATE("R6C",'Riesgos de Gestión'!$V$45),"")</f>
        <v/>
      </c>
      <c r="Y31" s="51" t="str">
        <f>IF(AND('Riesgos de Gestión'!$AI$46="Media",'Riesgos de Gestión'!$AK$46="Moderado"),CONCATENATE("R6C",'Riesgos de Gestión'!$V$46),"")</f>
        <v/>
      </c>
      <c r="Z31" s="51" t="str">
        <f>IF(AND('Riesgos de Gestión'!$AI$47="Media",'Riesgos de Gestión'!$AK$47="Moderado"),CONCATENATE("R6C",'Riesgos de Gestión'!$V$47),"")</f>
        <v/>
      </c>
      <c r="AA31" s="52" t="str">
        <f>IF(AND('Riesgos de Gestión'!$AI$48="Media",'Riesgos de Gestión'!$AK$48="Moderado"),CONCATENATE("R6C",'Riesgos de Gestión'!$V$48),"")</f>
        <v/>
      </c>
      <c r="AB31" s="35" t="str">
        <f>IF(AND('Riesgos de Gestión'!$AI$43="Media",'Riesgos de Gestión'!$AK$43="Mayor"),CONCATENATE("R6C",'Riesgos de Gestión'!$V$43),"")</f>
        <v/>
      </c>
      <c r="AC31" s="36" t="str">
        <f>IF(AND('Riesgos de Gestión'!$AI$44="Media",'Riesgos de Gestión'!$AK$44="Mayor"),CONCATENATE("R6C",'Riesgos de Gestión'!$V$44),"")</f>
        <v/>
      </c>
      <c r="AD31" s="36" t="str">
        <f>IF(AND('Riesgos de Gestión'!$AI$45="Media",'Riesgos de Gestión'!$AK$45="Mayor"),CONCATENATE("R6C",'Riesgos de Gestión'!$V$45),"")</f>
        <v/>
      </c>
      <c r="AE31" s="36" t="str">
        <f>IF(AND('Riesgos de Gestión'!$AI$46="Media",'Riesgos de Gestión'!$AK$46="Mayor"),CONCATENATE("R6C",'Riesgos de Gestión'!$V$46),"")</f>
        <v/>
      </c>
      <c r="AF31" s="36" t="str">
        <f>IF(AND('Riesgos de Gestión'!$AI$47="Media",'Riesgos de Gestión'!$AK$47="Mayor"),CONCATENATE("R6C",'Riesgos de Gestión'!$V$47),"")</f>
        <v/>
      </c>
      <c r="AG31" s="37" t="str">
        <f>IF(AND('Riesgos de Gestión'!$AI$48="Media",'Riesgos de Gestión'!$AK$48="Mayor"),CONCATENATE("R6C",'Riesgos de Gestión'!$V$48),"")</f>
        <v/>
      </c>
      <c r="AH31" s="38" t="str">
        <f>IF(AND('Riesgos de Gestión'!$AI$43="Media",'Riesgos de Gestión'!$AK$43="Catastrófico"),CONCATENATE("R6C",'Riesgos de Gestión'!$V$43),"")</f>
        <v/>
      </c>
      <c r="AI31" s="39" t="str">
        <f>IF(AND('Riesgos de Gestión'!$AI$44="Media",'Riesgos de Gestión'!$AK$44="Catastrófico"),CONCATENATE("R6C",'Riesgos de Gestión'!$V$44),"")</f>
        <v/>
      </c>
      <c r="AJ31" s="39" t="str">
        <f>IF(AND('Riesgos de Gestión'!$AI$45="Media",'Riesgos de Gestión'!$AK$45="Catastrófico"),CONCATENATE("R6C",'Riesgos de Gestión'!$V$45),"")</f>
        <v/>
      </c>
      <c r="AK31" s="39" t="str">
        <f>IF(AND('Riesgos de Gestión'!$AI$46="Media",'Riesgos de Gestión'!$AK$46="Catastrófico"),CONCATENATE("R6C",'Riesgos de Gestión'!$V$46),"")</f>
        <v/>
      </c>
      <c r="AL31" s="39" t="str">
        <f>IF(AND('Riesgos de Gestión'!$AI$47="Media",'Riesgos de Gestión'!$AK$47="Catastrófico"),CONCATENATE("R6C",'Riesgos de Gestión'!$V$47),"")</f>
        <v/>
      </c>
      <c r="AM31" s="40" t="str">
        <f>IF(AND('Riesgos de Gestión'!$AI$48="Media",'Riesgos de Gestión'!$AK$48="Catastrófico"),CONCATENATE("R6C",'Riesgos de Gestión'!$V$48),"")</f>
        <v/>
      </c>
      <c r="AN31" s="66"/>
      <c r="AO31" s="674"/>
      <c r="AP31" s="675"/>
      <c r="AQ31" s="675"/>
      <c r="AR31" s="675"/>
      <c r="AS31" s="675"/>
      <c r="AT31" s="67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546"/>
      <c r="C32" s="546"/>
      <c r="D32" s="547"/>
      <c r="E32" s="645"/>
      <c r="F32" s="644"/>
      <c r="G32" s="644"/>
      <c r="H32" s="644"/>
      <c r="I32" s="660"/>
      <c r="J32" s="50" t="str">
        <f>IF(AND('Riesgos de Gestión'!$AI$49="Media",'Riesgos de Gestión'!$AK$49="Leve"),CONCATENATE("R7C",'Riesgos de Gestión'!$V$49),"")</f>
        <v/>
      </c>
      <c r="K32" s="51" t="str">
        <f>IF(AND('Riesgos de Gestión'!$AI$50="Media",'Riesgos de Gestión'!$AK$50="Leve"),CONCATENATE("R7C",'Riesgos de Gestión'!$V$50),"")</f>
        <v/>
      </c>
      <c r="L32" s="51" t="str">
        <f>IF(AND('Riesgos de Gestión'!$AI$51="Media",'Riesgos de Gestión'!$AK$51="Leve"),CONCATENATE("R7C",'Riesgos de Gestión'!$V$51),"")</f>
        <v/>
      </c>
      <c r="M32" s="51" t="str">
        <f>IF(AND('Riesgos de Gestión'!$AI$52="Media",'Riesgos de Gestión'!$AK$52="Leve"),CONCATENATE("R7C",'Riesgos de Gestión'!$V$52),"")</f>
        <v/>
      </c>
      <c r="N32" s="51" t="str">
        <f>IF(AND('Riesgos de Gestión'!$AI$53="Media",'Riesgos de Gestión'!$AK$53="Leve"),CONCATENATE("R7C",'Riesgos de Gestión'!$V$53),"")</f>
        <v/>
      </c>
      <c r="O32" s="52" t="str">
        <f>IF(AND('Riesgos de Gestión'!$AI$54="Media",'Riesgos de Gestión'!$AK$54="Leve"),CONCATENATE("R7C",'Riesgos de Gestión'!$V$54),"")</f>
        <v/>
      </c>
      <c r="P32" s="50" t="str">
        <f>IF(AND('Riesgos de Gestión'!$AI$49="Media",'Riesgos de Gestión'!$AK$49="Menor"),CONCATENATE("R7C",'Riesgos de Gestión'!$V$49),"")</f>
        <v/>
      </c>
      <c r="Q32" s="51" t="str">
        <f>IF(AND('Riesgos de Gestión'!$AI$50="Media",'Riesgos de Gestión'!$AK$50="Menor"),CONCATENATE("R7C",'Riesgos de Gestión'!$V$50),"")</f>
        <v/>
      </c>
      <c r="R32" s="51" t="str">
        <f>IF(AND('Riesgos de Gestión'!$AI$51="Media",'Riesgos de Gestión'!$AK$51="Menor"),CONCATENATE("R7C",'Riesgos de Gestión'!$V$51),"")</f>
        <v/>
      </c>
      <c r="S32" s="51" t="str">
        <f>IF(AND('Riesgos de Gestión'!$AI$52="Media",'Riesgos de Gestión'!$AK$52="Menor"),CONCATENATE("R7C",'Riesgos de Gestión'!$V$52),"")</f>
        <v/>
      </c>
      <c r="T32" s="51" t="str">
        <f>IF(AND('Riesgos de Gestión'!$AI$53="Media",'Riesgos de Gestión'!$AK$53="Menor"),CONCATENATE("R7C",'Riesgos de Gestión'!$V$53),"")</f>
        <v/>
      </c>
      <c r="U32" s="52" t="str">
        <f>IF(AND('Riesgos de Gestión'!$AI$54="Media",'Riesgos de Gestión'!$AK$54="Menor"),CONCATENATE("R7C",'Riesgos de Gestión'!$V$54),"")</f>
        <v/>
      </c>
      <c r="V32" s="50" t="str">
        <f>IF(AND('Riesgos de Gestión'!$AI$49="Media",'Riesgos de Gestión'!$AK$49="Moderado"),CONCATENATE("R7C",'Riesgos de Gestión'!$V$49),"")</f>
        <v/>
      </c>
      <c r="W32" s="51" t="str">
        <f>IF(AND('Riesgos de Gestión'!$AI$50="Media",'Riesgos de Gestión'!$AK$50="Moderado"),CONCATENATE("R7C",'Riesgos de Gestión'!$V$50),"")</f>
        <v/>
      </c>
      <c r="X32" s="51" t="str">
        <f>IF(AND('Riesgos de Gestión'!$AI$51="Media",'Riesgos de Gestión'!$AK$51="Moderado"),CONCATENATE("R7C",'Riesgos de Gestión'!$V$51),"")</f>
        <v/>
      </c>
      <c r="Y32" s="51" t="str">
        <f>IF(AND('Riesgos de Gestión'!$AI$52="Media",'Riesgos de Gestión'!$AK$52="Moderado"),CONCATENATE("R7C",'Riesgos de Gestión'!$V$52),"")</f>
        <v/>
      </c>
      <c r="Z32" s="51" t="str">
        <f>IF(AND('Riesgos de Gestión'!$AI$53="Media",'Riesgos de Gestión'!$AK$53="Moderado"),CONCATENATE("R7C",'Riesgos de Gestión'!$V$53),"")</f>
        <v/>
      </c>
      <c r="AA32" s="52" t="str">
        <f>IF(AND('Riesgos de Gestión'!$AI$54="Media",'Riesgos de Gestión'!$AK$54="Moderado"),CONCATENATE("R7C",'Riesgos de Gestión'!$V$54),"")</f>
        <v/>
      </c>
      <c r="AB32" s="35" t="str">
        <f>IF(AND('Riesgos de Gestión'!$AI$49="Media",'Riesgos de Gestión'!$AK$49="Mayor"),CONCATENATE("R7C",'Riesgos de Gestión'!$V$49),"")</f>
        <v/>
      </c>
      <c r="AC32" s="36" t="str">
        <f>IF(AND('Riesgos de Gestión'!$AI$50="Media",'Riesgos de Gestión'!$AK$50="Mayor"),CONCATENATE("R7C",'Riesgos de Gestión'!$V$50),"")</f>
        <v/>
      </c>
      <c r="AD32" s="36" t="str">
        <f>IF(AND('Riesgos de Gestión'!$AI$51="Media",'Riesgos de Gestión'!$AK$51="Mayor"),CONCATENATE("R7C",'Riesgos de Gestión'!$V$51),"")</f>
        <v/>
      </c>
      <c r="AE32" s="36" t="str">
        <f>IF(AND('Riesgos de Gestión'!$AI$52="Media",'Riesgos de Gestión'!$AK$52="Mayor"),CONCATENATE("R7C",'Riesgos de Gestión'!$V$52),"")</f>
        <v/>
      </c>
      <c r="AF32" s="36" t="str">
        <f>IF(AND('Riesgos de Gestión'!$AI$53="Media",'Riesgos de Gestión'!$AK$53="Mayor"),CONCATENATE("R7C",'Riesgos de Gestión'!$V$53),"")</f>
        <v/>
      </c>
      <c r="AG32" s="37" t="str">
        <f>IF(AND('Riesgos de Gestión'!$AI$54="Media",'Riesgos de Gestión'!$AK$54="Mayor"),CONCATENATE("R7C",'Riesgos de Gestión'!$V$54),"")</f>
        <v/>
      </c>
      <c r="AH32" s="38" t="str">
        <f>IF(AND('Riesgos de Gestión'!$AI$49="Media",'Riesgos de Gestión'!$AK$49="Catastrófico"),CONCATENATE("R7C",'Riesgos de Gestión'!$V$49),"")</f>
        <v/>
      </c>
      <c r="AI32" s="39" t="str">
        <f>IF(AND('Riesgos de Gestión'!$AI$50="Media",'Riesgos de Gestión'!$AK$50="Catastrófico"),CONCATENATE("R7C",'Riesgos de Gestión'!$V$50),"")</f>
        <v/>
      </c>
      <c r="AJ32" s="39" t="str">
        <f>IF(AND('Riesgos de Gestión'!$AI$51="Media",'Riesgos de Gestión'!$AK$51="Catastrófico"),CONCATENATE("R7C",'Riesgos de Gestión'!$V$51),"")</f>
        <v/>
      </c>
      <c r="AK32" s="39" t="str">
        <f>IF(AND('Riesgos de Gestión'!$AI$52="Media",'Riesgos de Gestión'!$AK$52="Catastrófico"),CONCATENATE("R7C",'Riesgos de Gestión'!$V$52),"")</f>
        <v/>
      </c>
      <c r="AL32" s="39" t="str">
        <f>IF(AND('Riesgos de Gestión'!$AI$53="Media",'Riesgos de Gestión'!$AK$53="Catastrófico"),CONCATENATE("R7C",'Riesgos de Gestión'!$V$53),"")</f>
        <v/>
      </c>
      <c r="AM32" s="40" t="str">
        <f>IF(AND('Riesgos de Gestión'!$AI$54="Media",'Riesgos de Gestión'!$AK$54="Catastrófico"),CONCATENATE("R7C",'Riesgos de Gestión'!$V$54),"")</f>
        <v/>
      </c>
      <c r="AN32" s="66"/>
      <c r="AO32" s="674"/>
      <c r="AP32" s="675"/>
      <c r="AQ32" s="675"/>
      <c r="AR32" s="675"/>
      <c r="AS32" s="675"/>
      <c r="AT32" s="67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546"/>
      <c r="C33" s="546"/>
      <c r="D33" s="547"/>
      <c r="E33" s="645"/>
      <c r="F33" s="644"/>
      <c r="G33" s="644"/>
      <c r="H33" s="644"/>
      <c r="I33" s="660"/>
      <c r="J33" s="50" t="str">
        <f>IF(AND('Riesgos de Gestión'!$AI$55="Media",'Riesgos de Gestión'!$AK$55="Leve"),CONCATENATE("R8C",'Riesgos de Gestión'!$V$55),"")</f>
        <v/>
      </c>
      <c r="K33" s="51" t="str">
        <f>IF(AND('Riesgos de Gestión'!$AI$56="Media",'Riesgos de Gestión'!$AK$56="Leve"),CONCATENATE("R8C",'Riesgos de Gestión'!$V$56),"")</f>
        <v/>
      </c>
      <c r="L33" s="51" t="str">
        <f>IF(AND('Riesgos de Gestión'!$AI$57="Media",'Riesgos de Gestión'!$AK$57="Leve"),CONCATENATE("R8C",'Riesgos de Gestión'!$V$57),"")</f>
        <v/>
      </c>
      <c r="M33" s="51" t="str">
        <f>IF(AND('Riesgos de Gestión'!$AI$58="Media",'Riesgos de Gestión'!$AK$58="Leve"),CONCATENATE("R8C",'Riesgos de Gestión'!$V$58),"")</f>
        <v/>
      </c>
      <c r="N33" s="51" t="str">
        <f>IF(AND('Riesgos de Gestión'!$AI$59="Media",'Riesgos de Gestión'!$AK$59="Leve"),CONCATENATE("R8C",'Riesgos de Gestión'!$V$59),"")</f>
        <v/>
      </c>
      <c r="O33" s="52" t="str">
        <f>IF(AND('Riesgos de Gestión'!$AI$60="Media",'Riesgos de Gestión'!$AK$60="Leve"),CONCATENATE("R8C",'Riesgos de Gestión'!$V$60),"")</f>
        <v/>
      </c>
      <c r="P33" s="50" t="str">
        <f>IF(AND('Riesgos de Gestión'!$AI$55="Media",'Riesgos de Gestión'!$AK$55="Menor"),CONCATENATE("R8C",'Riesgos de Gestión'!$V$55),"")</f>
        <v/>
      </c>
      <c r="Q33" s="51" t="str">
        <f>IF(AND('Riesgos de Gestión'!$AI$56="Media",'Riesgos de Gestión'!$AK$56="Menor"),CONCATENATE("R8C",'Riesgos de Gestión'!$V$56),"")</f>
        <v/>
      </c>
      <c r="R33" s="51" t="str">
        <f>IF(AND('Riesgos de Gestión'!$AI$57="Media",'Riesgos de Gestión'!$AK$57="Menor"),CONCATENATE("R8C",'Riesgos de Gestión'!$V$57),"")</f>
        <v/>
      </c>
      <c r="S33" s="51" t="str">
        <f>IF(AND('Riesgos de Gestión'!$AI$58="Media",'Riesgos de Gestión'!$AK$58="Menor"),CONCATENATE("R8C",'Riesgos de Gestión'!$V$58),"")</f>
        <v/>
      </c>
      <c r="T33" s="51" t="str">
        <f>IF(AND('Riesgos de Gestión'!$AI$59="Media",'Riesgos de Gestión'!$AK$59="Menor"),CONCATENATE("R8C",'Riesgos de Gestión'!$V$59),"")</f>
        <v/>
      </c>
      <c r="U33" s="52" t="str">
        <f>IF(AND('Riesgos de Gestión'!$AI$60="Media",'Riesgos de Gestión'!$AK$60="Menor"),CONCATENATE("R8C",'Riesgos de Gestión'!$V$60),"")</f>
        <v/>
      </c>
      <c r="V33" s="50" t="str">
        <f>IF(AND('Riesgos de Gestión'!$AI$55="Media",'Riesgos de Gestión'!$AK$55="Moderado"),CONCATENATE("R8C",'Riesgos de Gestión'!$V$55),"")</f>
        <v/>
      </c>
      <c r="W33" s="51" t="str">
        <f>IF(AND('Riesgos de Gestión'!$AI$56="Media",'Riesgos de Gestión'!$AK$56="Moderado"),CONCATENATE("R8C",'Riesgos de Gestión'!$V$56),"")</f>
        <v/>
      </c>
      <c r="X33" s="51" t="str">
        <f>IF(AND('Riesgos de Gestión'!$AI$57="Media",'Riesgos de Gestión'!$AK$57="Moderado"),CONCATENATE("R8C",'Riesgos de Gestión'!$V$57),"")</f>
        <v/>
      </c>
      <c r="Y33" s="51" t="str">
        <f>IF(AND('Riesgos de Gestión'!$AI$58="Media",'Riesgos de Gestión'!$AK$58="Moderado"),CONCATENATE("R8C",'Riesgos de Gestión'!$V$58),"")</f>
        <v/>
      </c>
      <c r="Z33" s="51" t="str">
        <f>IF(AND('Riesgos de Gestión'!$AI$59="Media",'Riesgos de Gestión'!$AK$59="Moderado"),CONCATENATE("R8C",'Riesgos de Gestión'!$V$59),"")</f>
        <v/>
      </c>
      <c r="AA33" s="52" t="str">
        <f>IF(AND('Riesgos de Gestión'!$AI$60="Media",'Riesgos de Gestión'!$AK$60="Moderado"),CONCATENATE("R8C",'Riesgos de Gestión'!$V$60),"")</f>
        <v/>
      </c>
      <c r="AB33" s="35" t="str">
        <f>IF(AND('Riesgos de Gestión'!$AI$55="Media",'Riesgos de Gestión'!$AK$55="Mayor"),CONCATENATE("R8C",'Riesgos de Gestión'!$V$55),"")</f>
        <v/>
      </c>
      <c r="AC33" s="36" t="str">
        <f>IF(AND('Riesgos de Gestión'!$AI$56="Media",'Riesgos de Gestión'!$AK$56="Mayor"),CONCATENATE("R8C",'Riesgos de Gestión'!$V$56),"")</f>
        <v/>
      </c>
      <c r="AD33" s="36" t="str">
        <f>IF(AND('Riesgos de Gestión'!$AI$57="Media",'Riesgos de Gestión'!$AK$57="Mayor"),CONCATENATE("R8C",'Riesgos de Gestión'!$V$57),"")</f>
        <v/>
      </c>
      <c r="AE33" s="36" t="str">
        <f>IF(AND('Riesgos de Gestión'!$AI$58="Media",'Riesgos de Gestión'!$AK$58="Mayor"),CONCATENATE("R8C",'Riesgos de Gestión'!$V$58),"")</f>
        <v/>
      </c>
      <c r="AF33" s="36" t="str">
        <f>IF(AND('Riesgos de Gestión'!$AI$59="Media",'Riesgos de Gestión'!$AK$59="Mayor"),CONCATENATE("R8C",'Riesgos de Gestión'!$V$59),"")</f>
        <v/>
      </c>
      <c r="AG33" s="37" t="str">
        <f>IF(AND('Riesgos de Gestión'!$AI$60="Media",'Riesgos de Gestión'!$AK$60="Mayor"),CONCATENATE("R8C",'Riesgos de Gestión'!$V$60),"")</f>
        <v/>
      </c>
      <c r="AH33" s="38" t="str">
        <f>IF(AND('Riesgos de Gestión'!$AI$55="Media",'Riesgos de Gestión'!$AK$55="Catastrófico"),CONCATENATE("R8C",'Riesgos de Gestión'!$V$55),"")</f>
        <v/>
      </c>
      <c r="AI33" s="39" t="str">
        <f>IF(AND('Riesgos de Gestión'!$AI$56="Media",'Riesgos de Gestión'!$AK$56="Catastrófico"),CONCATENATE("R8C",'Riesgos de Gestión'!$V$56),"")</f>
        <v/>
      </c>
      <c r="AJ33" s="39" t="str">
        <f>IF(AND('Riesgos de Gestión'!$AI$57="Media",'Riesgos de Gestión'!$AK$57="Catastrófico"),CONCATENATE("R8C",'Riesgos de Gestión'!$V$57),"")</f>
        <v/>
      </c>
      <c r="AK33" s="39" t="str">
        <f>IF(AND('Riesgos de Gestión'!$AI$58="Media",'Riesgos de Gestión'!$AK$58="Catastrófico"),CONCATENATE("R8C",'Riesgos de Gestión'!$V$58),"")</f>
        <v/>
      </c>
      <c r="AL33" s="39" t="str">
        <f>IF(AND('Riesgos de Gestión'!$AI$59="Media",'Riesgos de Gestión'!$AK$59="Catastrófico"),CONCATENATE("R8C",'Riesgos de Gestión'!$V$59),"")</f>
        <v/>
      </c>
      <c r="AM33" s="40" t="str">
        <f>IF(AND('Riesgos de Gestión'!$AI$60="Media",'Riesgos de Gestión'!$AK$60="Catastrófico"),CONCATENATE("R8C",'Riesgos de Gestión'!$V$60),"")</f>
        <v/>
      </c>
      <c r="AN33" s="66"/>
      <c r="AO33" s="674"/>
      <c r="AP33" s="675"/>
      <c r="AQ33" s="675"/>
      <c r="AR33" s="675"/>
      <c r="AS33" s="675"/>
      <c r="AT33" s="67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546"/>
      <c r="C34" s="546"/>
      <c r="D34" s="547"/>
      <c r="E34" s="645"/>
      <c r="F34" s="644"/>
      <c r="G34" s="644"/>
      <c r="H34" s="644"/>
      <c r="I34" s="660"/>
      <c r="J34" s="50" t="str">
        <f>IF(AND('Riesgos de Gestión'!$AI$61="Media",'Riesgos de Gestión'!$AK$61="Leve"),CONCATENATE("R9C",'Riesgos de Gestión'!$V$61),"")</f>
        <v/>
      </c>
      <c r="K34" s="51" t="str">
        <f>IF(AND('Riesgos de Gestión'!$AI$62="Media",'Riesgos de Gestión'!$AK$62="Leve"),CONCATENATE("R9C",'Riesgos de Gestión'!$V$62),"")</f>
        <v/>
      </c>
      <c r="L34" s="51" t="str">
        <f>IF(AND('Riesgos de Gestión'!$AI$63="Media",'Riesgos de Gestión'!$AK$63="Leve"),CONCATENATE("R9C",'Riesgos de Gestión'!$V$63),"")</f>
        <v/>
      </c>
      <c r="M34" s="51" t="str">
        <f>IF(AND('Riesgos de Gestión'!$AI$64="Media",'Riesgos de Gestión'!$AK$64="Leve"),CONCATENATE("R9C",'Riesgos de Gestión'!$V$64),"")</f>
        <v/>
      </c>
      <c r="N34" s="51" t="str">
        <f>IF(AND('Riesgos de Gestión'!$AI$65="Media",'Riesgos de Gestión'!$AK$65="Leve"),CONCATENATE("R9C",'Riesgos de Gestión'!$V$65),"")</f>
        <v/>
      </c>
      <c r="O34" s="52" t="str">
        <f>IF(AND('Riesgos de Gestión'!$AI$66="Media",'Riesgos de Gestión'!$AK$66="Leve"),CONCATENATE("R9C",'Riesgos de Gestión'!$V$66),"")</f>
        <v/>
      </c>
      <c r="P34" s="50" t="str">
        <f>IF(AND('Riesgos de Gestión'!$AI$61="Media",'Riesgos de Gestión'!$AK$61="Menor"),CONCATENATE("R9C",'Riesgos de Gestión'!$V$61),"")</f>
        <v/>
      </c>
      <c r="Q34" s="51" t="str">
        <f>IF(AND('Riesgos de Gestión'!$AI$62="Media",'Riesgos de Gestión'!$AK$62="Menor"),CONCATENATE("R9C",'Riesgos de Gestión'!$V$62),"")</f>
        <v/>
      </c>
      <c r="R34" s="51" t="str">
        <f>IF(AND('Riesgos de Gestión'!$AI$63="Media",'Riesgos de Gestión'!$AK$63="Menor"),CONCATENATE("R9C",'Riesgos de Gestión'!$V$63),"")</f>
        <v/>
      </c>
      <c r="S34" s="51" t="str">
        <f>IF(AND('Riesgos de Gestión'!$AI$64="Media",'Riesgos de Gestión'!$AK$64="Menor"),CONCATENATE("R9C",'Riesgos de Gestión'!$V$64),"")</f>
        <v/>
      </c>
      <c r="T34" s="51" t="str">
        <f>IF(AND('Riesgos de Gestión'!$AI$65="Media",'Riesgos de Gestión'!$AK$65="Menor"),CONCATENATE("R9C",'Riesgos de Gestión'!$V$65),"")</f>
        <v/>
      </c>
      <c r="U34" s="52" t="str">
        <f>IF(AND('Riesgos de Gestión'!$AI$66="Media",'Riesgos de Gestión'!$AK$66="Menor"),CONCATENATE("R9C",'Riesgos de Gestión'!$V$66),"")</f>
        <v/>
      </c>
      <c r="V34" s="50" t="str">
        <f>IF(AND('Riesgos de Gestión'!$AI$61="Media",'Riesgos de Gestión'!$AK$61="Moderado"),CONCATENATE("R9C",'Riesgos de Gestión'!$V$61),"")</f>
        <v/>
      </c>
      <c r="W34" s="51" t="str">
        <f>IF(AND('Riesgos de Gestión'!$AI$62="Media",'Riesgos de Gestión'!$AK$62="Moderado"),CONCATENATE("R9C",'Riesgos de Gestión'!$V$62),"")</f>
        <v/>
      </c>
      <c r="X34" s="51" t="str">
        <f>IF(AND('Riesgos de Gestión'!$AI$63="Media",'Riesgos de Gestión'!$AK$63="Moderado"),CONCATENATE("R9C",'Riesgos de Gestión'!$V$63),"")</f>
        <v/>
      </c>
      <c r="Y34" s="51" t="str">
        <f>IF(AND('Riesgos de Gestión'!$AI$64="Media",'Riesgos de Gestión'!$AK$64="Moderado"),CONCATENATE("R9C",'Riesgos de Gestión'!$V$64),"")</f>
        <v/>
      </c>
      <c r="Z34" s="51" t="str">
        <f>IF(AND('Riesgos de Gestión'!$AI$65="Media",'Riesgos de Gestión'!$AK$65="Moderado"),CONCATENATE("R9C",'Riesgos de Gestión'!$V$65),"")</f>
        <v/>
      </c>
      <c r="AA34" s="52" t="str">
        <f>IF(AND('Riesgos de Gestión'!$AI$66="Media",'Riesgos de Gestión'!$AK$66="Moderado"),CONCATENATE("R9C",'Riesgos de Gestión'!$V$66),"")</f>
        <v/>
      </c>
      <c r="AB34" s="35" t="str">
        <f>IF(AND('Riesgos de Gestión'!$AI$61="Media",'Riesgos de Gestión'!$AK$61="Mayor"),CONCATENATE("R9C",'Riesgos de Gestión'!$V$61),"")</f>
        <v/>
      </c>
      <c r="AC34" s="36" t="str">
        <f>IF(AND('Riesgos de Gestión'!$AI$62="Media",'Riesgos de Gestión'!$AK$62="Mayor"),CONCATENATE("R9C",'Riesgos de Gestión'!$V$62),"")</f>
        <v/>
      </c>
      <c r="AD34" s="36" t="str">
        <f>IF(AND('Riesgos de Gestión'!$AI$63="Media",'Riesgos de Gestión'!$AK$63="Mayor"),CONCATENATE("R9C",'Riesgos de Gestión'!$V$63),"")</f>
        <v/>
      </c>
      <c r="AE34" s="36" t="str">
        <f>IF(AND('Riesgos de Gestión'!$AI$64="Media",'Riesgos de Gestión'!$AK$64="Mayor"),CONCATENATE("R9C",'Riesgos de Gestión'!$V$64),"")</f>
        <v/>
      </c>
      <c r="AF34" s="36" t="str">
        <f>IF(AND('Riesgos de Gestión'!$AI$65="Media",'Riesgos de Gestión'!$AK$65="Mayor"),CONCATENATE("R9C",'Riesgos de Gestión'!$V$65),"")</f>
        <v/>
      </c>
      <c r="AG34" s="37" t="str">
        <f>IF(AND('Riesgos de Gestión'!$AI$66="Media",'Riesgos de Gestión'!$AK$66="Mayor"),CONCATENATE("R9C",'Riesgos de Gestión'!$V$66),"")</f>
        <v/>
      </c>
      <c r="AH34" s="38" t="str">
        <f>IF(AND('Riesgos de Gestión'!$AI$61="Media",'Riesgos de Gestión'!$AK$61="Catastrófico"),CONCATENATE("R9C",'Riesgos de Gestión'!$V$61),"")</f>
        <v/>
      </c>
      <c r="AI34" s="39" t="str">
        <f>IF(AND('Riesgos de Gestión'!$AI$62="Media",'Riesgos de Gestión'!$AK$62="Catastrófico"),CONCATENATE("R9C",'Riesgos de Gestión'!$V$62),"")</f>
        <v/>
      </c>
      <c r="AJ34" s="39" t="str">
        <f>IF(AND('Riesgos de Gestión'!$AI$63="Media",'Riesgos de Gestión'!$AK$63="Catastrófico"),CONCATENATE("R9C",'Riesgos de Gestión'!$V$63),"")</f>
        <v/>
      </c>
      <c r="AK34" s="39" t="str">
        <f>IF(AND('Riesgos de Gestión'!$AI$64="Media",'Riesgos de Gestión'!$AK$64="Catastrófico"),CONCATENATE("R9C",'Riesgos de Gestión'!$V$64),"")</f>
        <v/>
      </c>
      <c r="AL34" s="39" t="str">
        <f>IF(AND('Riesgos de Gestión'!$AI$65="Media",'Riesgos de Gestión'!$AK$65="Catastrófico"),CONCATENATE("R9C",'Riesgos de Gestión'!$V$65),"")</f>
        <v/>
      </c>
      <c r="AM34" s="40" t="str">
        <f>IF(AND('Riesgos de Gestión'!$AI$66="Media",'Riesgos de Gestión'!$AK$66="Catastrófico"),CONCATENATE("R9C",'Riesgos de Gestión'!$V$66),"")</f>
        <v/>
      </c>
      <c r="AN34" s="66"/>
      <c r="AO34" s="674"/>
      <c r="AP34" s="675"/>
      <c r="AQ34" s="675"/>
      <c r="AR34" s="675"/>
      <c r="AS34" s="675"/>
      <c r="AT34" s="67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546"/>
      <c r="C35" s="546"/>
      <c r="D35" s="547"/>
      <c r="E35" s="646"/>
      <c r="F35" s="647"/>
      <c r="G35" s="647"/>
      <c r="H35" s="647"/>
      <c r="I35" s="661"/>
      <c r="J35" s="50" t="str">
        <f>IF(AND('Riesgos de Gestión'!$AI$67="Media",'Riesgos de Gestión'!$AK$67="Leve"),CONCATENATE("R10C",'Riesgos de Gestión'!$V$67),"")</f>
        <v/>
      </c>
      <c r="K35" s="51" t="str">
        <f>IF(AND('Riesgos de Gestión'!$AI$68="Media",'Riesgos de Gestión'!$AK$68="Leve"),CONCATENATE("R10C",'Riesgos de Gestión'!$V$68),"")</f>
        <v/>
      </c>
      <c r="L35" s="51" t="str">
        <f>IF(AND('Riesgos de Gestión'!$AI$69="Media",'Riesgos de Gestión'!$AK$69="Leve"),CONCATENATE("R10C",'Riesgos de Gestión'!$V$69),"")</f>
        <v/>
      </c>
      <c r="M35" s="51" t="str">
        <f>IF(AND('Riesgos de Gestión'!$AI$70="Media",'Riesgos de Gestión'!$AK$70="Leve"),CONCATENATE("R10C",'Riesgos de Gestión'!$V$70),"")</f>
        <v/>
      </c>
      <c r="N35" s="51" t="str">
        <f>IF(AND('Riesgos de Gestión'!$AI$71="Media",'Riesgos de Gestión'!$AK$71="Leve"),CONCATENATE("R10C",'Riesgos de Gestión'!$V$71),"")</f>
        <v/>
      </c>
      <c r="O35" s="52" t="str">
        <f>IF(AND('Riesgos de Gestión'!$AI$72="Media",'Riesgos de Gestión'!$AK$72="Leve"),CONCATENATE("R10C",'Riesgos de Gestión'!$V$72),"")</f>
        <v/>
      </c>
      <c r="P35" s="50" t="str">
        <f>IF(AND('Riesgos de Gestión'!$AI$67="Media",'Riesgos de Gestión'!$AK$67="Menor"),CONCATENATE("R10C",'Riesgos de Gestión'!$V$67),"")</f>
        <v/>
      </c>
      <c r="Q35" s="51" t="str">
        <f>IF(AND('Riesgos de Gestión'!$AI$68="Media",'Riesgos de Gestión'!$AK$68="Menor"),CONCATENATE("R10C",'Riesgos de Gestión'!$V$68),"")</f>
        <v/>
      </c>
      <c r="R35" s="51" t="str">
        <f>IF(AND('Riesgos de Gestión'!$AI$69="Media",'Riesgos de Gestión'!$AK$69="Menor"),CONCATENATE("R10C",'Riesgos de Gestión'!$V$69),"")</f>
        <v/>
      </c>
      <c r="S35" s="51" t="str">
        <f>IF(AND('Riesgos de Gestión'!$AI$70="Media",'Riesgos de Gestión'!$AK$70="Menor"),CONCATENATE("R10C",'Riesgos de Gestión'!$V$70),"")</f>
        <v/>
      </c>
      <c r="T35" s="51" t="str">
        <f>IF(AND('Riesgos de Gestión'!$AI$71="Media",'Riesgos de Gestión'!$AK$71="Menor"),CONCATENATE("R10C",'Riesgos de Gestión'!$V$71),"")</f>
        <v/>
      </c>
      <c r="U35" s="52" t="str">
        <f>IF(AND('Riesgos de Gestión'!$AI$72="Media",'Riesgos de Gestión'!$AK$72="Menor"),CONCATENATE("R10C",'Riesgos de Gestión'!$V$72),"")</f>
        <v/>
      </c>
      <c r="V35" s="50" t="str">
        <f>IF(AND('Riesgos de Gestión'!$AI$67="Media",'Riesgos de Gestión'!$AK$67="Moderado"),CONCATENATE("R10C",'Riesgos de Gestión'!$V$67),"")</f>
        <v/>
      </c>
      <c r="W35" s="51" t="str">
        <f>IF(AND('Riesgos de Gestión'!$AI$68="Media",'Riesgos de Gestión'!$AK$68="Moderado"),CONCATENATE("R10C",'Riesgos de Gestión'!$V$68),"")</f>
        <v/>
      </c>
      <c r="X35" s="51" t="str">
        <f>IF(AND('Riesgos de Gestión'!$AI$69="Media",'Riesgos de Gestión'!$AK$69="Moderado"),CONCATENATE("R10C",'Riesgos de Gestión'!$V$69),"")</f>
        <v/>
      </c>
      <c r="Y35" s="51" t="str">
        <f>IF(AND('Riesgos de Gestión'!$AI$70="Media",'Riesgos de Gestión'!$AK$70="Moderado"),CONCATENATE("R10C",'Riesgos de Gestión'!$V$70),"")</f>
        <v/>
      </c>
      <c r="Z35" s="51" t="str">
        <f>IF(AND('Riesgos de Gestión'!$AI$71="Media",'Riesgos de Gestión'!$AK$71="Moderado"),CONCATENATE("R10C",'Riesgos de Gestión'!$V$71),"")</f>
        <v/>
      </c>
      <c r="AA35" s="52" t="str">
        <f>IF(AND('Riesgos de Gestión'!$AI$72="Media",'Riesgos de Gestión'!$AK$72="Moderado"),CONCATENATE("R10C",'Riesgos de Gestión'!$V$72),"")</f>
        <v/>
      </c>
      <c r="AB35" s="41" t="str">
        <f>IF(AND('Riesgos de Gestión'!$AI$67="Media",'Riesgos de Gestión'!$AK$67="Mayor"),CONCATENATE("R10C",'Riesgos de Gestión'!$V$67),"")</f>
        <v/>
      </c>
      <c r="AC35" s="42" t="str">
        <f>IF(AND('Riesgos de Gestión'!$AI$68="Media",'Riesgos de Gestión'!$AK$68="Mayor"),CONCATENATE("R10C",'Riesgos de Gestión'!$V$68),"")</f>
        <v/>
      </c>
      <c r="AD35" s="42" t="str">
        <f>IF(AND('Riesgos de Gestión'!$AI$69="Media",'Riesgos de Gestión'!$AK$69="Mayor"),CONCATENATE("R10C",'Riesgos de Gestión'!$V$69),"")</f>
        <v/>
      </c>
      <c r="AE35" s="42" t="str">
        <f>IF(AND('Riesgos de Gestión'!$AI$70="Media",'Riesgos de Gestión'!$AK$70="Mayor"),CONCATENATE("R10C",'Riesgos de Gestión'!$V$70),"")</f>
        <v/>
      </c>
      <c r="AF35" s="42" t="str">
        <f>IF(AND('Riesgos de Gestión'!$AI$71="Media",'Riesgos de Gestión'!$AK$71="Mayor"),CONCATENATE("R10C",'Riesgos de Gestión'!$V$71),"")</f>
        <v/>
      </c>
      <c r="AG35" s="43" t="str">
        <f>IF(AND('Riesgos de Gestión'!$AI$72="Media",'Riesgos de Gestión'!$AK$72="Mayor"),CONCATENATE("R10C",'Riesgos de Gestión'!$V$72),"")</f>
        <v/>
      </c>
      <c r="AH35" s="44" t="str">
        <f>IF(AND('Riesgos de Gestión'!$AI$67="Media",'Riesgos de Gestión'!$AK$67="Catastrófico"),CONCATENATE("R10C",'Riesgos de Gestión'!$V$67),"")</f>
        <v/>
      </c>
      <c r="AI35" s="45" t="str">
        <f>IF(AND('Riesgos de Gestión'!$AI$68="Media",'Riesgos de Gestión'!$AK$68="Catastrófico"),CONCATENATE("R10C",'Riesgos de Gestión'!$V$68),"")</f>
        <v/>
      </c>
      <c r="AJ35" s="45" t="str">
        <f>IF(AND('Riesgos de Gestión'!$AI$69="Media",'Riesgos de Gestión'!$AK$69="Catastrófico"),CONCATENATE("R10C",'Riesgos de Gestión'!$V$69),"")</f>
        <v/>
      </c>
      <c r="AK35" s="45" t="str">
        <f>IF(AND('Riesgos de Gestión'!$AI$70="Media",'Riesgos de Gestión'!$AK$70="Catastrófico"),CONCATENATE("R10C",'Riesgos de Gestión'!$V$70),"")</f>
        <v/>
      </c>
      <c r="AL35" s="45" t="str">
        <f>IF(AND('Riesgos de Gestión'!$AI$71="Media",'Riesgos de Gestión'!$AK$71="Catastrófico"),CONCATENATE("R10C",'Riesgos de Gestión'!$V$71),"")</f>
        <v/>
      </c>
      <c r="AM35" s="46" t="str">
        <f>IF(AND('Riesgos de Gestión'!$AI$72="Media",'Riesgos de Gestión'!$AK$72="Catastrófico"),CONCATENATE("R10C",'Riesgos de Gestión'!$V$72),"")</f>
        <v/>
      </c>
      <c r="AN35" s="66"/>
      <c r="AO35" s="677"/>
      <c r="AP35" s="678"/>
      <c r="AQ35" s="678"/>
      <c r="AR35" s="678"/>
      <c r="AS35" s="678"/>
      <c r="AT35" s="67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546"/>
      <c r="C36" s="546"/>
      <c r="D36" s="547"/>
      <c r="E36" s="641" t="s">
        <v>493</v>
      </c>
      <c r="F36" s="642"/>
      <c r="G36" s="642"/>
      <c r="H36" s="642"/>
      <c r="I36" s="642"/>
      <c r="J36" s="56" t="str">
        <f>IF(AND('Riesgos de Gestión'!$AI$13="Baja",'Riesgos de Gestión'!$AK$13="Leve"),CONCATENATE("R1C",'Riesgos de Gestión'!$V$13),"")</f>
        <v/>
      </c>
      <c r="K36" s="57" t="str">
        <f>IF(AND('Riesgos de Gestión'!$AI$14="Baja",'Riesgos de Gestión'!$AK$14="Leve"),CONCATENATE("R1C",'Riesgos de Gestión'!$V$14),"")</f>
        <v/>
      </c>
      <c r="L36" s="57" t="str">
        <f>IF(AND('Riesgos de Gestión'!$AI$15="Baja",'Riesgos de Gestión'!$AK$15="Leve"),CONCATENATE("R1C",'Riesgos de Gestión'!$V$15),"")</f>
        <v/>
      </c>
      <c r="M36" s="57" t="str">
        <f>IF(AND('Riesgos de Gestión'!$AI$16="Baja",'Riesgos de Gestión'!$AK$16="Leve"),CONCATENATE("R1C",'Riesgos de Gestión'!$V$16),"")</f>
        <v/>
      </c>
      <c r="N36" s="57" t="str">
        <f>IF(AND('Riesgos de Gestión'!$AI$17="Baja",'Riesgos de Gestión'!$AK$17="Leve"),CONCATENATE("R1C",'Riesgos de Gestión'!$V$17),"")</f>
        <v/>
      </c>
      <c r="O36" s="58" t="str">
        <f>IF(AND('Riesgos de Gestión'!$AI$18="Baja",'Riesgos de Gestión'!$AK$18="Leve"),CONCATENATE("R1C",'Riesgos de Gestión'!$V$18),"")</f>
        <v/>
      </c>
      <c r="P36" s="47" t="str">
        <f>IF(AND('Riesgos de Gestión'!$AI$13="Baja",'Riesgos de Gestión'!$AK$13="Menor"),CONCATENATE("R1C",'Riesgos de Gestión'!$V$13),"")</f>
        <v/>
      </c>
      <c r="Q36" s="48" t="str">
        <f>IF(AND('Riesgos de Gestión'!$AI$14="Baja",'Riesgos de Gestión'!$AK$14="Menor"),CONCATENATE("R1C",'Riesgos de Gestión'!$V$14),"")</f>
        <v/>
      </c>
      <c r="R36" s="48" t="str">
        <f>IF(AND('Riesgos de Gestión'!$AI$15="Baja",'Riesgos de Gestión'!$AK$15="Menor"),CONCATENATE("R1C",'Riesgos de Gestión'!$V$15),"")</f>
        <v/>
      </c>
      <c r="S36" s="48" t="str">
        <f>IF(AND('Riesgos de Gestión'!$AI$16="Baja",'Riesgos de Gestión'!$AK$16="Menor"),CONCATENATE("R1C",'Riesgos de Gestión'!$V$16),"")</f>
        <v/>
      </c>
      <c r="T36" s="48" t="str">
        <f>IF(AND('Riesgos de Gestión'!$AI$17="Baja",'Riesgos de Gestión'!$AK$17="Menor"),CONCATENATE("R1C",'Riesgos de Gestión'!$V$17),"")</f>
        <v/>
      </c>
      <c r="U36" s="49" t="str">
        <f>IF(AND('Riesgos de Gestión'!$AI$18="Baja",'Riesgos de Gestión'!$AK$18="Menor"),CONCATENATE("R1C",'Riesgos de Gestión'!$V$18),"")</f>
        <v/>
      </c>
      <c r="V36" s="47" t="str">
        <f>IF(AND('Riesgos de Gestión'!$AI$13="Baja",'Riesgos de Gestión'!$AK$13="Moderado"),CONCATENATE("R1C",'Riesgos de Gestión'!$V$13),"")</f>
        <v>R1C1</v>
      </c>
      <c r="W36" s="48" t="str">
        <f>IF(AND('Riesgos de Gestión'!$AI$14="Baja",'Riesgos de Gestión'!$AK$14="Moderado"),CONCATENATE("R1C",'Riesgos de Gestión'!$V$14),"")</f>
        <v>R1C2</v>
      </c>
      <c r="X36" s="48" t="str">
        <f>IF(AND('Riesgos de Gestión'!$AI$15="Baja",'Riesgos de Gestión'!$AK$15="Moderado"),CONCATENATE("R1C",'Riesgos de Gestión'!$V$15),"")</f>
        <v/>
      </c>
      <c r="Y36" s="48" t="str">
        <f>IF(AND('Riesgos de Gestión'!$AI$16="Baja",'Riesgos de Gestión'!$AK$16="Moderado"),CONCATENATE("R1C",'Riesgos de Gestión'!$V$16),"")</f>
        <v/>
      </c>
      <c r="Z36" s="48" t="str">
        <f>IF(AND('Riesgos de Gestión'!$AI$17="Baja",'Riesgos de Gestión'!$AK$17="Moderado"),CONCATENATE("R1C",'Riesgos de Gestión'!$V$17),"")</f>
        <v/>
      </c>
      <c r="AA36" s="49" t="str">
        <f>IF(AND('Riesgos de Gestión'!$AI$18="Baja",'Riesgos de Gestión'!$AK$18="Moderado"),CONCATENATE("R1C",'Riesgos de Gestión'!$V$18),"")</f>
        <v/>
      </c>
      <c r="AB36" s="29" t="str">
        <f>IF(AND('Riesgos de Gestión'!$AI$13="Baja",'Riesgos de Gestión'!$AK$13="Mayor"),CONCATENATE("R1C",'Riesgos de Gestión'!$V$13),"")</f>
        <v/>
      </c>
      <c r="AC36" s="30" t="str">
        <f>IF(AND('Riesgos de Gestión'!$AI$14="Baja",'Riesgos de Gestión'!$AK$14="Mayor"),CONCATENATE("R1C",'Riesgos de Gestión'!$V$14),"")</f>
        <v/>
      </c>
      <c r="AD36" s="30" t="str">
        <f>IF(AND('Riesgos de Gestión'!$AI$15="Baja",'Riesgos de Gestión'!$AK$15="Mayor"),CONCATENATE("R1C",'Riesgos de Gestión'!$V$15),"")</f>
        <v/>
      </c>
      <c r="AE36" s="30" t="str">
        <f>IF(AND('Riesgos de Gestión'!$AI$16="Baja",'Riesgos de Gestión'!$AK$16="Mayor"),CONCATENATE("R1C",'Riesgos de Gestión'!$V$16),"")</f>
        <v/>
      </c>
      <c r="AF36" s="30" t="str">
        <f>IF(AND('Riesgos de Gestión'!$AI$17="Baja",'Riesgos de Gestión'!$AK$17="Mayor"),CONCATENATE("R1C",'Riesgos de Gestión'!$V$17),"")</f>
        <v/>
      </c>
      <c r="AG36" s="31" t="str">
        <f>IF(AND('Riesgos de Gestión'!$AI$18="Baja",'Riesgos de Gestión'!$AK$18="Mayor"),CONCATENATE("R1C",'Riesgos de Gestión'!$V$18),"")</f>
        <v/>
      </c>
      <c r="AH36" s="32" t="str">
        <f>IF(AND('Riesgos de Gestión'!$AI$13="Baja",'Riesgos de Gestión'!$AK$13="Catastrófico"),CONCATENATE("R1C",'Riesgos de Gestión'!$V$13),"")</f>
        <v/>
      </c>
      <c r="AI36" s="33" t="str">
        <f>IF(AND('Riesgos de Gestión'!$AI$14="Baja",'Riesgos de Gestión'!$AK$14="Catastrófico"),CONCATENATE("R1C",'Riesgos de Gestión'!$V$14),"")</f>
        <v/>
      </c>
      <c r="AJ36" s="33" t="str">
        <f>IF(AND('Riesgos de Gestión'!$AI$15="Baja",'Riesgos de Gestión'!$AK$15="Catastrófico"),CONCATENATE("R1C",'Riesgos de Gestión'!$V$15),"")</f>
        <v/>
      </c>
      <c r="AK36" s="33" t="str">
        <f>IF(AND('Riesgos de Gestión'!$AI$16="Baja",'Riesgos de Gestión'!$AK$16="Catastrófico"),CONCATENATE("R1C",'Riesgos de Gestión'!$V$16),"")</f>
        <v/>
      </c>
      <c r="AL36" s="33" t="str">
        <f>IF(AND('Riesgos de Gestión'!$AI$17="Baja",'Riesgos de Gestión'!$AK$17="Catastrófico"),CONCATENATE("R1C",'Riesgos de Gestión'!$V$17),"")</f>
        <v/>
      </c>
      <c r="AM36" s="34" t="str">
        <f>IF(AND('Riesgos de Gestión'!$AI$18="Baja",'Riesgos de Gestión'!$AK$18="Catastrófico"),CONCATENATE("R1C",'Riesgos de Gestión'!$V$18),"")</f>
        <v/>
      </c>
      <c r="AN36" s="66"/>
      <c r="AO36" s="662" t="s">
        <v>494</v>
      </c>
      <c r="AP36" s="663"/>
      <c r="AQ36" s="663"/>
      <c r="AR36" s="663"/>
      <c r="AS36" s="663"/>
      <c r="AT36" s="66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546"/>
      <c r="C37" s="546"/>
      <c r="D37" s="547"/>
      <c r="E37" s="643"/>
      <c r="F37" s="644"/>
      <c r="G37" s="644"/>
      <c r="H37" s="644"/>
      <c r="I37" s="644"/>
      <c r="J37" s="59" t="str">
        <f>IF(AND('Riesgos de Gestión'!$AI$19="Baja",'Riesgos de Gestión'!$AK$19="Leve"),CONCATENATE("R2C",'Riesgos de Gestión'!$V$19),"")</f>
        <v/>
      </c>
      <c r="K37" s="60" t="str">
        <f>IF(AND('Riesgos de Gestión'!$AI$20="Baja",'Riesgos de Gestión'!$AK$20="Leve"),CONCATENATE("R2C",'Riesgos de Gestión'!$V$20),"")</f>
        <v/>
      </c>
      <c r="L37" s="60" t="str">
        <f>IF(AND('Riesgos de Gestión'!$AI$21="Baja",'Riesgos de Gestión'!$AK$21="Leve"),CONCATENATE("R2C",'Riesgos de Gestión'!$V$21),"")</f>
        <v/>
      </c>
      <c r="M37" s="60" t="str">
        <f>IF(AND('Riesgos de Gestión'!$AI$22="Baja",'Riesgos de Gestión'!$AK$22="Leve"),CONCATENATE("R2C",'Riesgos de Gestión'!$V$22),"")</f>
        <v/>
      </c>
      <c r="N37" s="60" t="str">
        <f>IF(AND('Riesgos de Gestión'!$AI$23="Baja",'Riesgos de Gestión'!$AK$23="Leve"),CONCATENATE("R2C",'Riesgos de Gestión'!$V$23),"")</f>
        <v/>
      </c>
      <c r="O37" s="61" t="str">
        <f>IF(AND('Riesgos de Gestión'!$AI$24="Baja",'Riesgos de Gestión'!$AK$24="Leve"),CONCATENATE("R2C",'Riesgos de Gestión'!$V$24),"")</f>
        <v/>
      </c>
      <c r="P37" s="50" t="str">
        <f>IF(AND('Riesgos de Gestión'!$AI$19="Baja",'Riesgos de Gestión'!$AK$19="Menor"),CONCATENATE("R2C",'Riesgos de Gestión'!$V$19),"")</f>
        <v/>
      </c>
      <c r="Q37" s="51" t="str">
        <f>IF(AND('Riesgos de Gestión'!$AI$20="Baja",'Riesgos de Gestión'!$AK$20="Menor"),CONCATENATE("R2C",'Riesgos de Gestión'!$V$20),"")</f>
        <v/>
      </c>
      <c r="R37" s="51" t="str">
        <f>IF(AND('Riesgos de Gestión'!$AI$21="Baja",'Riesgos de Gestión'!$AK$21="Menor"),CONCATENATE("R2C",'Riesgos de Gestión'!$V$21),"")</f>
        <v/>
      </c>
      <c r="S37" s="51" t="str">
        <f>IF(AND('Riesgos de Gestión'!$AI$22="Baja",'Riesgos de Gestión'!$AK$22="Menor"),CONCATENATE("R2C",'Riesgos de Gestión'!$V$22),"")</f>
        <v/>
      </c>
      <c r="T37" s="51" t="str">
        <f>IF(AND('Riesgos de Gestión'!$AI$23="Baja",'Riesgos de Gestión'!$AK$23="Menor"),CONCATENATE("R2C",'Riesgos de Gestión'!$V$23),"")</f>
        <v/>
      </c>
      <c r="U37" s="52" t="str">
        <f>IF(AND('Riesgos de Gestión'!$AI$24="Baja",'Riesgos de Gestión'!$AK$24="Menor"),CONCATENATE("R2C",'Riesgos de Gestión'!$V$24),"")</f>
        <v/>
      </c>
      <c r="V37" s="50" t="str">
        <f>IF(AND('Riesgos de Gestión'!$AI$19="Baja",'Riesgos de Gestión'!$AK$19="Moderado"),CONCATENATE("R2C",'Riesgos de Gestión'!$V$19),"")</f>
        <v/>
      </c>
      <c r="W37" s="51" t="str">
        <f>IF(AND('Riesgos de Gestión'!$AI$20="Baja",'Riesgos de Gestión'!$AK$20="Moderado"),CONCATENATE("R2C",'Riesgos de Gestión'!$V$20),"")</f>
        <v/>
      </c>
      <c r="X37" s="51" t="str">
        <f>IF(AND('Riesgos de Gestión'!$AI$21="Baja",'Riesgos de Gestión'!$AK$21="Moderado"),CONCATENATE("R2C",'Riesgos de Gestión'!$V$21),"")</f>
        <v/>
      </c>
      <c r="Y37" s="51" t="str">
        <f>IF(AND('Riesgos de Gestión'!$AI$22="Baja",'Riesgos de Gestión'!$AK$22="Moderado"),CONCATENATE("R2C",'Riesgos de Gestión'!$V$22),"")</f>
        <v/>
      </c>
      <c r="Z37" s="51" t="str">
        <f>IF(AND('Riesgos de Gestión'!$AI$23="Baja",'Riesgos de Gestión'!$AK$23="Moderado"),CONCATENATE("R2C",'Riesgos de Gestión'!$V$23),"")</f>
        <v/>
      </c>
      <c r="AA37" s="52" t="str">
        <f>IF(AND('Riesgos de Gestión'!$AI$24="Baja",'Riesgos de Gestión'!$AK$24="Moderado"),CONCATENATE("R2C",'Riesgos de Gestión'!$V$24),"")</f>
        <v/>
      </c>
      <c r="AB37" s="35" t="str">
        <f>IF(AND('Riesgos de Gestión'!$AI$19="Baja",'Riesgos de Gestión'!$AK$19="Mayor"),CONCATENATE("R2C",'Riesgos de Gestión'!$V$19),"")</f>
        <v/>
      </c>
      <c r="AC37" s="36" t="str">
        <f>IF(AND('Riesgos de Gestión'!$AI$20="Baja",'Riesgos de Gestión'!$AK$20="Mayor"),CONCATENATE("R2C",'Riesgos de Gestión'!$V$20),"")</f>
        <v/>
      </c>
      <c r="AD37" s="36" t="str">
        <f>IF(AND('Riesgos de Gestión'!$AI$21="Baja",'Riesgos de Gestión'!$AK$21="Mayor"),CONCATENATE("R2C",'Riesgos de Gestión'!$V$21),"")</f>
        <v/>
      </c>
      <c r="AE37" s="36" t="str">
        <f>IF(AND('Riesgos de Gestión'!$AI$22="Baja",'Riesgos de Gestión'!$AK$22="Mayor"),CONCATENATE("R2C",'Riesgos de Gestión'!$V$22),"")</f>
        <v/>
      </c>
      <c r="AF37" s="36" t="str">
        <f>IF(AND('Riesgos de Gestión'!$AI$23="Baja",'Riesgos de Gestión'!$AK$23="Mayor"),CONCATENATE("R2C",'Riesgos de Gestión'!$V$23),"")</f>
        <v/>
      </c>
      <c r="AG37" s="37" t="str">
        <f>IF(AND('Riesgos de Gestión'!$AI$24="Baja",'Riesgos de Gestión'!$AK$24="Mayor"),CONCATENATE("R2C",'Riesgos de Gestión'!$V$24),"")</f>
        <v/>
      </c>
      <c r="AH37" s="38" t="str">
        <f>IF(AND('Riesgos de Gestión'!$AI$19="Baja",'Riesgos de Gestión'!$AK$19="Catastrófico"),CONCATENATE("R2C",'Riesgos de Gestión'!$V$19),"")</f>
        <v/>
      </c>
      <c r="AI37" s="39" t="str">
        <f>IF(AND('Riesgos de Gestión'!$AI$20="Baja",'Riesgos de Gestión'!$AK$20="Catastrófico"),CONCATENATE("R2C",'Riesgos de Gestión'!$V$20),"")</f>
        <v/>
      </c>
      <c r="AJ37" s="39" t="str">
        <f>IF(AND('Riesgos de Gestión'!$AI$21="Baja",'Riesgos de Gestión'!$AK$21="Catastrófico"),CONCATENATE("R2C",'Riesgos de Gestión'!$V$21),"")</f>
        <v/>
      </c>
      <c r="AK37" s="39" t="str">
        <f>IF(AND('Riesgos de Gestión'!$AI$22="Baja",'Riesgos de Gestión'!$AK$22="Catastrófico"),CONCATENATE("R2C",'Riesgos de Gestión'!$V$22),"")</f>
        <v/>
      </c>
      <c r="AL37" s="39" t="str">
        <f>IF(AND('Riesgos de Gestión'!$AI$23="Baja",'Riesgos de Gestión'!$AK$23="Catastrófico"),CONCATENATE("R2C",'Riesgos de Gestión'!$V$23),"")</f>
        <v/>
      </c>
      <c r="AM37" s="40" t="str">
        <f>IF(AND('Riesgos de Gestión'!$AI$24="Baja",'Riesgos de Gestión'!$AK$24="Catastrófico"),CONCATENATE("R2C",'Riesgos de Gestión'!$V$24),"")</f>
        <v/>
      </c>
      <c r="AN37" s="66"/>
      <c r="AO37" s="665"/>
      <c r="AP37" s="666"/>
      <c r="AQ37" s="666"/>
      <c r="AR37" s="666"/>
      <c r="AS37" s="666"/>
      <c r="AT37" s="66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546"/>
      <c r="C38" s="546"/>
      <c r="D38" s="547"/>
      <c r="E38" s="645"/>
      <c r="F38" s="644"/>
      <c r="G38" s="644"/>
      <c r="H38" s="644"/>
      <c r="I38" s="644"/>
      <c r="J38" s="59" t="str">
        <f>IF(AND('Riesgos de Gestión'!$AI$25="Baja",'Riesgos de Gestión'!$AK$25="Leve"),CONCATENATE("R3C",'Riesgos de Gestión'!$V$25),"")</f>
        <v/>
      </c>
      <c r="K38" s="60" t="str">
        <f>IF(AND('Riesgos de Gestión'!$AI$26="Baja",'Riesgos de Gestión'!$AK$26="Leve"),CONCATENATE("R3C",'Riesgos de Gestión'!$V$26),"")</f>
        <v/>
      </c>
      <c r="L38" s="60" t="str">
        <f>IF(AND('Riesgos de Gestión'!$AI$27="Baja",'Riesgos de Gestión'!$AK$27="Leve"),CONCATENATE("R3C",'Riesgos de Gestión'!$V$27),"")</f>
        <v/>
      </c>
      <c r="M38" s="60" t="str">
        <f>IF(AND('Riesgos de Gestión'!$AI$28="Baja",'Riesgos de Gestión'!$AK$28="Leve"),CONCATENATE("R3C",'Riesgos de Gestión'!$V$28),"")</f>
        <v/>
      </c>
      <c r="N38" s="60" t="str">
        <f>IF(AND('Riesgos de Gestión'!$AI$29="Baja",'Riesgos de Gestión'!$AK$29="Leve"),CONCATENATE("R3C",'Riesgos de Gestión'!$V$29),"")</f>
        <v/>
      </c>
      <c r="O38" s="61" t="str">
        <f>IF(AND('Riesgos de Gestión'!$AI$30="Baja",'Riesgos de Gestión'!$AK$30="Leve"),CONCATENATE("R3C",'Riesgos de Gestión'!$V$30),"")</f>
        <v/>
      </c>
      <c r="P38" s="50" t="str">
        <f>IF(AND('Riesgos de Gestión'!$AI$25="Baja",'Riesgos de Gestión'!$AK$25="Menor"),CONCATENATE("R3C",'Riesgos de Gestión'!$V$25),"")</f>
        <v/>
      </c>
      <c r="Q38" s="51" t="str">
        <f>IF(AND('Riesgos de Gestión'!$AI$26="Baja",'Riesgos de Gestión'!$AK$26="Menor"),CONCATENATE("R3C",'Riesgos de Gestión'!$V$26),"")</f>
        <v/>
      </c>
      <c r="R38" s="51" t="str">
        <f>IF(AND('Riesgos de Gestión'!$AI$27="Baja",'Riesgos de Gestión'!$AK$27="Menor"),CONCATENATE("R3C",'Riesgos de Gestión'!$V$27),"")</f>
        <v/>
      </c>
      <c r="S38" s="51" t="str">
        <f>IF(AND('Riesgos de Gestión'!$AI$28="Baja",'Riesgos de Gestión'!$AK$28="Menor"),CONCATENATE("R3C",'Riesgos de Gestión'!$V$28),"")</f>
        <v/>
      </c>
      <c r="T38" s="51" t="str">
        <f>IF(AND('Riesgos de Gestión'!$AI$29="Baja",'Riesgos de Gestión'!$AK$29="Menor"),CONCATENATE("R3C",'Riesgos de Gestión'!$V$29),"")</f>
        <v/>
      </c>
      <c r="U38" s="52" t="str">
        <f>IF(AND('Riesgos de Gestión'!$AI$30="Baja",'Riesgos de Gestión'!$AK$30="Menor"),CONCATENATE("R3C",'Riesgos de Gestión'!$V$30),"")</f>
        <v/>
      </c>
      <c r="V38" s="50" t="str">
        <f>IF(AND('Riesgos de Gestión'!$AI$25="Baja",'Riesgos de Gestión'!$AK$25="Moderado"),CONCATENATE("R3C",'Riesgos de Gestión'!$V$25),"")</f>
        <v/>
      </c>
      <c r="W38" s="51" t="str">
        <f>IF(AND('Riesgos de Gestión'!$AI$26="Baja",'Riesgos de Gestión'!$AK$26="Moderado"),CONCATENATE("R3C",'Riesgos de Gestión'!$V$26),"")</f>
        <v/>
      </c>
      <c r="X38" s="51" t="str">
        <f>IF(AND('Riesgos de Gestión'!$AI$27="Baja",'Riesgos de Gestión'!$AK$27="Moderado"),CONCATENATE("R3C",'Riesgos de Gestión'!$V$27),"")</f>
        <v/>
      </c>
      <c r="Y38" s="51" t="str">
        <f>IF(AND('Riesgos de Gestión'!$AI$28="Baja",'Riesgos de Gestión'!$AK$28="Moderado"),CONCATENATE("R3C",'Riesgos de Gestión'!$V$28),"")</f>
        <v/>
      </c>
      <c r="Z38" s="51" t="str">
        <f>IF(AND('Riesgos de Gestión'!$AI$29="Baja",'Riesgos de Gestión'!$AK$29="Moderado"),CONCATENATE("R3C",'Riesgos de Gestión'!$V$29),"")</f>
        <v/>
      </c>
      <c r="AA38" s="52" t="str">
        <f>IF(AND('Riesgos de Gestión'!$AI$30="Baja",'Riesgos de Gestión'!$AK$30="Moderado"),CONCATENATE("R3C",'Riesgos de Gestión'!$V$30),"")</f>
        <v/>
      </c>
      <c r="AB38" s="35" t="str">
        <f>IF(AND('Riesgos de Gestión'!$AI$25="Baja",'Riesgos de Gestión'!$AK$25="Mayor"),CONCATENATE("R3C",'Riesgos de Gestión'!$V$25),"")</f>
        <v/>
      </c>
      <c r="AC38" s="36" t="str">
        <f>IF(AND('Riesgos de Gestión'!$AI$26="Baja",'Riesgos de Gestión'!$AK$26="Mayor"),CONCATENATE("R3C",'Riesgos de Gestión'!$V$26),"")</f>
        <v/>
      </c>
      <c r="AD38" s="36" t="str">
        <f>IF(AND('Riesgos de Gestión'!$AI$27="Baja",'Riesgos de Gestión'!$AK$27="Mayor"),CONCATENATE("R3C",'Riesgos de Gestión'!$V$27),"")</f>
        <v/>
      </c>
      <c r="AE38" s="36" t="str">
        <f>IF(AND('Riesgos de Gestión'!$AI$28="Baja",'Riesgos de Gestión'!$AK$28="Mayor"),CONCATENATE("R3C",'Riesgos de Gestión'!$V$28),"")</f>
        <v/>
      </c>
      <c r="AF38" s="36" t="str">
        <f>IF(AND('Riesgos de Gestión'!$AI$29="Baja",'Riesgos de Gestión'!$AK$29="Mayor"),CONCATENATE("R3C",'Riesgos de Gestión'!$V$29),"")</f>
        <v/>
      </c>
      <c r="AG38" s="37" t="str">
        <f>IF(AND('Riesgos de Gestión'!$AI$30="Baja",'Riesgos de Gestión'!$AK$30="Mayor"),CONCATENATE("R3C",'Riesgos de Gestión'!$V$30),"")</f>
        <v/>
      </c>
      <c r="AH38" s="38" t="str">
        <f>IF(AND('Riesgos de Gestión'!$AI$25="Baja",'Riesgos de Gestión'!$AK$25="Catastrófico"),CONCATENATE("R3C",'Riesgos de Gestión'!$V$25),"")</f>
        <v/>
      </c>
      <c r="AI38" s="39" t="str">
        <f>IF(AND('Riesgos de Gestión'!$AI$26="Baja",'Riesgos de Gestión'!$AK$26="Catastrófico"),CONCATENATE("R3C",'Riesgos de Gestión'!$V$26),"")</f>
        <v/>
      </c>
      <c r="AJ38" s="39" t="str">
        <f>IF(AND('Riesgos de Gestión'!$AI$27="Baja",'Riesgos de Gestión'!$AK$27="Catastrófico"),CONCATENATE("R3C",'Riesgos de Gestión'!$V$27),"")</f>
        <v/>
      </c>
      <c r="AK38" s="39" t="str">
        <f>IF(AND('Riesgos de Gestión'!$AI$28="Baja",'Riesgos de Gestión'!$AK$28="Catastrófico"),CONCATENATE("R3C",'Riesgos de Gestión'!$V$28),"")</f>
        <v/>
      </c>
      <c r="AL38" s="39" t="str">
        <f>IF(AND('Riesgos de Gestión'!$AI$29="Baja",'Riesgos de Gestión'!$AK$29="Catastrófico"),CONCATENATE("R3C",'Riesgos de Gestión'!$V$29),"")</f>
        <v/>
      </c>
      <c r="AM38" s="40" t="str">
        <f>IF(AND('Riesgos de Gestión'!$AI$30="Baja",'Riesgos de Gestión'!$AK$30="Catastrófico"),CONCATENATE("R3C",'Riesgos de Gestión'!$V$30),"")</f>
        <v/>
      </c>
      <c r="AN38" s="66"/>
      <c r="AO38" s="665"/>
      <c r="AP38" s="666"/>
      <c r="AQ38" s="666"/>
      <c r="AR38" s="666"/>
      <c r="AS38" s="666"/>
      <c r="AT38" s="66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546"/>
      <c r="C39" s="546"/>
      <c r="D39" s="547"/>
      <c r="E39" s="645"/>
      <c r="F39" s="644"/>
      <c r="G39" s="644"/>
      <c r="H39" s="644"/>
      <c r="I39" s="644"/>
      <c r="J39" s="59" t="str">
        <f>IF(AND('Riesgos de Gestión'!$AI$31="Baja",'Riesgos de Gestión'!$AK$31="Leve"),CONCATENATE("R4C",'Riesgos de Gestión'!$V$31),"")</f>
        <v/>
      </c>
      <c r="K39" s="60" t="str">
        <f>IF(AND('Riesgos de Gestión'!$AI$32="Baja",'Riesgos de Gestión'!$AK$32="Leve"),CONCATENATE("R4C",'Riesgos de Gestión'!$V$32),"")</f>
        <v/>
      </c>
      <c r="L39" s="60" t="str">
        <f>IF(AND('Riesgos de Gestión'!$AI$33="Baja",'Riesgos de Gestión'!$AK$33="Leve"),CONCATENATE("R4C",'Riesgos de Gestión'!$V$33),"")</f>
        <v/>
      </c>
      <c r="M39" s="60" t="str">
        <f>IF(AND('Riesgos de Gestión'!$AI$34="Baja",'Riesgos de Gestión'!$AK$34="Leve"),CONCATENATE("R4C",'Riesgos de Gestión'!$V$34),"")</f>
        <v/>
      </c>
      <c r="N39" s="60" t="str">
        <f>IF(AND('Riesgos de Gestión'!$AI$35="Baja",'Riesgos de Gestión'!$AK$35="Leve"),CONCATENATE("R4C",'Riesgos de Gestión'!$V$35),"")</f>
        <v/>
      </c>
      <c r="O39" s="61" t="str">
        <f>IF(AND('Riesgos de Gestión'!$AI$36="Baja",'Riesgos de Gestión'!$AK$36="Leve"),CONCATENATE("R4C",'Riesgos de Gestión'!$V$36),"")</f>
        <v/>
      </c>
      <c r="P39" s="50" t="str">
        <f>IF(AND('Riesgos de Gestión'!$AI$31="Baja",'Riesgos de Gestión'!$AK$31="Menor"),CONCATENATE("R4C",'Riesgos de Gestión'!$V$31),"")</f>
        <v/>
      </c>
      <c r="Q39" s="51" t="str">
        <f>IF(AND('Riesgos de Gestión'!$AI$32="Baja",'Riesgos de Gestión'!$AK$32="Menor"),CONCATENATE("R4C",'Riesgos de Gestión'!$V$32),"")</f>
        <v/>
      </c>
      <c r="R39" s="51" t="str">
        <f>IF(AND('Riesgos de Gestión'!$AI$33="Baja",'Riesgos de Gestión'!$AK$33="Menor"),CONCATENATE("R4C",'Riesgos de Gestión'!$V$33),"")</f>
        <v/>
      </c>
      <c r="S39" s="51" t="str">
        <f>IF(AND('Riesgos de Gestión'!$AI$34="Baja",'Riesgos de Gestión'!$AK$34="Menor"),CONCATENATE("R4C",'Riesgos de Gestión'!$V$34),"")</f>
        <v/>
      </c>
      <c r="T39" s="51" t="str">
        <f>IF(AND('Riesgos de Gestión'!$AI$35="Baja",'Riesgos de Gestión'!$AK$35="Menor"),CONCATENATE("R4C",'Riesgos de Gestión'!$V$35),"")</f>
        <v/>
      </c>
      <c r="U39" s="52" t="str">
        <f>IF(AND('Riesgos de Gestión'!$AI$36="Baja",'Riesgos de Gestión'!$AK$36="Menor"),CONCATENATE("R4C",'Riesgos de Gestión'!$V$36),"")</f>
        <v/>
      </c>
      <c r="V39" s="50" t="str">
        <f>IF(AND('Riesgos de Gestión'!$AI$31="Baja",'Riesgos de Gestión'!$AK$31="Moderado"),CONCATENATE("R4C",'Riesgos de Gestión'!$V$31),"")</f>
        <v/>
      </c>
      <c r="W39" s="51" t="str">
        <f>IF(AND('Riesgos de Gestión'!$AI$32="Baja",'Riesgos de Gestión'!$AK$32="Moderado"),CONCATENATE("R4C",'Riesgos de Gestión'!$V$32),"")</f>
        <v/>
      </c>
      <c r="X39" s="51" t="str">
        <f>IF(AND('Riesgos de Gestión'!$AI$33="Baja",'Riesgos de Gestión'!$AK$33="Moderado"),CONCATENATE("R4C",'Riesgos de Gestión'!$V$33),"")</f>
        <v/>
      </c>
      <c r="Y39" s="51" t="str">
        <f>IF(AND('Riesgos de Gestión'!$AI$34="Baja",'Riesgos de Gestión'!$AK$34="Moderado"),CONCATENATE("R4C",'Riesgos de Gestión'!$V$34),"")</f>
        <v/>
      </c>
      <c r="Z39" s="51" t="str">
        <f>IF(AND('Riesgos de Gestión'!$AI$35="Baja",'Riesgos de Gestión'!$AK$35="Moderado"),CONCATENATE("R4C",'Riesgos de Gestión'!$V$35),"")</f>
        <v/>
      </c>
      <c r="AA39" s="52" t="str">
        <f>IF(AND('Riesgos de Gestión'!$AI$36="Baja",'Riesgos de Gestión'!$AK$36="Moderado"),CONCATENATE("R4C",'Riesgos de Gestión'!$V$36),"")</f>
        <v/>
      </c>
      <c r="AB39" s="35" t="str">
        <f>IF(AND('Riesgos de Gestión'!$AI$31="Baja",'Riesgos de Gestión'!$AK$31="Mayor"),CONCATENATE("R4C",'Riesgos de Gestión'!$V$31),"")</f>
        <v/>
      </c>
      <c r="AC39" s="36" t="str">
        <f>IF(AND('Riesgos de Gestión'!$AI$32="Baja",'Riesgos de Gestión'!$AK$32="Mayor"),CONCATENATE("R4C",'Riesgos de Gestión'!$V$32),"")</f>
        <v/>
      </c>
      <c r="AD39" s="36" t="str">
        <f>IF(AND('Riesgos de Gestión'!$AI$33="Baja",'Riesgos de Gestión'!$AK$33="Mayor"),CONCATENATE("R4C",'Riesgos de Gestión'!$V$33),"")</f>
        <v/>
      </c>
      <c r="AE39" s="36" t="str">
        <f>IF(AND('Riesgos de Gestión'!$AI$34="Baja",'Riesgos de Gestión'!$AK$34="Mayor"),CONCATENATE("R4C",'Riesgos de Gestión'!$V$34),"")</f>
        <v/>
      </c>
      <c r="AF39" s="36" t="str">
        <f>IF(AND('Riesgos de Gestión'!$AI$35="Baja",'Riesgos de Gestión'!$AK$35="Mayor"),CONCATENATE("R4C",'Riesgos de Gestión'!$V$35),"")</f>
        <v/>
      </c>
      <c r="AG39" s="37" t="str">
        <f>IF(AND('Riesgos de Gestión'!$AI$36="Baja",'Riesgos de Gestión'!$AK$36="Mayor"),CONCATENATE("R4C",'Riesgos de Gestión'!$V$36),"")</f>
        <v/>
      </c>
      <c r="AH39" s="38" t="str">
        <f>IF(AND('Riesgos de Gestión'!$AI$31="Baja",'Riesgos de Gestión'!$AK$31="Catastrófico"),CONCATENATE("R4C",'Riesgos de Gestión'!$V$31),"")</f>
        <v/>
      </c>
      <c r="AI39" s="39" t="str">
        <f>IF(AND('Riesgos de Gestión'!$AI$32="Baja",'Riesgos de Gestión'!$AK$32="Catastrófico"),CONCATENATE("R4C",'Riesgos de Gestión'!$V$32),"")</f>
        <v/>
      </c>
      <c r="AJ39" s="39" t="str">
        <f>IF(AND('Riesgos de Gestión'!$AI$33="Baja",'Riesgos de Gestión'!$AK$33="Catastrófico"),CONCATENATE("R4C",'Riesgos de Gestión'!$V$33),"")</f>
        <v/>
      </c>
      <c r="AK39" s="39" t="str">
        <f>IF(AND('Riesgos de Gestión'!$AI$34="Baja",'Riesgos de Gestión'!$AK$34="Catastrófico"),CONCATENATE("R4C",'Riesgos de Gestión'!$V$34),"")</f>
        <v/>
      </c>
      <c r="AL39" s="39" t="str">
        <f>IF(AND('Riesgos de Gestión'!$AI$35="Baja",'Riesgos de Gestión'!$AK$35="Catastrófico"),CONCATENATE("R4C",'Riesgos de Gestión'!$V$35),"")</f>
        <v/>
      </c>
      <c r="AM39" s="40" t="str">
        <f>IF(AND('Riesgos de Gestión'!$AI$36="Baja",'Riesgos de Gestión'!$AK$36="Catastrófico"),CONCATENATE("R4C",'Riesgos de Gestión'!$V$36),"")</f>
        <v/>
      </c>
      <c r="AN39" s="66"/>
      <c r="AO39" s="665"/>
      <c r="AP39" s="666"/>
      <c r="AQ39" s="666"/>
      <c r="AR39" s="666"/>
      <c r="AS39" s="666"/>
      <c r="AT39" s="66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546"/>
      <c r="C40" s="546"/>
      <c r="D40" s="547"/>
      <c r="E40" s="645"/>
      <c r="F40" s="644"/>
      <c r="G40" s="644"/>
      <c r="H40" s="644"/>
      <c r="I40" s="644"/>
      <c r="J40" s="59" t="str">
        <f>IF(AND('Riesgos de Gestión'!$AI$37="Baja",'Riesgos de Gestión'!$AK$37="Leve"),CONCATENATE("R5C",'Riesgos de Gestión'!$V$37),"")</f>
        <v/>
      </c>
      <c r="K40" s="60" t="str">
        <f>IF(AND('Riesgos de Gestión'!$AI$38="Baja",'Riesgos de Gestión'!$AK$38="Leve"),CONCATENATE("R5C",'Riesgos de Gestión'!$V$38),"")</f>
        <v/>
      </c>
      <c r="L40" s="60" t="str">
        <f>IF(AND('Riesgos de Gestión'!$AI$39="Baja",'Riesgos de Gestión'!$AK$39="Leve"),CONCATENATE("R5C",'Riesgos de Gestión'!$V$39),"")</f>
        <v/>
      </c>
      <c r="M40" s="60" t="str">
        <f>IF(AND('Riesgos de Gestión'!$AI$40="Baja",'Riesgos de Gestión'!$AK$40="Leve"),CONCATENATE("R5C",'Riesgos de Gestión'!$V$40),"")</f>
        <v/>
      </c>
      <c r="N40" s="60" t="str">
        <f>IF(AND('Riesgos de Gestión'!$AI$41="Baja",'Riesgos de Gestión'!$AK$41="Leve"),CONCATENATE("R5C",'Riesgos de Gestión'!$V$41),"")</f>
        <v/>
      </c>
      <c r="O40" s="61" t="str">
        <f>IF(AND('Riesgos de Gestión'!$AI$42="Baja",'Riesgos de Gestión'!$AK$42="Leve"),CONCATENATE("R5C",'Riesgos de Gestión'!$V$42),"")</f>
        <v/>
      </c>
      <c r="P40" s="50" t="str">
        <f>IF(AND('Riesgos de Gestión'!$AI$37="Baja",'Riesgos de Gestión'!$AK$37="Menor"),CONCATENATE("R5C",'Riesgos de Gestión'!$V$37),"")</f>
        <v/>
      </c>
      <c r="Q40" s="51" t="str">
        <f>IF(AND('Riesgos de Gestión'!$AI$38="Baja",'Riesgos de Gestión'!$AK$38="Menor"),CONCATENATE("R5C",'Riesgos de Gestión'!$V$38),"")</f>
        <v/>
      </c>
      <c r="R40" s="51" t="str">
        <f>IF(AND('Riesgos de Gestión'!$AI$39="Baja",'Riesgos de Gestión'!$AK$39="Menor"),CONCATENATE("R5C",'Riesgos de Gestión'!$V$39),"")</f>
        <v/>
      </c>
      <c r="S40" s="51" t="str">
        <f>IF(AND('Riesgos de Gestión'!$AI$40="Baja",'Riesgos de Gestión'!$AK$40="Menor"),CONCATENATE("R5C",'Riesgos de Gestión'!$V$40),"")</f>
        <v/>
      </c>
      <c r="T40" s="51" t="str">
        <f>IF(AND('Riesgos de Gestión'!$AI$41="Baja",'Riesgos de Gestión'!$AK$41="Menor"),CONCATENATE("R5C",'Riesgos de Gestión'!$V$41),"")</f>
        <v/>
      </c>
      <c r="U40" s="52" t="str">
        <f>IF(AND('Riesgos de Gestión'!$AI$42="Baja",'Riesgos de Gestión'!$AK$42="Menor"),CONCATENATE("R5C",'Riesgos de Gestión'!$V$42),"")</f>
        <v/>
      </c>
      <c r="V40" s="50" t="str">
        <f>IF(AND('Riesgos de Gestión'!$AI$37="Baja",'Riesgos de Gestión'!$AK$37="Moderado"),CONCATENATE("R5C",'Riesgos de Gestión'!$V$37),"")</f>
        <v/>
      </c>
      <c r="W40" s="51" t="str">
        <f>IF(AND('Riesgos de Gestión'!$AI$38="Baja",'Riesgos de Gestión'!$AK$38="Moderado"),CONCATENATE("R5C",'Riesgos de Gestión'!$V$38),"")</f>
        <v/>
      </c>
      <c r="X40" s="51" t="str">
        <f>IF(AND('Riesgos de Gestión'!$AI$39="Baja",'Riesgos de Gestión'!$AK$39="Moderado"),CONCATENATE("R5C",'Riesgos de Gestión'!$V$39),"")</f>
        <v/>
      </c>
      <c r="Y40" s="51" t="str">
        <f>IF(AND('Riesgos de Gestión'!$AI$40="Baja",'Riesgos de Gestión'!$AK$40="Moderado"),CONCATENATE("R5C",'Riesgos de Gestión'!$V$40),"")</f>
        <v/>
      </c>
      <c r="Z40" s="51" t="str">
        <f>IF(AND('Riesgos de Gestión'!$AI$41="Baja",'Riesgos de Gestión'!$AK$41="Moderado"),CONCATENATE("R5C",'Riesgos de Gestión'!$V$41),"")</f>
        <v/>
      </c>
      <c r="AA40" s="52" t="str">
        <f>IF(AND('Riesgos de Gestión'!$AI$42="Baja",'Riesgos de Gestión'!$AK$42="Moderado"),CONCATENATE("R5C",'Riesgos de Gestión'!$V$42),"")</f>
        <v/>
      </c>
      <c r="AB40" s="35" t="str">
        <f>IF(AND('Riesgos de Gestión'!$AI$37="Baja",'Riesgos de Gestión'!$AK$37="Mayor"),CONCATENATE("R5C",'Riesgos de Gestión'!$V$37),"")</f>
        <v/>
      </c>
      <c r="AC40" s="36" t="str">
        <f>IF(AND('Riesgos de Gestión'!$AI$38="Baja",'Riesgos de Gestión'!$AK$38="Mayor"),CONCATENATE("R5C",'Riesgos de Gestión'!$V$38),"")</f>
        <v/>
      </c>
      <c r="AD40" s="36" t="str">
        <f>IF(AND('Riesgos de Gestión'!$AI$39="Baja",'Riesgos de Gestión'!$AK$39="Mayor"),CONCATENATE("R5C",'Riesgos de Gestión'!$V$39),"")</f>
        <v/>
      </c>
      <c r="AE40" s="36" t="str">
        <f>IF(AND('Riesgos de Gestión'!$AI$40="Baja",'Riesgos de Gestión'!$AK$40="Mayor"),CONCATENATE("R5C",'Riesgos de Gestión'!$V$40),"")</f>
        <v/>
      </c>
      <c r="AF40" s="36" t="str">
        <f>IF(AND('Riesgos de Gestión'!$AI$41="Baja",'Riesgos de Gestión'!$AK$41="Mayor"),CONCATENATE("R5C",'Riesgos de Gestión'!$V$41),"")</f>
        <v/>
      </c>
      <c r="AG40" s="37" t="str">
        <f>IF(AND('Riesgos de Gestión'!$AI$42="Baja",'Riesgos de Gestión'!$AK$42="Mayor"),CONCATENATE("R5C",'Riesgos de Gestión'!$V$42),"")</f>
        <v/>
      </c>
      <c r="AH40" s="38" t="str">
        <f>IF(AND('Riesgos de Gestión'!$AI$37="Baja",'Riesgos de Gestión'!$AK$37="Catastrófico"),CONCATENATE("R5C",'Riesgos de Gestión'!$V$37),"")</f>
        <v/>
      </c>
      <c r="AI40" s="39" t="str">
        <f>IF(AND('Riesgos de Gestión'!$AI$38="Baja",'Riesgos de Gestión'!$AK$38="Catastrófico"),CONCATENATE("R5C",'Riesgos de Gestión'!$V$38),"")</f>
        <v/>
      </c>
      <c r="AJ40" s="39" t="str">
        <f>IF(AND('Riesgos de Gestión'!$AI$39="Baja",'Riesgos de Gestión'!$AK$39="Catastrófico"),CONCATENATE("R5C",'Riesgos de Gestión'!$V$39),"")</f>
        <v/>
      </c>
      <c r="AK40" s="39" t="str">
        <f>IF(AND('Riesgos de Gestión'!$AI$40="Baja",'Riesgos de Gestión'!$AK$40="Catastrófico"),CONCATENATE("R5C",'Riesgos de Gestión'!$V$40),"")</f>
        <v/>
      </c>
      <c r="AL40" s="39" t="str">
        <f>IF(AND('Riesgos de Gestión'!$AI$41="Baja",'Riesgos de Gestión'!$AK$41="Catastrófico"),CONCATENATE("R5C",'Riesgos de Gestión'!$V$41),"")</f>
        <v/>
      </c>
      <c r="AM40" s="40" t="str">
        <f>IF(AND('Riesgos de Gestión'!$AI$42="Baja",'Riesgos de Gestión'!$AK$42="Catastrófico"),CONCATENATE("R5C",'Riesgos de Gestión'!$V$42),"")</f>
        <v/>
      </c>
      <c r="AN40" s="66"/>
      <c r="AO40" s="665"/>
      <c r="AP40" s="666"/>
      <c r="AQ40" s="666"/>
      <c r="AR40" s="666"/>
      <c r="AS40" s="666"/>
      <c r="AT40" s="66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546"/>
      <c r="C41" s="546"/>
      <c r="D41" s="547"/>
      <c r="E41" s="645"/>
      <c r="F41" s="644"/>
      <c r="G41" s="644"/>
      <c r="H41" s="644"/>
      <c r="I41" s="644"/>
      <c r="J41" s="59" t="str">
        <f>IF(AND('Riesgos de Gestión'!$AI$43="Baja",'Riesgos de Gestión'!$AK$43="Leve"),CONCATENATE("R6C",'Riesgos de Gestión'!$V$43),"")</f>
        <v/>
      </c>
      <c r="K41" s="60" t="str">
        <f>IF(AND('Riesgos de Gestión'!$AI$44="Baja",'Riesgos de Gestión'!$AK$44="Leve"),CONCATENATE("R6C",'Riesgos de Gestión'!$V$44),"")</f>
        <v/>
      </c>
      <c r="L41" s="60" t="str">
        <f>IF(AND('Riesgos de Gestión'!$AI$45="Baja",'Riesgos de Gestión'!$AK$45="Leve"),CONCATENATE("R6C",'Riesgos de Gestión'!$V$45),"")</f>
        <v/>
      </c>
      <c r="M41" s="60" t="str">
        <f>IF(AND('Riesgos de Gestión'!$AI$46="Baja",'Riesgos de Gestión'!$AK$46="Leve"),CONCATENATE("R6C",'Riesgos de Gestión'!$V$46),"")</f>
        <v/>
      </c>
      <c r="N41" s="60" t="str">
        <f>IF(AND('Riesgos de Gestión'!$AI$47="Baja",'Riesgos de Gestión'!$AK$47="Leve"),CONCATENATE("R6C",'Riesgos de Gestión'!$V$47),"")</f>
        <v/>
      </c>
      <c r="O41" s="61" t="str">
        <f>IF(AND('Riesgos de Gestión'!$AI$48="Baja",'Riesgos de Gestión'!$AK$48="Leve"),CONCATENATE("R6C",'Riesgos de Gestión'!$V$48),"")</f>
        <v/>
      </c>
      <c r="P41" s="50" t="str">
        <f>IF(AND('Riesgos de Gestión'!$AI$43="Baja",'Riesgos de Gestión'!$AK$43="Menor"),CONCATENATE("R6C",'Riesgos de Gestión'!$V$43),"")</f>
        <v/>
      </c>
      <c r="Q41" s="51" t="str">
        <f>IF(AND('Riesgos de Gestión'!$AI$44="Baja",'Riesgos de Gestión'!$AK$44="Menor"),CONCATENATE("R6C",'Riesgos de Gestión'!$V$44),"")</f>
        <v/>
      </c>
      <c r="R41" s="51" t="str">
        <f>IF(AND('Riesgos de Gestión'!$AI$45="Baja",'Riesgos de Gestión'!$AK$45="Menor"),CONCATENATE("R6C",'Riesgos de Gestión'!$V$45),"")</f>
        <v/>
      </c>
      <c r="S41" s="51" t="str">
        <f>IF(AND('Riesgos de Gestión'!$AI$46="Baja",'Riesgos de Gestión'!$AK$46="Menor"),CONCATENATE("R6C",'Riesgos de Gestión'!$V$46),"")</f>
        <v/>
      </c>
      <c r="T41" s="51" t="str">
        <f>IF(AND('Riesgos de Gestión'!$AI$47="Baja",'Riesgos de Gestión'!$AK$47="Menor"),CONCATENATE("R6C",'Riesgos de Gestión'!$V$47),"")</f>
        <v/>
      </c>
      <c r="U41" s="52" t="str">
        <f>IF(AND('Riesgos de Gestión'!$AI$48="Baja",'Riesgos de Gestión'!$AK$48="Menor"),CONCATENATE("R6C",'Riesgos de Gestión'!$V$48),"")</f>
        <v/>
      </c>
      <c r="V41" s="50" t="str">
        <f>IF(AND('Riesgos de Gestión'!$AI$43="Baja",'Riesgos de Gestión'!$AK$43="Moderado"),CONCATENATE("R6C",'Riesgos de Gestión'!$V$43),"")</f>
        <v/>
      </c>
      <c r="W41" s="51" t="str">
        <f>IF(AND('Riesgos de Gestión'!$AI$44="Baja",'Riesgos de Gestión'!$AK$44="Moderado"),CONCATENATE("R6C",'Riesgos de Gestión'!$V$44),"")</f>
        <v/>
      </c>
      <c r="X41" s="51" t="str">
        <f>IF(AND('Riesgos de Gestión'!$AI$45="Baja",'Riesgos de Gestión'!$AK$45="Moderado"),CONCATENATE("R6C",'Riesgos de Gestión'!$V$45),"")</f>
        <v/>
      </c>
      <c r="Y41" s="51" t="str">
        <f>IF(AND('Riesgos de Gestión'!$AI$46="Baja",'Riesgos de Gestión'!$AK$46="Moderado"),CONCATENATE("R6C",'Riesgos de Gestión'!$V$46),"")</f>
        <v/>
      </c>
      <c r="Z41" s="51" t="str">
        <f>IF(AND('Riesgos de Gestión'!$AI$47="Baja",'Riesgos de Gestión'!$AK$47="Moderado"),CONCATENATE("R6C",'Riesgos de Gestión'!$V$47),"")</f>
        <v/>
      </c>
      <c r="AA41" s="52" t="str">
        <f>IF(AND('Riesgos de Gestión'!$AI$48="Baja",'Riesgos de Gestión'!$AK$48="Moderado"),CONCATENATE("R6C",'Riesgos de Gestión'!$V$48),"")</f>
        <v/>
      </c>
      <c r="AB41" s="35" t="str">
        <f>IF(AND('Riesgos de Gestión'!$AI$43="Baja",'Riesgos de Gestión'!$AK$43="Mayor"),CONCATENATE("R6C",'Riesgos de Gestión'!$V$43),"")</f>
        <v/>
      </c>
      <c r="AC41" s="36" t="str">
        <f>IF(AND('Riesgos de Gestión'!$AI$44="Baja",'Riesgos de Gestión'!$AK$44="Mayor"),CONCATENATE("R6C",'Riesgos de Gestión'!$V$44),"")</f>
        <v/>
      </c>
      <c r="AD41" s="36" t="str">
        <f>IF(AND('Riesgos de Gestión'!$AI$45="Baja",'Riesgos de Gestión'!$AK$45="Mayor"),CONCATENATE("R6C",'Riesgos de Gestión'!$V$45),"")</f>
        <v/>
      </c>
      <c r="AE41" s="36" t="str">
        <f>IF(AND('Riesgos de Gestión'!$AI$46="Baja",'Riesgos de Gestión'!$AK$46="Mayor"),CONCATENATE("R6C",'Riesgos de Gestión'!$V$46),"")</f>
        <v/>
      </c>
      <c r="AF41" s="36" t="str">
        <f>IF(AND('Riesgos de Gestión'!$AI$47="Baja",'Riesgos de Gestión'!$AK$47="Mayor"),CONCATENATE("R6C",'Riesgos de Gestión'!$V$47),"")</f>
        <v/>
      </c>
      <c r="AG41" s="37" t="str">
        <f>IF(AND('Riesgos de Gestión'!$AI$48="Baja",'Riesgos de Gestión'!$AK$48="Mayor"),CONCATENATE("R6C",'Riesgos de Gestión'!$V$48),"")</f>
        <v/>
      </c>
      <c r="AH41" s="38" t="str">
        <f>IF(AND('Riesgos de Gestión'!$AI$43="Baja",'Riesgos de Gestión'!$AK$43="Catastrófico"),CONCATENATE("R6C",'Riesgos de Gestión'!$V$43),"")</f>
        <v/>
      </c>
      <c r="AI41" s="39" t="str">
        <f>IF(AND('Riesgos de Gestión'!$AI$44="Baja",'Riesgos de Gestión'!$AK$44="Catastrófico"),CONCATENATE("R6C",'Riesgos de Gestión'!$V$44),"")</f>
        <v/>
      </c>
      <c r="AJ41" s="39" t="str">
        <f>IF(AND('Riesgos de Gestión'!$AI$45="Baja",'Riesgos de Gestión'!$AK$45="Catastrófico"),CONCATENATE("R6C",'Riesgos de Gestión'!$V$45),"")</f>
        <v/>
      </c>
      <c r="AK41" s="39" t="str">
        <f>IF(AND('Riesgos de Gestión'!$AI$46="Baja",'Riesgos de Gestión'!$AK$46="Catastrófico"),CONCATENATE("R6C",'Riesgos de Gestión'!$V$46),"")</f>
        <v/>
      </c>
      <c r="AL41" s="39" t="str">
        <f>IF(AND('Riesgos de Gestión'!$AI$47="Baja",'Riesgos de Gestión'!$AK$47="Catastrófico"),CONCATENATE("R6C",'Riesgos de Gestión'!$V$47),"")</f>
        <v/>
      </c>
      <c r="AM41" s="40" t="str">
        <f>IF(AND('Riesgos de Gestión'!$AI$48="Baja",'Riesgos de Gestión'!$AK$48="Catastrófico"),CONCATENATE("R6C",'Riesgos de Gestión'!$V$48),"")</f>
        <v/>
      </c>
      <c r="AN41" s="66"/>
      <c r="AO41" s="665"/>
      <c r="AP41" s="666"/>
      <c r="AQ41" s="666"/>
      <c r="AR41" s="666"/>
      <c r="AS41" s="666"/>
      <c r="AT41" s="66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546"/>
      <c r="C42" s="546"/>
      <c r="D42" s="547"/>
      <c r="E42" s="645"/>
      <c r="F42" s="644"/>
      <c r="G42" s="644"/>
      <c r="H42" s="644"/>
      <c r="I42" s="644"/>
      <c r="J42" s="59" t="str">
        <f>IF(AND('Riesgos de Gestión'!$AI$49="Baja",'Riesgos de Gestión'!$AK$49="Leve"),CONCATENATE("R7C",'Riesgos de Gestión'!$V$49),"")</f>
        <v/>
      </c>
      <c r="K42" s="60" t="str">
        <f>IF(AND('Riesgos de Gestión'!$AI$50="Baja",'Riesgos de Gestión'!$AK$50="Leve"),CONCATENATE("R7C",'Riesgos de Gestión'!$V$50),"")</f>
        <v/>
      </c>
      <c r="L42" s="60" t="str">
        <f>IF(AND('Riesgos de Gestión'!$AI$51="Baja",'Riesgos de Gestión'!$AK$51="Leve"),CONCATENATE("R7C",'Riesgos de Gestión'!$V$51),"")</f>
        <v/>
      </c>
      <c r="M42" s="60" t="str">
        <f>IF(AND('Riesgos de Gestión'!$AI$52="Baja",'Riesgos de Gestión'!$AK$52="Leve"),CONCATENATE("R7C",'Riesgos de Gestión'!$V$52),"")</f>
        <v/>
      </c>
      <c r="N42" s="60" t="str">
        <f>IF(AND('Riesgos de Gestión'!$AI$53="Baja",'Riesgos de Gestión'!$AK$53="Leve"),CONCATENATE("R7C",'Riesgos de Gestión'!$V$53),"")</f>
        <v/>
      </c>
      <c r="O42" s="61" t="str">
        <f>IF(AND('Riesgos de Gestión'!$AI$54="Baja",'Riesgos de Gestión'!$AK$54="Leve"),CONCATENATE("R7C",'Riesgos de Gestión'!$V$54),"")</f>
        <v/>
      </c>
      <c r="P42" s="50" t="str">
        <f>IF(AND('Riesgos de Gestión'!$AI$49="Baja",'Riesgos de Gestión'!$AK$49="Menor"),CONCATENATE("R7C",'Riesgos de Gestión'!$V$49),"")</f>
        <v/>
      </c>
      <c r="Q42" s="51" t="str">
        <f>IF(AND('Riesgos de Gestión'!$AI$50="Baja",'Riesgos de Gestión'!$AK$50="Menor"),CONCATENATE("R7C",'Riesgos de Gestión'!$V$50),"")</f>
        <v/>
      </c>
      <c r="R42" s="51" t="str">
        <f>IF(AND('Riesgos de Gestión'!$AI$51="Baja",'Riesgos de Gestión'!$AK$51="Menor"),CONCATENATE("R7C",'Riesgos de Gestión'!$V$51),"")</f>
        <v/>
      </c>
      <c r="S42" s="51" t="str">
        <f>IF(AND('Riesgos de Gestión'!$AI$52="Baja",'Riesgos de Gestión'!$AK$52="Menor"),CONCATENATE("R7C",'Riesgos de Gestión'!$V$52),"")</f>
        <v/>
      </c>
      <c r="T42" s="51" t="str">
        <f>IF(AND('Riesgos de Gestión'!$AI$53="Baja",'Riesgos de Gestión'!$AK$53="Menor"),CONCATENATE("R7C",'Riesgos de Gestión'!$V$53),"")</f>
        <v/>
      </c>
      <c r="U42" s="52" t="str">
        <f>IF(AND('Riesgos de Gestión'!$AI$54="Baja",'Riesgos de Gestión'!$AK$54="Menor"),CONCATENATE("R7C",'Riesgos de Gestión'!$V$54),"")</f>
        <v/>
      </c>
      <c r="V42" s="50" t="str">
        <f>IF(AND('Riesgos de Gestión'!$AI$49="Baja",'Riesgos de Gestión'!$AK$49="Moderado"),CONCATENATE("R7C",'Riesgos de Gestión'!$V$49),"")</f>
        <v/>
      </c>
      <c r="W42" s="51" t="str">
        <f>IF(AND('Riesgos de Gestión'!$AI$50="Baja",'Riesgos de Gestión'!$AK$50="Moderado"),CONCATENATE("R7C",'Riesgos de Gestión'!$V$50),"")</f>
        <v/>
      </c>
      <c r="X42" s="51" t="str">
        <f>IF(AND('Riesgos de Gestión'!$AI$51="Baja",'Riesgos de Gestión'!$AK$51="Moderado"),CONCATENATE("R7C",'Riesgos de Gestión'!$V$51),"")</f>
        <v/>
      </c>
      <c r="Y42" s="51" t="str">
        <f>IF(AND('Riesgos de Gestión'!$AI$52="Baja",'Riesgos de Gestión'!$AK$52="Moderado"),CONCATENATE("R7C",'Riesgos de Gestión'!$V$52),"")</f>
        <v/>
      </c>
      <c r="Z42" s="51" t="str">
        <f>IF(AND('Riesgos de Gestión'!$AI$53="Baja",'Riesgos de Gestión'!$AK$53="Moderado"),CONCATENATE("R7C",'Riesgos de Gestión'!$V$53),"")</f>
        <v/>
      </c>
      <c r="AA42" s="52" t="str">
        <f>IF(AND('Riesgos de Gestión'!$AI$54="Baja",'Riesgos de Gestión'!$AK$54="Moderado"),CONCATENATE("R7C",'Riesgos de Gestión'!$V$54),"")</f>
        <v/>
      </c>
      <c r="AB42" s="35" t="str">
        <f>IF(AND('Riesgos de Gestión'!$AI$49="Baja",'Riesgos de Gestión'!$AK$49="Mayor"),CONCATENATE("R7C",'Riesgos de Gestión'!$V$49),"")</f>
        <v/>
      </c>
      <c r="AC42" s="36" t="str">
        <f>IF(AND('Riesgos de Gestión'!$AI$50="Baja",'Riesgos de Gestión'!$AK$50="Mayor"),CONCATENATE("R7C",'Riesgos de Gestión'!$V$50),"")</f>
        <v/>
      </c>
      <c r="AD42" s="36" t="str">
        <f>IF(AND('Riesgos de Gestión'!$AI$51="Baja",'Riesgos de Gestión'!$AK$51="Mayor"),CONCATENATE("R7C",'Riesgos de Gestión'!$V$51),"")</f>
        <v/>
      </c>
      <c r="AE42" s="36" t="str">
        <f>IF(AND('Riesgos de Gestión'!$AI$52="Baja",'Riesgos de Gestión'!$AK$52="Mayor"),CONCATENATE("R7C",'Riesgos de Gestión'!$V$52),"")</f>
        <v/>
      </c>
      <c r="AF42" s="36" t="str">
        <f>IF(AND('Riesgos de Gestión'!$AI$53="Baja",'Riesgos de Gestión'!$AK$53="Mayor"),CONCATENATE("R7C",'Riesgos de Gestión'!$V$53),"")</f>
        <v/>
      </c>
      <c r="AG42" s="37" t="str">
        <f>IF(AND('Riesgos de Gestión'!$AI$54="Baja",'Riesgos de Gestión'!$AK$54="Mayor"),CONCATENATE("R7C",'Riesgos de Gestión'!$V$54),"")</f>
        <v/>
      </c>
      <c r="AH42" s="38" t="str">
        <f>IF(AND('Riesgos de Gestión'!$AI$49="Baja",'Riesgos de Gestión'!$AK$49="Catastrófico"),CONCATENATE("R7C",'Riesgos de Gestión'!$V$49),"")</f>
        <v/>
      </c>
      <c r="AI42" s="39" t="str">
        <f>IF(AND('Riesgos de Gestión'!$AI$50="Baja",'Riesgos de Gestión'!$AK$50="Catastrófico"),CONCATENATE("R7C",'Riesgos de Gestión'!$V$50),"")</f>
        <v/>
      </c>
      <c r="AJ42" s="39" t="str">
        <f>IF(AND('Riesgos de Gestión'!$AI$51="Baja",'Riesgos de Gestión'!$AK$51="Catastrófico"),CONCATENATE("R7C",'Riesgos de Gestión'!$V$51),"")</f>
        <v/>
      </c>
      <c r="AK42" s="39" t="str">
        <f>IF(AND('Riesgos de Gestión'!$AI$52="Baja",'Riesgos de Gestión'!$AK$52="Catastrófico"),CONCATENATE("R7C",'Riesgos de Gestión'!$V$52),"")</f>
        <v/>
      </c>
      <c r="AL42" s="39" t="str">
        <f>IF(AND('Riesgos de Gestión'!$AI$53="Baja",'Riesgos de Gestión'!$AK$53="Catastrófico"),CONCATENATE("R7C",'Riesgos de Gestión'!$V$53),"")</f>
        <v/>
      </c>
      <c r="AM42" s="40" t="str">
        <f>IF(AND('Riesgos de Gestión'!$AI$54="Baja",'Riesgos de Gestión'!$AK$54="Catastrófico"),CONCATENATE("R7C",'Riesgos de Gestión'!$V$54),"")</f>
        <v/>
      </c>
      <c r="AN42" s="66"/>
      <c r="AO42" s="665"/>
      <c r="AP42" s="666"/>
      <c r="AQ42" s="666"/>
      <c r="AR42" s="666"/>
      <c r="AS42" s="666"/>
      <c r="AT42" s="66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546"/>
      <c r="C43" s="546"/>
      <c r="D43" s="547"/>
      <c r="E43" s="645"/>
      <c r="F43" s="644"/>
      <c r="G43" s="644"/>
      <c r="H43" s="644"/>
      <c r="I43" s="644"/>
      <c r="J43" s="59" t="str">
        <f>IF(AND('Riesgos de Gestión'!$AI$55="Baja",'Riesgos de Gestión'!$AK$55="Leve"),CONCATENATE("R8C",'Riesgos de Gestión'!$V$55),"")</f>
        <v/>
      </c>
      <c r="K43" s="60" t="str">
        <f>IF(AND('Riesgos de Gestión'!$AI$56="Baja",'Riesgos de Gestión'!$AK$56="Leve"),CONCATENATE("R8C",'Riesgos de Gestión'!$V$56),"")</f>
        <v/>
      </c>
      <c r="L43" s="60" t="str">
        <f>IF(AND('Riesgos de Gestión'!$AI$57="Baja",'Riesgos de Gestión'!$AK$57="Leve"),CONCATENATE("R8C",'Riesgos de Gestión'!$V$57),"")</f>
        <v/>
      </c>
      <c r="M43" s="60" t="str">
        <f>IF(AND('Riesgos de Gestión'!$AI$58="Baja",'Riesgos de Gestión'!$AK$58="Leve"),CONCATENATE("R8C",'Riesgos de Gestión'!$V$58),"")</f>
        <v/>
      </c>
      <c r="N43" s="60" t="str">
        <f>IF(AND('Riesgos de Gestión'!$AI$59="Baja",'Riesgos de Gestión'!$AK$59="Leve"),CONCATENATE("R8C",'Riesgos de Gestión'!$V$59),"")</f>
        <v/>
      </c>
      <c r="O43" s="61" t="str">
        <f>IF(AND('Riesgos de Gestión'!$AI$60="Baja",'Riesgos de Gestión'!$AK$60="Leve"),CONCATENATE("R8C",'Riesgos de Gestión'!$V$60),"")</f>
        <v/>
      </c>
      <c r="P43" s="50" t="str">
        <f>IF(AND('Riesgos de Gestión'!$AI$55="Baja",'Riesgos de Gestión'!$AK$55="Menor"),CONCATENATE("R8C",'Riesgos de Gestión'!$V$55),"")</f>
        <v/>
      </c>
      <c r="Q43" s="51" t="str">
        <f>IF(AND('Riesgos de Gestión'!$AI$56="Baja",'Riesgos de Gestión'!$AK$56="Menor"),CONCATENATE("R8C",'Riesgos de Gestión'!$V$56),"")</f>
        <v/>
      </c>
      <c r="R43" s="51" t="str">
        <f>IF(AND('Riesgos de Gestión'!$AI$57="Baja",'Riesgos de Gestión'!$AK$57="Menor"),CONCATENATE("R8C",'Riesgos de Gestión'!$V$57),"")</f>
        <v/>
      </c>
      <c r="S43" s="51" t="str">
        <f>IF(AND('Riesgos de Gestión'!$AI$58="Baja",'Riesgos de Gestión'!$AK$58="Menor"),CONCATENATE("R8C",'Riesgos de Gestión'!$V$58),"")</f>
        <v/>
      </c>
      <c r="T43" s="51" t="str">
        <f>IF(AND('Riesgos de Gestión'!$AI$59="Baja",'Riesgos de Gestión'!$AK$59="Menor"),CONCATENATE("R8C",'Riesgos de Gestión'!$V$59),"")</f>
        <v/>
      </c>
      <c r="U43" s="52" t="str">
        <f>IF(AND('Riesgos de Gestión'!$AI$60="Baja",'Riesgos de Gestión'!$AK$60="Menor"),CONCATENATE("R8C",'Riesgos de Gestión'!$V$60),"")</f>
        <v/>
      </c>
      <c r="V43" s="50" t="str">
        <f>IF(AND('Riesgos de Gestión'!$AI$55="Baja",'Riesgos de Gestión'!$AK$55="Moderado"),CONCATENATE("R8C",'Riesgos de Gestión'!$V$55),"")</f>
        <v/>
      </c>
      <c r="W43" s="51" t="str">
        <f>IF(AND('Riesgos de Gestión'!$AI$56="Baja",'Riesgos de Gestión'!$AK$56="Moderado"),CONCATENATE("R8C",'Riesgos de Gestión'!$V$56),"")</f>
        <v/>
      </c>
      <c r="X43" s="51" t="str">
        <f>IF(AND('Riesgos de Gestión'!$AI$57="Baja",'Riesgos de Gestión'!$AK$57="Moderado"),CONCATENATE("R8C",'Riesgos de Gestión'!$V$57),"")</f>
        <v/>
      </c>
      <c r="Y43" s="51" t="str">
        <f>IF(AND('Riesgos de Gestión'!$AI$58="Baja",'Riesgos de Gestión'!$AK$58="Moderado"),CONCATENATE("R8C",'Riesgos de Gestión'!$V$58),"")</f>
        <v/>
      </c>
      <c r="Z43" s="51" t="str">
        <f>IF(AND('Riesgos de Gestión'!$AI$59="Baja",'Riesgos de Gestión'!$AK$59="Moderado"),CONCATENATE("R8C",'Riesgos de Gestión'!$V$59),"")</f>
        <v/>
      </c>
      <c r="AA43" s="52" t="str">
        <f>IF(AND('Riesgos de Gestión'!$AI$60="Baja",'Riesgos de Gestión'!$AK$60="Moderado"),CONCATENATE("R8C",'Riesgos de Gestión'!$V$60),"")</f>
        <v/>
      </c>
      <c r="AB43" s="35" t="str">
        <f>IF(AND('Riesgos de Gestión'!$AI$55="Baja",'Riesgos de Gestión'!$AK$55="Mayor"),CONCATENATE("R8C",'Riesgos de Gestión'!$V$55),"")</f>
        <v/>
      </c>
      <c r="AC43" s="36" t="str">
        <f>IF(AND('Riesgos de Gestión'!$AI$56="Baja",'Riesgos de Gestión'!$AK$56="Mayor"),CONCATENATE("R8C",'Riesgos de Gestión'!$V$56),"")</f>
        <v/>
      </c>
      <c r="AD43" s="36" t="str">
        <f>IF(AND('Riesgos de Gestión'!$AI$57="Baja",'Riesgos de Gestión'!$AK$57="Mayor"),CONCATENATE("R8C",'Riesgos de Gestión'!$V$57),"")</f>
        <v/>
      </c>
      <c r="AE43" s="36" t="str">
        <f>IF(AND('Riesgos de Gestión'!$AI$58="Baja",'Riesgos de Gestión'!$AK$58="Mayor"),CONCATENATE("R8C",'Riesgos de Gestión'!$V$58),"")</f>
        <v/>
      </c>
      <c r="AF43" s="36" t="str">
        <f>IF(AND('Riesgos de Gestión'!$AI$59="Baja",'Riesgos de Gestión'!$AK$59="Mayor"),CONCATENATE("R8C",'Riesgos de Gestión'!$V$59),"")</f>
        <v/>
      </c>
      <c r="AG43" s="37" t="str">
        <f>IF(AND('Riesgos de Gestión'!$AI$60="Baja",'Riesgos de Gestión'!$AK$60="Mayor"),CONCATENATE("R8C",'Riesgos de Gestión'!$V$60),"")</f>
        <v/>
      </c>
      <c r="AH43" s="38" t="str">
        <f>IF(AND('Riesgos de Gestión'!$AI$55="Baja",'Riesgos de Gestión'!$AK$55="Catastrófico"),CONCATENATE("R8C",'Riesgos de Gestión'!$V$55),"")</f>
        <v/>
      </c>
      <c r="AI43" s="39" t="str">
        <f>IF(AND('Riesgos de Gestión'!$AI$56="Baja",'Riesgos de Gestión'!$AK$56="Catastrófico"),CONCATENATE("R8C",'Riesgos de Gestión'!$V$56),"")</f>
        <v/>
      </c>
      <c r="AJ43" s="39" t="str">
        <f>IF(AND('Riesgos de Gestión'!$AI$57="Baja",'Riesgos de Gestión'!$AK$57="Catastrófico"),CONCATENATE("R8C",'Riesgos de Gestión'!$V$57),"")</f>
        <v/>
      </c>
      <c r="AK43" s="39" t="str">
        <f>IF(AND('Riesgos de Gestión'!$AI$58="Baja",'Riesgos de Gestión'!$AK$58="Catastrófico"),CONCATENATE("R8C",'Riesgos de Gestión'!$V$58),"")</f>
        <v/>
      </c>
      <c r="AL43" s="39" t="str">
        <f>IF(AND('Riesgos de Gestión'!$AI$59="Baja",'Riesgos de Gestión'!$AK$59="Catastrófico"),CONCATENATE("R8C",'Riesgos de Gestión'!$V$59),"")</f>
        <v/>
      </c>
      <c r="AM43" s="40" t="str">
        <f>IF(AND('Riesgos de Gestión'!$AI$60="Baja",'Riesgos de Gestión'!$AK$60="Catastrófico"),CONCATENATE("R8C",'Riesgos de Gestión'!$V$60),"")</f>
        <v/>
      </c>
      <c r="AN43" s="66"/>
      <c r="AO43" s="665"/>
      <c r="AP43" s="666"/>
      <c r="AQ43" s="666"/>
      <c r="AR43" s="666"/>
      <c r="AS43" s="666"/>
      <c r="AT43" s="66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546"/>
      <c r="C44" s="546"/>
      <c r="D44" s="547"/>
      <c r="E44" s="645"/>
      <c r="F44" s="644"/>
      <c r="G44" s="644"/>
      <c r="H44" s="644"/>
      <c r="I44" s="644"/>
      <c r="J44" s="59" t="str">
        <f>IF(AND('Riesgos de Gestión'!$AI$61="Baja",'Riesgos de Gestión'!$AK$61="Leve"),CONCATENATE("R9C",'Riesgos de Gestión'!$V$61),"")</f>
        <v/>
      </c>
      <c r="K44" s="60" t="str">
        <f>IF(AND('Riesgos de Gestión'!$AI$62="Baja",'Riesgos de Gestión'!$AK$62="Leve"),CONCATENATE("R9C",'Riesgos de Gestión'!$V$62),"")</f>
        <v/>
      </c>
      <c r="L44" s="60" t="str">
        <f>IF(AND('Riesgos de Gestión'!$AI$63="Baja",'Riesgos de Gestión'!$AK$63="Leve"),CONCATENATE("R9C",'Riesgos de Gestión'!$V$63),"")</f>
        <v/>
      </c>
      <c r="M44" s="60" t="str">
        <f>IF(AND('Riesgos de Gestión'!$AI$64="Baja",'Riesgos de Gestión'!$AK$64="Leve"),CONCATENATE("R9C",'Riesgos de Gestión'!$V$64),"")</f>
        <v/>
      </c>
      <c r="N44" s="60" t="str">
        <f>IF(AND('Riesgos de Gestión'!$AI$65="Baja",'Riesgos de Gestión'!$AK$65="Leve"),CONCATENATE("R9C",'Riesgos de Gestión'!$V$65),"")</f>
        <v/>
      </c>
      <c r="O44" s="61" t="str">
        <f>IF(AND('Riesgos de Gestión'!$AI$66="Baja",'Riesgos de Gestión'!$AK$66="Leve"),CONCATENATE("R9C",'Riesgos de Gestión'!$V$66),"")</f>
        <v/>
      </c>
      <c r="P44" s="50" t="str">
        <f>IF(AND('Riesgos de Gestión'!$AI$61="Baja",'Riesgos de Gestión'!$AK$61="Menor"),CONCATENATE("R9C",'Riesgos de Gestión'!$V$61),"")</f>
        <v/>
      </c>
      <c r="Q44" s="51" t="str">
        <f>IF(AND('Riesgos de Gestión'!$AI$62="Baja",'Riesgos de Gestión'!$AK$62="Menor"),CONCATENATE("R9C",'Riesgos de Gestión'!$V$62),"")</f>
        <v/>
      </c>
      <c r="R44" s="51" t="str">
        <f>IF(AND('Riesgos de Gestión'!$AI$63="Baja",'Riesgos de Gestión'!$AK$63="Menor"),CONCATENATE("R9C",'Riesgos de Gestión'!$V$63),"")</f>
        <v/>
      </c>
      <c r="S44" s="51" t="str">
        <f>IF(AND('Riesgos de Gestión'!$AI$64="Baja",'Riesgos de Gestión'!$AK$64="Menor"),CONCATENATE("R9C",'Riesgos de Gestión'!$V$64),"")</f>
        <v/>
      </c>
      <c r="T44" s="51" t="str">
        <f>IF(AND('Riesgos de Gestión'!$AI$65="Baja",'Riesgos de Gestión'!$AK$65="Menor"),CONCATENATE("R9C",'Riesgos de Gestión'!$V$65),"")</f>
        <v/>
      </c>
      <c r="U44" s="52" t="str">
        <f>IF(AND('Riesgos de Gestión'!$AI$66="Baja",'Riesgos de Gestión'!$AK$66="Menor"),CONCATENATE("R9C",'Riesgos de Gestión'!$V$66),"")</f>
        <v/>
      </c>
      <c r="V44" s="50" t="str">
        <f>IF(AND('Riesgos de Gestión'!$AI$61="Baja",'Riesgos de Gestión'!$AK$61="Moderado"),CONCATENATE("R9C",'Riesgos de Gestión'!$V$61),"")</f>
        <v/>
      </c>
      <c r="W44" s="51" t="str">
        <f>IF(AND('Riesgos de Gestión'!$AI$62="Baja",'Riesgos de Gestión'!$AK$62="Moderado"),CONCATENATE("R9C",'Riesgos de Gestión'!$V$62),"")</f>
        <v/>
      </c>
      <c r="X44" s="51" t="str">
        <f>IF(AND('Riesgos de Gestión'!$AI$63="Baja",'Riesgos de Gestión'!$AK$63="Moderado"),CONCATENATE("R9C",'Riesgos de Gestión'!$V$63),"")</f>
        <v/>
      </c>
      <c r="Y44" s="51" t="str">
        <f>IF(AND('Riesgos de Gestión'!$AI$64="Baja",'Riesgos de Gestión'!$AK$64="Moderado"),CONCATENATE("R9C",'Riesgos de Gestión'!$V$64),"")</f>
        <v/>
      </c>
      <c r="Z44" s="51" t="str">
        <f>IF(AND('Riesgos de Gestión'!$AI$65="Baja",'Riesgos de Gestión'!$AK$65="Moderado"),CONCATENATE("R9C",'Riesgos de Gestión'!$V$65),"")</f>
        <v/>
      </c>
      <c r="AA44" s="52" t="str">
        <f>IF(AND('Riesgos de Gestión'!$AI$66="Baja",'Riesgos de Gestión'!$AK$66="Moderado"),CONCATENATE("R9C",'Riesgos de Gestión'!$V$66),"")</f>
        <v/>
      </c>
      <c r="AB44" s="35" t="str">
        <f>IF(AND('Riesgos de Gestión'!$AI$61="Baja",'Riesgos de Gestión'!$AK$61="Mayor"),CONCATENATE("R9C",'Riesgos de Gestión'!$V$61),"")</f>
        <v/>
      </c>
      <c r="AC44" s="36" t="str">
        <f>IF(AND('Riesgos de Gestión'!$AI$62="Baja",'Riesgos de Gestión'!$AK$62="Mayor"),CONCATENATE("R9C",'Riesgos de Gestión'!$V$62),"")</f>
        <v/>
      </c>
      <c r="AD44" s="36" t="str">
        <f>IF(AND('Riesgos de Gestión'!$AI$63="Baja",'Riesgos de Gestión'!$AK$63="Mayor"),CONCATENATE("R9C",'Riesgos de Gestión'!$V$63),"")</f>
        <v/>
      </c>
      <c r="AE44" s="36" t="str">
        <f>IF(AND('Riesgos de Gestión'!$AI$64="Baja",'Riesgos de Gestión'!$AK$64="Mayor"),CONCATENATE("R9C",'Riesgos de Gestión'!$V$64),"")</f>
        <v/>
      </c>
      <c r="AF44" s="36" t="str">
        <f>IF(AND('Riesgos de Gestión'!$AI$65="Baja",'Riesgos de Gestión'!$AK$65="Mayor"),CONCATENATE("R9C",'Riesgos de Gestión'!$V$65),"")</f>
        <v/>
      </c>
      <c r="AG44" s="37" t="str">
        <f>IF(AND('Riesgos de Gestión'!$AI$66="Baja",'Riesgos de Gestión'!$AK$66="Mayor"),CONCATENATE("R9C",'Riesgos de Gestión'!$V$66),"")</f>
        <v/>
      </c>
      <c r="AH44" s="38" t="str">
        <f>IF(AND('Riesgos de Gestión'!$AI$61="Baja",'Riesgos de Gestión'!$AK$61="Catastrófico"),CONCATENATE("R9C",'Riesgos de Gestión'!$V$61),"")</f>
        <v/>
      </c>
      <c r="AI44" s="39" t="str">
        <f>IF(AND('Riesgos de Gestión'!$AI$62="Baja",'Riesgos de Gestión'!$AK$62="Catastrófico"),CONCATENATE("R9C",'Riesgos de Gestión'!$V$62),"")</f>
        <v/>
      </c>
      <c r="AJ44" s="39" t="str">
        <f>IF(AND('Riesgos de Gestión'!$AI$63="Baja",'Riesgos de Gestión'!$AK$63="Catastrófico"),CONCATENATE("R9C",'Riesgos de Gestión'!$V$63),"")</f>
        <v/>
      </c>
      <c r="AK44" s="39" t="str">
        <f>IF(AND('Riesgos de Gestión'!$AI$64="Baja",'Riesgos de Gestión'!$AK$64="Catastrófico"),CONCATENATE("R9C",'Riesgos de Gestión'!$V$64),"")</f>
        <v/>
      </c>
      <c r="AL44" s="39" t="str">
        <f>IF(AND('Riesgos de Gestión'!$AI$65="Baja",'Riesgos de Gestión'!$AK$65="Catastrófico"),CONCATENATE("R9C",'Riesgos de Gestión'!$V$65),"")</f>
        <v/>
      </c>
      <c r="AM44" s="40" t="str">
        <f>IF(AND('Riesgos de Gestión'!$AI$66="Baja",'Riesgos de Gestión'!$AK$66="Catastrófico"),CONCATENATE("R9C",'Riesgos de Gestión'!$V$66),"")</f>
        <v/>
      </c>
      <c r="AN44" s="66"/>
      <c r="AO44" s="665"/>
      <c r="AP44" s="666"/>
      <c r="AQ44" s="666"/>
      <c r="AR44" s="666"/>
      <c r="AS44" s="666"/>
      <c r="AT44" s="66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546"/>
      <c r="C45" s="546"/>
      <c r="D45" s="547"/>
      <c r="E45" s="646"/>
      <c r="F45" s="647"/>
      <c r="G45" s="647"/>
      <c r="H45" s="647"/>
      <c r="I45" s="647"/>
      <c r="J45" s="62" t="str">
        <f>IF(AND('Riesgos de Gestión'!$AI$67="Baja",'Riesgos de Gestión'!$AK$67="Leve"),CONCATENATE("R10C",'Riesgos de Gestión'!$V$67),"")</f>
        <v/>
      </c>
      <c r="K45" s="63" t="str">
        <f>IF(AND('Riesgos de Gestión'!$AI$68="Baja",'Riesgos de Gestión'!$AK$68="Leve"),CONCATENATE("R10C",'Riesgos de Gestión'!$V$68),"")</f>
        <v/>
      </c>
      <c r="L45" s="63" t="str">
        <f>IF(AND('Riesgos de Gestión'!$AI$69="Baja",'Riesgos de Gestión'!$AK$69="Leve"),CONCATENATE("R10C",'Riesgos de Gestión'!$V$69),"")</f>
        <v/>
      </c>
      <c r="M45" s="63" t="str">
        <f>IF(AND('Riesgos de Gestión'!$AI$70="Baja",'Riesgos de Gestión'!$AK$70="Leve"),CONCATENATE("R10C",'Riesgos de Gestión'!$V$70),"")</f>
        <v/>
      </c>
      <c r="N45" s="63" t="str">
        <f>IF(AND('Riesgos de Gestión'!$AI$71="Baja",'Riesgos de Gestión'!$AK$71="Leve"),CONCATENATE("R10C",'Riesgos de Gestión'!$V$71),"")</f>
        <v/>
      </c>
      <c r="O45" s="64" t="str">
        <f>IF(AND('Riesgos de Gestión'!$AI$72="Baja",'Riesgos de Gestión'!$AK$72="Leve"),CONCATENATE("R10C",'Riesgos de Gestión'!$V$72),"")</f>
        <v/>
      </c>
      <c r="P45" s="50" t="str">
        <f>IF(AND('Riesgos de Gestión'!$AI$67="Baja",'Riesgos de Gestión'!$AK$67="Menor"),CONCATENATE("R10C",'Riesgos de Gestión'!$V$67),"")</f>
        <v/>
      </c>
      <c r="Q45" s="51" t="str">
        <f>IF(AND('Riesgos de Gestión'!$AI$68="Baja",'Riesgos de Gestión'!$AK$68="Menor"),CONCATENATE("R10C",'Riesgos de Gestión'!$V$68),"")</f>
        <v/>
      </c>
      <c r="R45" s="51" t="str">
        <f>IF(AND('Riesgos de Gestión'!$AI$69="Baja",'Riesgos de Gestión'!$AK$69="Menor"),CONCATENATE("R10C",'Riesgos de Gestión'!$V$69),"")</f>
        <v/>
      </c>
      <c r="S45" s="51" t="str">
        <f>IF(AND('Riesgos de Gestión'!$AI$70="Baja",'Riesgos de Gestión'!$AK$70="Menor"),CONCATENATE("R10C",'Riesgos de Gestión'!$V$70),"")</f>
        <v/>
      </c>
      <c r="T45" s="51" t="str">
        <f>IF(AND('Riesgos de Gestión'!$AI$71="Baja",'Riesgos de Gestión'!$AK$71="Menor"),CONCATENATE("R10C",'Riesgos de Gestión'!$V$71),"")</f>
        <v/>
      </c>
      <c r="U45" s="52" t="str">
        <f>IF(AND('Riesgos de Gestión'!$AI$72="Baja",'Riesgos de Gestión'!$AK$72="Menor"),CONCATENATE("R10C",'Riesgos de Gestión'!$V$72),"")</f>
        <v/>
      </c>
      <c r="V45" s="53" t="str">
        <f>IF(AND('Riesgos de Gestión'!$AI$67="Baja",'Riesgos de Gestión'!$AK$67="Moderado"),CONCATENATE("R10C",'Riesgos de Gestión'!$V$67),"")</f>
        <v/>
      </c>
      <c r="W45" s="54" t="str">
        <f>IF(AND('Riesgos de Gestión'!$AI$68="Baja",'Riesgos de Gestión'!$AK$68="Moderado"),CONCATENATE("R10C",'Riesgos de Gestión'!$V$68),"")</f>
        <v/>
      </c>
      <c r="X45" s="54" t="str">
        <f>IF(AND('Riesgos de Gestión'!$AI$69="Baja",'Riesgos de Gestión'!$AK$69="Moderado"),CONCATENATE("R10C",'Riesgos de Gestión'!$V$69),"")</f>
        <v/>
      </c>
      <c r="Y45" s="54" t="str">
        <f>IF(AND('Riesgos de Gestión'!$AI$70="Baja",'Riesgos de Gestión'!$AK$70="Moderado"),CONCATENATE("R10C",'Riesgos de Gestión'!$V$70),"")</f>
        <v/>
      </c>
      <c r="Z45" s="54" t="str">
        <f>IF(AND('Riesgos de Gestión'!$AI$71="Baja",'Riesgos de Gestión'!$AK$71="Moderado"),CONCATENATE("R10C",'Riesgos de Gestión'!$V$71),"")</f>
        <v/>
      </c>
      <c r="AA45" s="55" t="str">
        <f>IF(AND('Riesgos de Gestión'!$AI$72="Baja",'Riesgos de Gestión'!$AK$72="Moderado"),CONCATENATE("R10C",'Riesgos de Gestión'!$V$72),"")</f>
        <v/>
      </c>
      <c r="AB45" s="41" t="str">
        <f>IF(AND('Riesgos de Gestión'!$AI$67="Baja",'Riesgos de Gestión'!$AK$67="Mayor"),CONCATENATE("R10C",'Riesgos de Gestión'!$V$67),"")</f>
        <v/>
      </c>
      <c r="AC45" s="42" t="str">
        <f>IF(AND('Riesgos de Gestión'!$AI$68="Baja",'Riesgos de Gestión'!$AK$68="Mayor"),CONCATENATE("R10C",'Riesgos de Gestión'!$V$68),"")</f>
        <v/>
      </c>
      <c r="AD45" s="42" t="str">
        <f>IF(AND('Riesgos de Gestión'!$AI$69="Baja",'Riesgos de Gestión'!$AK$69="Mayor"),CONCATENATE("R10C",'Riesgos de Gestión'!$V$69),"")</f>
        <v/>
      </c>
      <c r="AE45" s="42" t="str">
        <f>IF(AND('Riesgos de Gestión'!$AI$70="Baja",'Riesgos de Gestión'!$AK$70="Mayor"),CONCATENATE("R10C",'Riesgos de Gestión'!$V$70),"")</f>
        <v/>
      </c>
      <c r="AF45" s="42" t="str">
        <f>IF(AND('Riesgos de Gestión'!$AI$71="Baja",'Riesgos de Gestión'!$AK$71="Mayor"),CONCATENATE("R10C",'Riesgos de Gestión'!$V$71),"")</f>
        <v/>
      </c>
      <c r="AG45" s="43" t="str">
        <f>IF(AND('Riesgos de Gestión'!$AI$72="Baja",'Riesgos de Gestión'!$AK$72="Mayor"),CONCATENATE("R10C",'Riesgos de Gestión'!$V$72),"")</f>
        <v/>
      </c>
      <c r="AH45" s="44" t="str">
        <f>IF(AND('Riesgos de Gestión'!$AI$67="Baja",'Riesgos de Gestión'!$AK$67="Catastrófico"),CONCATENATE("R10C",'Riesgos de Gestión'!$V$67),"")</f>
        <v/>
      </c>
      <c r="AI45" s="45" t="str">
        <f>IF(AND('Riesgos de Gestión'!$AI$68="Baja",'Riesgos de Gestión'!$AK$68="Catastrófico"),CONCATENATE("R10C",'Riesgos de Gestión'!$V$68),"")</f>
        <v/>
      </c>
      <c r="AJ45" s="45" t="str">
        <f>IF(AND('Riesgos de Gestión'!$AI$69="Baja",'Riesgos de Gestión'!$AK$69="Catastrófico"),CONCATENATE("R10C",'Riesgos de Gestión'!$V$69),"")</f>
        <v/>
      </c>
      <c r="AK45" s="45" t="str">
        <f>IF(AND('Riesgos de Gestión'!$AI$70="Baja",'Riesgos de Gestión'!$AK$70="Catastrófico"),CONCATENATE("R10C",'Riesgos de Gestión'!$V$70),"")</f>
        <v/>
      </c>
      <c r="AL45" s="45" t="str">
        <f>IF(AND('Riesgos de Gestión'!$AI$71="Baja",'Riesgos de Gestión'!$AK$71="Catastrófico"),CONCATENATE("R10C",'Riesgos de Gestión'!$V$71),"")</f>
        <v/>
      </c>
      <c r="AM45" s="46" t="str">
        <f>IF(AND('Riesgos de Gestión'!$AI$72="Baja",'Riesgos de Gestión'!$AK$72="Catastrófico"),CONCATENATE("R10C",'Riesgos de Gestión'!$V$72),"")</f>
        <v/>
      </c>
      <c r="AN45" s="66"/>
      <c r="AO45" s="668"/>
      <c r="AP45" s="669"/>
      <c r="AQ45" s="669"/>
      <c r="AR45" s="669"/>
      <c r="AS45" s="669"/>
      <c r="AT45" s="670"/>
    </row>
    <row r="46" spans="1:80" ht="46.5" customHeight="1" x14ac:dyDescent="0.35">
      <c r="A46" s="66"/>
      <c r="B46" s="546"/>
      <c r="C46" s="546"/>
      <c r="D46" s="547"/>
      <c r="E46" s="641" t="s">
        <v>495</v>
      </c>
      <c r="F46" s="642"/>
      <c r="G46" s="642"/>
      <c r="H46" s="642"/>
      <c r="I46" s="659"/>
      <c r="J46" s="56" t="str">
        <f>IF(AND('Riesgos de Gestión'!$AI$13="Muy Baja",'Riesgos de Gestión'!$AK$13="Leve"),CONCATENATE("R1C",'Riesgos de Gestión'!$V$13),"")</f>
        <v/>
      </c>
      <c r="K46" s="57" t="str">
        <f>IF(AND('Riesgos de Gestión'!$AI$14="Muy Baja",'Riesgos de Gestión'!$AK$14="Leve"),CONCATENATE("R1C",'Riesgos de Gestión'!$V$14),"")</f>
        <v/>
      </c>
      <c r="L46" s="57" t="str">
        <f>IF(AND('Riesgos de Gestión'!$AI$15="Muy Baja",'Riesgos de Gestión'!$AK$15="Leve"),CONCATENATE("R1C",'Riesgos de Gestión'!$V$15),"")</f>
        <v/>
      </c>
      <c r="M46" s="57" t="str">
        <f>IF(AND('Riesgos de Gestión'!$AI$16="Muy Baja",'Riesgos de Gestión'!$AK$16="Leve"),CONCATENATE("R1C",'Riesgos de Gestión'!$V$16),"")</f>
        <v/>
      </c>
      <c r="N46" s="57" t="str">
        <f>IF(AND('Riesgos de Gestión'!$AI$17="Muy Baja",'Riesgos de Gestión'!$AK$17="Leve"),CONCATENATE("R1C",'Riesgos de Gestión'!$V$17),"")</f>
        <v/>
      </c>
      <c r="O46" s="58" t="str">
        <f>IF(AND('Riesgos de Gestión'!$AI$18="Muy Baja",'Riesgos de Gestión'!$AK$18="Leve"),CONCATENATE("R1C",'Riesgos de Gestión'!$V$18),"")</f>
        <v/>
      </c>
      <c r="P46" s="56" t="str">
        <f>IF(AND('Riesgos de Gestión'!$AI$13="Muy Baja",'Riesgos de Gestión'!$AK$13="Menor"),CONCATENATE("R1C",'Riesgos de Gestión'!$V$13),"")</f>
        <v/>
      </c>
      <c r="Q46" s="57" t="str">
        <f>IF(AND('Riesgos de Gestión'!$AI$14="Muy Baja",'Riesgos de Gestión'!$AK$14="Menor"),CONCATENATE("R1C",'Riesgos de Gestión'!$V$14),"")</f>
        <v/>
      </c>
      <c r="R46" s="57" t="str">
        <f>IF(AND('Riesgos de Gestión'!$AI$15="Muy Baja",'Riesgos de Gestión'!$AK$15="Menor"),CONCATENATE("R1C",'Riesgos de Gestión'!$V$15),"")</f>
        <v/>
      </c>
      <c r="S46" s="57" t="str">
        <f>IF(AND('Riesgos de Gestión'!$AI$16="Muy Baja",'Riesgos de Gestión'!$AK$16="Menor"),CONCATENATE("R1C",'Riesgos de Gestión'!$V$16),"")</f>
        <v/>
      </c>
      <c r="T46" s="57" t="str">
        <f>IF(AND('Riesgos de Gestión'!$AI$17="Muy Baja",'Riesgos de Gestión'!$AK$17="Menor"),CONCATENATE("R1C",'Riesgos de Gestión'!$V$17),"")</f>
        <v/>
      </c>
      <c r="U46" s="58" t="str">
        <f>IF(AND('Riesgos de Gestión'!$AI$18="Muy Baja",'Riesgos de Gestión'!$AK$18="Menor"),CONCATENATE("R1C",'Riesgos de Gestión'!$V$18),"")</f>
        <v/>
      </c>
      <c r="V46" s="47" t="str">
        <f>IF(AND('Riesgos de Gestión'!$AI$13="Muy Baja",'Riesgos de Gestión'!$AK$13="Moderado"),CONCATENATE("R1C",'Riesgos de Gestión'!$V$13),"")</f>
        <v/>
      </c>
      <c r="W46" s="65" t="str">
        <f>IF(AND('Riesgos de Gestión'!$AI$14="Muy Baja",'Riesgos de Gestión'!$AK$14="Moderado"),CONCATENATE("R1C",'Riesgos de Gestión'!$V$14),"")</f>
        <v/>
      </c>
      <c r="X46" s="48" t="str">
        <f>IF(AND('Riesgos de Gestión'!$AI$15="Muy Baja",'Riesgos de Gestión'!$AK$15="Moderado"),CONCATENATE("R1C",'Riesgos de Gestión'!$V$15),"")</f>
        <v/>
      </c>
      <c r="Y46" s="48" t="str">
        <f>IF(AND('Riesgos de Gestión'!$AI$16="Muy Baja",'Riesgos de Gestión'!$AK$16="Moderado"),CONCATENATE("R1C",'Riesgos de Gestión'!$V$16),"")</f>
        <v/>
      </c>
      <c r="Z46" s="48" t="str">
        <f>IF(AND('Riesgos de Gestión'!$AI$17="Muy Baja",'Riesgos de Gestión'!$AK$17="Moderado"),CONCATENATE("R1C",'Riesgos de Gestión'!$V$17),"")</f>
        <v/>
      </c>
      <c r="AA46" s="49" t="str">
        <f>IF(AND('Riesgos de Gestión'!$AI$18="Muy Baja",'Riesgos de Gestión'!$AK$18="Moderado"),CONCATENATE("R1C",'Riesgos de Gestión'!$V$18),"")</f>
        <v/>
      </c>
      <c r="AB46" s="29" t="str">
        <f>IF(AND('Riesgos de Gestión'!$AI$13="Muy Baja",'Riesgos de Gestión'!$AK$13="Mayor"),CONCATENATE("R1C",'Riesgos de Gestión'!$V$13),"")</f>
        <v/>
      </c>
      <c r="AC46" s="30" t="str">
        <f>IF(AND('Riesgos de Gestión'!$AI$14="Muy Baja",'Riesgos de Gestión'!$AK$14="Mayor"),CONCATENATE("R1C",'Riesgos de Gestión'!$V$14),"")</f>
        <v/>
      </c>
      <c r="AD46" s="30" t="str">
        <f>IF(AND('Riesgos de Gestión'!$AI$15="Muy Baja",'Riesgos de Gestión'!$AK$15="Mayor"),CONCATENATE("R1C",'Riesgos de Gestión'!$V$15),"")</f>
        <v/>
      </c>
      <c r="AE46" s="30" t="str">
        <f>IF(AND('Riesgos de Gestión'!$AI$16="Muy Baja",'Riesgos de Gestión'!$AK$16="Mayor"),CONCATENATE("R1C",'Riesgos de Gestión'!$V$16),"")</f>
        <v/>
      </c>
      <c r="AF46" s="30" t="str">
        <f>IF(AND('Riesgos de Gestión'!$AI$17="Muy Baja",'Riesgos de Gestión'!$AK$17="Mayor"),CONCATENATE("R1C",'Riesgos de Gestión'!$V$17),"")</f>
        <v/>
      </c>
      <c r="AG46" s="31" t="str">
        <f>IF(AND('Riesgos de Gestión'!$AI$18="Muy Baja",'Riesgos de Gestión'!$AK$18="Mayor"),CONCATENATE("R1C",'Riesgos de Gestión'!$V$18),"")</f>
        <v/>
      </c>
      <c r="AH46" s="32" t="str">
        <f>IF(AND('Riesgos de Gestión'!$AI$13="Muy Baja",'Riesgos de Gestión'!$AK$13="Catastrófico"),CONCATENATE("R1C",'Riesgos de Gestión'!$V$13),"")</f>
        <v/>
      </c>
      <c r="AI46" s="33" t="str">
        <f>IF(AND('Riesgos de Gestión'!$AI$14="Muy Baja",'Riesgos de Gestión'!$AK$14="Catastrófico"),CONCATENATE("R1C",'Riesgos de Gestión'!$V$14),"")</f>
        <v/>
      </c>
      <c r="AJ46" s="33" t="str">
        <f>IF(AND('Riesgos de Gestión'!$AI$15="Muy Baja",'Riesgos de Gestión'!$AK$15="Catastrófico"),CONCATENATE("R1C",'Riesgos de Gestión'!$V$15),"")</f>
        <v/>
      </c>
      <c r="AK46" s="33" t="str">
        <f>IF(AND('Riesgos de Gestión'!$AI$16="Muy Baja",'Riesgos de Gestión'!$AK$16="Catastrófico"),CONCATENATE("R1C",'Riesgos de Gestión'!$V$16),"")</f>
        <v/>
      </c>
      <c r="AL46" s="33" t="str">
        <f>IF(AND('Riesgos de Gestión'!$AI$17="Muy Baja",'Riesgos de Gestión'!$AK$17="Catastrófico"),CONCATENATE("R1C",'Riesgos de Gestión'!$V$17),"")</f>
        <v/>
      </c>
      <c r="AM46" s="34" t="str">
        <f>IF(AND('Riesgos de Gestión'!$AI$18="Muy Baja",'Riesgos de Gestión'!$AK$18="Catastrófico"),CONCATENATE("R1C",'Riesgos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546"/>
      <c r="C47" s="546"/>
      <c r="D47" s="547"/>
      <c r="E47" s="643"/>
      <c r="F47" s="644"/>
      <c r="G47" s="644"/>
      <c r="H47" s="644"/>
      <c r="I47" s="660"/>
      <c r="J47" s="59" t="str">
        <f>IF(AND('Riesgos de Gestión'!$AI$19="Muy Baja",'Riesgos de Gestión'!$AK$19="Leve"),CONCATENATE("R2C",'Riesgos de Gestión'!$V$19),"")</f>
        <v/>
      </c>
      <c r="K47" s="60" t="str">
        <f>IF(AND('Riesgos de Gestión'!$AI$20="Muy Baja",'Riesgos de Gestión'!$AK$20="Leve"),CONCATENATE("R2C",'Riesgos de Gestión'!$V$20),"")</f>
        <v/>
      </c>
      <c r="L47" s="60" t="str">
        <f>IF(AND('Riesgos de Gestión'!$AI$21="Muy Baja",'Riesgos de Gestión'!$AK$21="Leve"),CONCATENATE("R2C",'Riesgos de Gestión'!$V$21),"")</f>
        <v/>
      </c>
      <c r="M47" s="60" t="str">
        <f>IF(AND('Riesgos de Gestión'!$AI$22="Muy Baja",'Riesgos de Gestión'!$AK$22="Leve"),CONCATENATE("R2C",'Riesgos de Gestión'!$V$22),"")</f>
        <v/>
      </c>
      <c r="N47" s="60" t="str">
        <f>IF(AND('Riesgos de Gestión'!$AI$23="Muy Baja",'Riesgos de Gestión'!$AK$23="Leve"),CONCATENATE("R2C",'Riesgos de Gestión'!$V$23),"")</f>
        <v/>
      </c>
      <c r="O47" s="61" t="str">
        <f>IF(AND('Riesgos de Gestión'!$AI$24="Muy Baja",'Riesgos de Gestión'!$AK$24="Leve"),CONCATENATE("R2C",'Riesgos de Gestión'!$V$24),"")</f>
        <v/>
      </c>
      <c r="P47" s="59" t="str">
        <f>IF(AND('Riesgos de Gestión'!$AI$19="Muy Baja",'Riesgos de Gestión'!$AK$19="Menor"),CONCATENATE("R2C",'Riesgos de Gestión'!$V$19),"")</f>
        <v/>
      </c>
      <c r="Q47" s="60" t="str">
        <f>IF(AND('Riesgos de Gestión'!$AI$20="Muy Baja",'Riesgos de Gestión'!$AK$20="Menor"),CONCATENATE("R2C",'Riesgos de Gestión'!$V$20),"")</f>
        <v/>
      </c>
      <c r="R47" s="60" t="str">
        <f>IF(AND('Riesgos de Gestión'!$AI$21="Muy Baja",'Riesgos de Gestión'!$AK$21="Menor"),CONCATENATE("R2C",'Riesgos de Gestión'!$V$21),"")</f>
        <v/>
      </c>
      <c r="S47" s="60" t="str">
        <f>IF(AND('Riesgos de Gestión'!$AI$22="Muy Baja",'Riesgos de Gestión'!$AK$22="Menor"),CONCATENATE("R2C",'Riesgos de Gestión'!$V$22),"")</f>
        <v/>
      </c>
      <c r="T47" s="60" t="str">
        <f>IF(AND('Riesgos de Gestión'!$AI$23="Muy Baja",'Riesgos de Gestión'!$AK$23="Menor"),CONCATENATE("R2C",'Riesgos de Gestión'!$V$23),"")</f>
        <v/>
      </c>
      <c r="U47" s="61" t="str">
        <f>IF(AND('Riesgos de Gestión'!$AI$24="Muy Baja",'Riesgos de Gestión'!$AK$24="Menor"),CONCATENATE("R2C",'Riesgos de Gestión'!$V$24),"")</f>
        <v/>
      </c>
      <c r="V47" s="50" t="str">
        <f>IF(AND('Riesgos de Gestión'!$AI$19="Muy Baja",'Riesgos de Gestión'!$AK$19="Moderado"),CONCATENATE("R2C",'Riesgos de Gestión'!$V$19),"")</f>
        <v/>
      </c>
      <c r="W47" s="51" t="str">
        <f>IF(AND('Riesgos de Gestión'!$AI$20="Muy Baja",'Riesgos de Gestión'!$AK$20="Moderado"),CONCATENATE("R2C",'Riesgos de Gestión'!$V$20),"")</f>
        <v/>
      </c>
      <c r="X47" s="51" t="str">
        <f>IF(AND('Riesgos de Gestión'!$AI$21="Muy Baja",'Riesgos de Gestión'!$AK$21="Moderado"),CONCATENATE("R2C",'Riesgos de Gestión'!$V$21),"")</f>
        <v/>
      </c>
      <c r="Y47" s="51" t="str">
        <f>IF(AND('Riesgos de Gestión'!$AI$22="Muy Baja",'Riesgos de Gestión'!$AK$22="Moderado"),CONCATENATE("R2C",'Riesgos de Gestión'!$V$22),"")</f>
        <v/>
      </c>
      <c r="Z47" s="51" t="str">
        <f>IF(AND('Riesgos de Gestión'!$AI$23="Muy Baja",'Riesgos de Gestión'!$AK$23="Moderado"),CONCATENATE("R2C",'Riesgos de Gestión'!$V$23),"")</f>
        <v/>
      </c>
      <c r="AA47" s="52" t="str">
        <f>IF(AND('Riesgos de Gestión'!$AI$24="Muy Baja",'Riesgos de Gestión'!$AK$24="Moderado"),CONCATENATE("R2C",'Riesgos de Gestión'!$V$24),"")</f>
        <v/>
      </c>
      <c r="AB47" s="35" t="str">
        <f>IF(AND('Riesgos de Gestión'!$AI$19="Muy Baja",'Riesgos de Gestión'!$AK$19="Mayor"),CONCATENATE("R2C",'Riesgos de Gestión'!$V$19),"")</f>
        <v/>
      </c>
      <c r="AC47" s="36" t="str">
        <f>IF(AND('Riesgos de Gestión'!$AI$20="Muy Baja",'Riesgos de Gestión'!$AK$20="Mayor"),CONCATENATE("R2C",'Riesgos de Gestión'!$V$20),"")</f>
        <v/>
      </c>
      <c r="AD47" s="36" t="str">
        <f>IF(AND('Riesgos de Gestión'!$AI$21="Muy Baja",'Riesgos de Gestión'!$AK$21="Mayor"),CONCATENATE("R2C",'Riesgos de Gestión'!$V$21),"")</f>
        <v/>
      </c>
      <c r="AE47" s="36" t="str">
        <f>IF(AND('Riesgos de Gestión'!$AI$22="Muy Baja",'Riesgos de Gestión'!$AK$22="Mayor"),CONCATENATE("R2C",'Riesgos de Gestión'!$V$22),"")</f>
        <v/>
      </c>
      <c r="AF47" s="36" t="str">
        <f>IF(AND('Riesgos de Gestión'!$AI$23="Muy Baja",'Riesgos de Gestión'!$AK$23="Mayor"),CONCATENATE("R2C",'Riesgos de Gestión'!$V$23),"")</f>
        <v/>
      </c>
      <c r="AG47" s="37" t="str">
        <f>IF(AND('Riesgos de Gestión'!$AI$24="Muy Baja",'Riesgos de Gestión'!$AK$24="Mayor"),CONCATENATE("R2C",'Riesgos de Gestión'!$V$24),"")</f>
        <v/>
      </c>
      <c r="AH47" s="38" t="str">
        <f>IF(AND('Riesgos de Gestión'!$AI$19="Muy Baja",'Riesgos de Gestión'!$AK$19="Catastrófico"),CONCATENATE("R2C",'Riesgos de Gestión'!$V$19),"")</f>
        <v/>
      </c>
      <c r="AI47" s="39" t="str">
        <f>IF(AND('Riesgos de Gestión'!$AI$20="Muy Baja",'Riesgos de Gestión'!$AK$20="Catastrófico"),CONCATENATE("R2C",'Riesgos de Gestión'!$V$20),"")</f>
        <v/>
      </c>
      <c r="AJ47" s="39" t="str">
        <f>IF(AND('Riesgos de Gestión'!$AI$21="Muy Baja",'Riesgos de Gestión'!$AK$21="Catastrófico"),CONCATENATE("R2C",'Riesgos de Gestión'!$V$21),"")</f>
        <v/>
      </c>
      <c r="AK47" s="39" t="str">
        <f>IF(AND('Riesgos de Gestión'!$AI$22="Muy Baja",'Riesgos de Gestión'!$AK$22="Catastrófico"),CONCATENATE("R2C",'Riesgos de Gestión'!$V$22),"")</f>
        <v/>
      </c>
      <c r="AL47" s="39" t="str">
        <f>IF(AND('Riesgos de Gestión'!$AI$23="Muy Baja",'Riesgos de Gestión'!$AK$23="Catastrófico"),CONCATENATE("R2C",'Riesgos de Gestión'!$V$23),"")</f>
        <v/>
      </c>
      <c r="AM47" s="40" t="str">
        <f>IF(AND('Riesgos de Gestión'!$AI$24="Muy Baja",'Riesgos de Gestión'!$AK$24="Catastrófico"),CONCATENATE("R2C",'Riesgos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546"/>
      <c r="C48" s="546"/>
      <c r="D48" s="547"/>
      <c r="E48" s="643"/>
      <c r="F48" s="644"/>
      <c r="G48" s="644"/>
      <c r="H48" s="644"/>
      <c r="I48" s="660"/>
      <c r="J48" s="59" t="str">
        <f>IF(AND('Riesgos de Gestión'!$AI$25="Muy Baja",'Riesgos de Gestión'!$AK$25="Leve"),CONCATENATE("R3C",'Riesgos de Gestión'!$V$25),"")</f>
        <v/>
      </c>
      <c r="K48" s="60" t="str">
        <f>IF(AND('Riesgos de Gestión'!$AI$26="Muy Baja",'Riesgos de Gestión'!$AK$26="Leve"),CONCATENATE("R3C",'Riesgos de Gestión'!$V$26),"")</f>
        <v/>
      </c>
      <c r="L48" s="60" t="str">
        <f>IF(AND('Riesgos de Gestión'!$AI$27="Muy Baja",'Riesgos de Gestión'!$AK$27="Leve"),CONCATENATE("R3C",'Riesgos de Gestión'!$V$27),"")</f>
        <v/>
      </c>
      <c r="M48" s="60" t="str">
        <f>IF(AND('Riesgos de Gestión'!$AI$28="Muy Baja",'Riesgos de Gestión'!$AK$28="Leve"),CONCATENATE("R3C",'Riesgos de Gestión'!$V$28),"")</f>
        <v/>
      </c>
      <c r="N48" s="60" t="str">
        <f>IF(AND('Riesgos de Gestión'!$AI$29="Muy Baja",'Riesgos de Gestión'!$AK$29="Leve"),CONCATENATE("R3C",'Riesgos de Gestión'!$V$29),"")</f>
        <v/>
      </c>
      <c r="O48" s="61" t="str">
        <f>IF(AND('Riesgos de Gestión'!$AI$30="Muy Baja",'Riesgos de Gestión'!$AK$30="Leve"),CONCATENATE("R3C",'Riesgos de Gestión'!$V$30),"")</f>
        <v/>
      </c>
      <c r="P48" s="59" t="str">
        <f>IF(AND('Riesgos de Gestión'!$AI$25="Muy Baja",'Riesgos de Gestión'!$AK$25="Menor"),CONCATENATE("R3C",'Riesgos de Gestión'!$V$25),"")</f>
        <v/>
      </c>
      <c r="Q48" s="60" t="str">
        <f>IF(AND('Riesgos de Gestión'!$AI$26="Muy Baja",'Riesgos de Gestión'!$AK$26="Menor"),CONCATENATE("R3C",'Riesgos de Gestión'!$V$26),"")</f>
        <v/>
      </c>
      <c r="R48" s="60" t="str">
        <f>IF(AND('Riesgos de Gestión'!$AI$27="Muy Baja",'Riesgos de Gestión'!$AK$27="Menor"),CONCATENATE("R3C",'Riesgos de Gestión'!$V$27),"")</f>
        <v/>
      </c>
      <c r="S48" s="60" t="str">
        <f>IF(AND('Riesgos de Gestión'!$AI$28="Muy Baja",'Riesgos de Gestión'!$AK$28="Menor"),CONCATENATE("R3C",'Riesgos de Gestión'!$V$28),"")</f>
        <v/>
      </c>
      <c r="T48" s="60" t="str">
        <f>IF(AND('Riesgos de Gestión'!$AI$29="Muy Baja",'Riesgos de Gestión'!$AK$29="Menor"),CONCATENATE("R3C",'Riesgos de Gestión'!$V$29),"")</f>
        <v/>
      </c>
      <c r="U48" s="61" t="str">
        <f>IF(AND('Riesgos de Gestión'!$AI$30="Muy Baja",'Riesgos de Gestión'!$AK$30="Menor"),CONCATENATE("R3C",'Riesgos de Gestión'!$V$30),"")</f>
        <v/>
      </c>
      <c r="V48" s="50" t="str">
        <f>IF(AND('Riesgos de Gestión'!$AI$25="Muy Baja",'Riesgos de Gestión'!$AK$25="Moderado"),CONCATENATE("R3C",'Riesgos de Gestión'!$V$25),"")</f>
        <v/>
      </c>
      <c r="W48" s="51" t="str">
        <f>IF(AND('Riesgos de Gestión'!$AI$26="Muy Baja",'Riesgos de Gestión'!$AK$26="Moderado"),CONCATENATE("R3C",'Riesgos de Gestión'!$V$26),"")</f>
        <v/>
      </c>
      <c r="X48" s="51" t="str">
        <f>IF(AND('Riesgos de Gestión'!$AI$27="Muy Baja",'Riesgos de Gestión'!$AK$27="Moderado"),CONCATENATE("R3C",'Riesgos de Gestión'!$V$27),"")</f>
        <v/>
      </c>
      <c r="Y48" s="51" t="str">
        <f>IF(AND('Riesgos de Gestión'!$AI$28="Muy Baja",'Riesgos de Gestión'!$AK$28="Moderado"),CONCATENATE("R3C",'Riesgos de Gestión'!$V$28),"")</f>
        <v/>
      </c>
      <c r="Z48" s="51" t="str">
        <f>IF(AND('Riesgos de Gestión'!$AI$29="Muy Baja",'Riesgos de Gestión'!$AK$29="Moderado"),CONCATENATE("R3C",'Riesgos de Gestión'!$V$29),"")</f>
        <v/>
      </c>
      <c r="AA48" s="52" t="str">
        <f>IF(AND('Riesgos de Gestión'!$AI$30="Muy Baja",'Riesgos de Gestión'!$AK$30="Moderado"),CONCATENATE("R3C",'Riesgos de Gestión'!$V$30),"")</f>
        <v/>
      </c>
      <c r="AB48" s="35" t="str">
        <f>IF(AND('Riesgos de Gestión'!$AI$25="Muy Baja",'Riesgos de Gestión'!$AK$25="Mayor"),CONCATENATE("R3C",'Riesgos de Gestión'!$V$25),"")</f>
        <v/>
      </c>
      <c r="AC48" s="36" t="str">
        <f>IF(AND('Riesgos de Gestión'!$AI$26="Muy Baja",'Riesgos de Gestión'!$AK$26="Mayor"),CONCATENATE("R3C",'Riesgos de Gestión'!$V$26),"")</f>
        <v/>
      </c>
      <c r="AD48" s="36" t="str">
        <f>IF(AND('Riesgos de Gestión'!$AI$27="Muy Baja",'Riesgos de Gestión'!$AK$27="Mayor"),CONCATENATE("R3C",'Riesgos de Gestión'!$V$27),"")</f>
        <v/>
      </c>
      <c r="AE48" s="36" t="str">
        <f>IF(AND('Riesgos de Gestión'!$AI$28="Muy Baja",'Riesgos de Gestión'!$AK$28="Mayor"),CONCATENATE("R3C",'Riesgos de Gestión'!$V$28),"")</f>
        <v/>
      </c>
      <c r="AF48" s="36" t="str">
        <f>IF(AND('Riesgos de Gestión'!$AI$29="Muy Baja",'Riesgos de Gestión'!$AK$29="Mayor"),CONCATENATE("R3C",'Riesgos de Gestión'!$V$29),"")</f>
        <v/>
      </c>
      <c r="AG48" s="37" t="str">
        <f>IF(AND('Riesgos de Gestión'!$AI$30="Muy Baja",'Riesgos de Gestión'!$AK$30="Mayor"),CONCATENATE("R3C",'Riesgos de Gestión'!$V$30),"")</f>
        <v/>
      </c>
      <c r="AH48" s="38" t="str">
        <f>IF(AND('Riesgos de Gestión'!$AI$25="Muy Baja",'Riesgos de Gestión'!$AK$25="Catastrófico"),CONCATENATE("R3C",'Riesgos de Gestión'!$V$25),"")</f>
        <v/>
      </c>
      <c r="AI48" s="39" t="str">
        <f>IF(AND('Riesgos de Gestión'!$AI$26="Muy Baja",'Riesgos de Gestión'!$AK$26="Catastrófico"),CONCATENATE("R3C",'Riesgos de Gestión'!$V$26),"")</f>
        <v/>
      </c>
      <c r="AJ48" s="39" t="str">
        <f>IF(AND('Riesgos de Gestión'!$AI$27="Muy Baja",'Riesgos de Gestión'!$AK$27="Catastrófico"),CONCATENATE("R3C",'Riesgos de Gestión'!$V$27),"")</f>
        <v/>
      </c>
      <c r="AK48" s="39" t="str">
        <f>IF(AND('Riesgos de Gestión'!$AI$28="Muy Baja",'Riesgos de Gestión'!$AK$28="Catastrófico"),CONCATENATE("R3C",'Riesgos de Gestión'!$V$28),"")</f>
        <v/>
      </c>
      <c r="AL48" s="39" t="str">
        <f>IF(AND('Riesgos de Gestión'!$AI$29="Muy Baja",'Riesgos de Gestión'!$AK$29="Catastrófico"),CONCATENATE("R3C",'Riesgos de Gestión'!$V$29),"")</f>
        <v/>
      </c>
      <c r="AM48" s="40" t="str">
        <f>IF(AND('Riesgos de Gestión'!$AI$30="Muy Baja",'Riesgos de Gestión'!$AK$30="Catastrófico"),CONCATENATE("R3C",'Riesgos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546"/>
      <c r="C49" s="546"/>
      <c r="D49" s="547"/>
      <c r="E49" s="645"/>
      <c r="F49" s="644"/>
      <c r="G49" s="644"/>
      <c r="H49" s="644"/>
      <c r="I49" s="660"/>
      <c r="J49" s="59" t="str">
        <f>IF(AND('Riesgos de Gestión'!$AI$31="Muy Baja",'Riesgos de Gestión'!$AK$31="Leve"),CONCATENATE("R4C",'Riesgos de Gestión'!$V$31),"")</f>
        <v/>
      </c>
      <c r="K49" s="60" t="str">
        <f>IF(AND('Riesgos de Gestión'!$AI$32="Muy Baja",'Riesgos de Gestión'!$AK$32="Leve"),CONCATENATE("R4C",'Riesgos de Gestión'!$V$32),"")</f>
        <v/>
      </c>
      <c r="L49" s="60" t="str">
        <f>IF(AND('Riesgos de Gestión'!$AI$33="Muy Baja",'Riesgos de Gestión'!$AK$33="Leve"),CONCATENATE("R4C",'Riesgos de Gestión'!$V$33),"")</f>
        <v/>
      </c>
      <c r="M49" s="60" t="str">
        <f>IF(AND('Riesgos de Gestión'!$AI$34="Muy Baja",'Riesgos de Gestión'!$AK$34="Leve"),CONCATENATE("R4C",'Riesgos de Gestión'!$V$34),"")</f>
        <v/>
      </c>
      <c r="N49" s="60" t="str">
        <f>IF(AND('Riesgos de Gestión'!$AI$35="Muy Baja",'Riesgos de Gestión'!$AK$35="Leve"),CONCATENATE("R4C",'Riesgos de Gestión'!$V$35),"")</f>
        <v/>
      </c>
      <c r="O49" s="61" t="str">
        <f>IF(AND('Riesgos de Gestión'!$AI$36="Muy Baja",'Riesgos de Gestión'!$AK$36="Leve"),CONCATENATE("R4C",'Riesgos de Gestión'!$V$36),"")</f>
        <v/>
      </c>
      <c r="P49" s="59" t="str">
        <f>IF(AND('Riesgos de Gestión'!$AI$31="Muy Baja",'Riesgos de Gestión'!$AK$31="Menor"),CONCATENATE("R4C",'Riesgos de Gestión'!$V$31),"")</f>
        <v/>
      </c>
      <c r="Q49" s="60" t="str">
        <f>IF(AND('Riesgos de Gestión'!$AI$32="Muy Baja",'Riesgos de Gestión'!$AK$32="Menor"),CONCATENATE("R4C",'Riesgos de Gestión'!$V$32),"")</f>
        <v/>
      </c>
      <c r="R49" s="60" t="str">
        <f>IF(AND('Riesgos de Gestión'!$AI$33="Muy Baja",'Riesgos de Gestión'!$AK$33="Menor"),CONCATENATE("R4C",'Riesgos de Gestión'!$V$33),"")</f>
        <v/>
      </c>
      <c r="S49" s="60" t="str">
        <f>IF(AND('Riesgos de Gestión'!$AI$34="Muy Baja",'Riesgos de Gestión'!$AK$34="Menor"),CONCATENATE("R4C",'Riesgos de Gestión'!$V$34),"")</f>
        <v/>
      </c>
      <c r="T49" s="60" t="str">
        <f>IF(AND('Riesgos de Gestión'!$AI$35="Muy Baja",'Riesgos de Gestión'!$AK$35="Menor"),CONCATENATE("R4C",'Riesgos de Gestión'!$V$35),"")</f>
        <v/>
      </c>
      <c r="U49" s="61" t="str">
        <f>IF(AND('Riesgos de Gestión'!$AI$36="Muy Baja",'Riesgos de Gestión'!$AK$36="Menor"),CONCATENATE("R4C",'Riesgos de Gestión'!$V$36),"")</f>
        <v/>
      </c>
      <c r="V49" s="50" t="str">
        <f>IF(AND('Riesgos de Gestión'!$AI$31="Muy Baja",'Riesgos de Gestión'!$AK$31="Moderado"),CONCATENATE("R4C",'Riesgos de Gestión'!$V$31),"")</f>
        <v/>
      </c>
      <c r="W49" s="51" t="str">
        <f>IF(AND('Riesgos de Gestión'!$AI$32="Muy Baja",'Riesgos de Gestión'!$AK$32="Moderado"),CONCATENATE("R4C",'Riesgos de Gestión'!$V$32),"")</f>
        <v/>
      </c>
      <c r="X49" s="51" t="str">
        <f>IF(AND('Riesgos de Gestión'!$AI$33="Muy Baja",'Riesgos de Gestión'!$AK$33="Moderado"),CONCATENATE("R4C",'Riesgos de Gestión'!$V$33),"")</f>
        <v/>
      </c>
      <c r="Y49" s="51" t="str">
        <f>IF(AND('Riesgos de Gestión'!$AI$34="Muy Baja",'Riesgos de Gestión'!$AK$34="Moderado"),CONCATENATE("R4C",'Riesgos de Gestión'!$V$34),"")</f>
        <v/>
      </c>
      <c r="Z49" s="51" t="str">
        <f>IF(AND('Riesgos de Gestión'!$AI$35="Muy Baja",'Riesgos de Gestión'!$AK$35="Moderado"),CONCATENATE("R4C",'Riesgos de Gestión'!$V$35),"")</f>
        <v/>
      </c>
      <c r="AA49" s="52" t="str">
        <f>IF(AND('Riesgos de Gestión'!$AI$36="Muy Baja",'Riesgos de Gestión'!$AK$36="Moderado"),CONCATENATE("R4C",'Riesgos de Gestión'!$V$36),"")</f>
        <v/>
      </c>
      <c r="AB49" s="35" t="str">
        <f>IF(AND('Riesgos de Gestión'!$AI$31="Muy Baja",'Riesgos de Gestión'!$AK$31="Mayor"),CONCATENATE("R4C",'Riesgos de Gestión'!$V$31),"")</f>
        <v/>
      </c>
      <c r="AC49" s="36" t="str">
        <f>IF(AND('Riesgos de Gestión'!$AI$32="Muy Baja",'Riesgos de Gestión'!$AK$32="Mayor"),CONCATENATE("R4C",'Riesgos de Gestión'!$V$32),"")</f>
        <v/>
      </c>
      <c r="AD49" s="36" t="str">
        <f>IF(AND('Riesgos de Gestión'!$AI$33="Muy Baja",'Riesgos de Gestión'!$AK$33="Mayor"),CONCATENATE("R4C",'Riesgos de Gestión'!$V$33),"")</f>
        <v/>
      </c>
      <c r="AE49" s="36" t="str">
        <f>IF(AND('Riesgos de Gestión'!$AI$34="Muy Baja",'Riesgos de Gestión'!$AK$34="Mayor"),CONCATENATE("R4C",'Riesgos de Gestión'!$V$34),"")</f>
        <v/>
      </c>
      <c r="AF49" s="36" t="str">
        <f>IF(AND('Riesgos de Gestión'!$AI$35="Muy Baja",'Riesgos de Gestión'!$AK$35="Mayor"),CONCATENATE("R4C",'Riesgos de Gestión'!$V$35),"")</f>
        <v/>
      </c>
      <c r="AG49" s="37" t="str">
        <f>IF(AND('Riesgos de Gestión'!$AI$36="Muy Baja",'Riesgos de Gestión'!$AK$36="Mayor"),CONCATENATE("R4C",'Riesgos de Gestión'!$V$36),"")</f>
        <v/>
      </c>
      <c r="AH49" s="38" t="str">
        <f>IF(AND('Riesgos de Gestión'!$AI$31="Muy Baja",'Riesgos de Gestión'!$AK$31="Catastrófico"),CONCATENATE("R4C",'Riesgos de Gestión'!$V$31),"")</f>
        <v/>
      </c>
      <c r="AI49" s="39" t="str">
        <f>IF(AND('Riesgos de Gestión'!$AI$32="Muy Baja",'Riesgos de Gestión'!$AK$32="Catastrófico"),CONCATENATE("R4C",'Riesgos de Gestión'!$V$32),"")</f>
        <v/>
      </c>
      <c r="AJ49" s="39" t="str">
        <f>IF(AND('Riesgos de Gestión'!$AI$33="Muy Baja",'Riesgos de Gestión'!$AK$33="Catastrófico"),CONCATENATE("R4C",'Riesgos de Gestión'!$V$33),"")</f>
        <v/>
      </c>
      <c r="AK49" s="39" t="str">
        <f>IF(AND('Riesgos de Gestión'!$AI$34="Muy Baja",'Riesgos de Gestión'!$AK$34="Catastrófico"),CONCATENATE("R4C",'Riesgos de Gestión'!$V$34),"")</f>
        <v/>
      </c>
      <c r="AL49" s="39" t="str">
        <f>IF(AND('Riesgos de Gestión'!$AI$35="Muy Baja",'Riesgos de Gestión'!$AK$35="Catastrófico"),CONCATENATE("R4C",'Riesgos de Gestión'!$V$35),"")</f>
        <v/>
      </c>
      <c r="AM49" s="40" t="str">
        <f>IF(AND('Riesgos de Gestión'!$AI$36="Muy Baja",'Riesgos de Gestión'!$AK$36="Catastrófico"),CONCATENATE("R4C",'Riesgos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546"/>
      <c r="C50" s="546"/>
      <c r="D50" s="547"/>
      <c r="E50" s="645"/>
      <c r="F50" s="644"/>
      <c r="G50" s="644"/>
      <c r="H50" s="644"/>
      <c r="I50" s="660"/>
      <c r="J50" s="59" t="str">
        <f>IF(AND('Riesgos de Gestión'!$AI$37="Muy Baja",'Riesgos de Gestión'!$AK$37="Leve"),CONCATENATE("R5C",'Riesgos de Gestión'!$V$37),"")</f>
        <v/>
      </c>
      <c r="K50" s="60" t="str">
        <f>IF(AND('Riesgos de Gestión'!$AI$38="Muy Baja",'Riesgos de Gestión'!$AK$38="Leve"),CONCATENATE("R5C",'Riesgos de Gestión'!$V$38),"")</f>
        <v/>
      </c>
      <c r="L50" s="60" t="str">
        <f>IF(AND('Riesgos de Gestión'!$AI$39="Muy Baja",'Riesgos de Gestión'!$AK$39="Leve"),CONCATENATE("R5C",'Riesgos de Gestión'!$V$39),"")</f>
        <v/>
      </c>
      <c r="M50" s="60" t="str">
        <f>IF(AND('Riesgos de Gestión'!$AI$40="Muy Baja",'Riesgos de Gestión'!$AK$40="Leve"),CONCATENATE("R5C",'Riesgos de Gestión'!$V$40),"")</f>
        <v/>
      </c>
      <c r="N50" s="60" t="str">
        <f>IF(AND('Riesgos de Gestión'!$AI$41="Muy Baja",'Riesgos de Gestión'!$AK$41="Leve"),CONCATENATE("R5C",'Riesgos de Gestión'!$V$41),"")</f>
        <v/>
      </c>
      <c r="O50" s="61" t="str">
        <f>IF(AND('Riesgos de Gestión'!$AI$42="Muy Baja",'Riesgos de Gestión'!$AK$42="Leve"),CONCATENATE("R5C",'Riesgos de Gestión'!$V$42),"")</f>
        <v/>
      </c>
      <c r="P50" s="59" t="str">
        <f>IF(AND('Riesgos de Gestión'!$AI$37="Muy Baja",'Riesgos de Gestión'!$AK$37="Menor"),CONCATENATE("R5C",'Riesgos de Gestión'!$V$37),"")</f>
        <v/>
      </c>
      <c r="Q50" s="60" t="str">
        <f>IF(AND('Riesgos de Gestión'!$AI$38="Muy Baja",'Riesgos de Gestión'!$AK$38="Menor"),CONCATENATE("R5C",'Riesgos de Gestión'!$V$38),"")</f>
        <v/>
      </c>
      <c r="R50" s="60" t="str">
        <f>IF(AND('Riesgos de Gestión'!$AI$39="Muy Baja",'Riesgos de Gestión'!$AK$39="Menor"),CONCATENATE("R5C",'Riesgos de Gestión'!$V$39),"")</f>
        <v/>
      </c>
      <c r="S50" s="60" t="str">
        <f>IF(AND('Riesgos de Gestión'!$AI$40="Muy Baja",'Riesgos de Gestión'!$AK$40="Menor"),CONCATENATE("R5C",'Riesgos de Gestión'!$V$40),"")</f>
        <v/>
      </c>
      <c r="T50" s="60" t="str">
        <f>IF(AND('Riesgos de Gestión'!$AI$41="Muy Baja",'Riesgos de Gestión'!$AK$41="Menor"),CONCATENATE("R5C",'Riesgos de Gestión'!$V$41),"")</f>
        <v/>
      </c>
      <c r="U50" s="61" t="str">
        <f>IF(AND('Riesgos de Gestión'!$AI$42="Muy Baja",'Riesgos de Gestión'!$AK$42="Menor"),CONCATENATE("R5C",'Riesgos de Gestión'!$V$42),"")</f>
        <v/>
      </c>
      <c r="V50" s="50" t="str">
        <f>IF(AND('Riesgos de Gestión'!$AI$37="Muy Baja",'Riesgos de Gestión'!$AK$37="Moderado"),CONCATENATE("R5C",'Riesgos de Gestión'!$V$37),"")</f>
        <v/>
      </c>
      <c r="W50" s="51" t="str">
        <f>IF(AND('Riesgos de Gestión'!$AI$38="Muy Baja",'Riesgos de Gestión'!$AK$38="Moderado"),CONCATENATE("R5C",'Riesgos de Gestión'!$V$38),"")</f>
        <v/>
      </c>
      <c r="X50" s="51" t="str">
        <f>IF(AND('Riesgos de Gestión'!$AI$39="Muy Baja",'Riesgos de Gestión'!$AK$39="Moderado"),CONCATENATE("R5C",'Riesgos de Gestión'!$V$39),"")</f>
        <v/>
      </c>
      <c r="Y50" s="51" t="str">
        <f>IF(AND('Riesgos de Gestión'!$AI$40="Muy Baja",'Riesgos de Gestión'!$AK$40="Moderado"),CONCATENATE("R5C",'Riesgos de Gestión'!$V$40),"")</f>
        <v/>
      </c>
      <c r="Z50" s="51" t="str">
        <f>IF(AND('Riesgos de Gestión'!$AI$41="Muy Baja",'Riesgos de Gestión'!$AK$41="Moderado"),CONCATENATE("R5C",'Riesgos de Gestión'!$V$41),"")</f>
        <v/>
      </c>
      <c r="AA50" s="52" t="str">
        <f>IF(AND('Riesgos de Gestión'!$AI$42="Muy Baja",'Riesgos de Gestión'!$AK$42="Moderado"),CONCATENATE("R5C",'Riesgos de Gestión'!$V$42),"")</f>
        <v/>
      </c>
      <c r="AB50" s="35" t="str">
        <f>IF(AND('Riesgos de Gestión'!$AI$37="Muy Baja",'Riesgos de Gestión'!$AK$37="Mayor"),CONCATENATE("R5C",'Riesgos de Gestión'!$V$37),"")</f>
        <v/>
      </c>
      <c r="AC50" s="36" t="str">
        <f>IF(AND('Riesgos de Gestión'!$AI$38="Muy Baja",'Riesgos de Gestión'!$AK$38="Mayor"),CONCATENATE("R5C",'Riesgos de Gestión'!$V$38),"")</f>
        <v/>
      </c>
      <c r="AD50" s="36" t="str">
        <f>IF(AND('Riesgos de Gestión'!$AI$39="Muy Baja",'Riesgos de Gestión'!$AK$39="Mayor"),CONCATENATE("R5C",'Riesgos de Gestión'!$V$39),"")</f>
        <v/>
      </c>
      <c r="AE50" s="36" t="str">
        <f>IF(AND('Riesgos de Gestión'!$AI$40="Muy Baja",'Riesgos de Gestión'!$AK$40="Mayor"),CONCATENATE("R5C",'Riesgos de Gestión'!$V$40),"")</f>
        <v/>
      </c>
      <c r="AF50" s="36" t="str">
        <f>IF(AND('Riesgos de Gestión'!$AI$41="Muy Baja",'Riesgos de Gestión'!$AK$41="Mayor"),CONCATENATE("R5C",'Riesgos de Gestión'!$V$41),"")</f>
        <v/>
      </c>
      <c r="AG50" s="37" t="str">
        <f>IF(AND('Riesgos de Gestión'!$AI$42="Muy Baja",'Riesgos de Gestión'!$AK$42="Mayor"),CONCATENATE("R5C",'Riesgos de Gestión'!$V$42),"")</f>
        <v/>
      </c>
      <c r="AH50" s="38" t="str">
        <f>IF(AND('Riesgos de Gestión'!$AI$37="Muy Baja",'Riesgos de Gestión'!$AK$37="Catastrófico"),CONCATENATE("R5C",'Riesgos de Gestión'!$V$37),"")</f>
        <v/>
      </c>
      <c r="AI50" s="39" t="str">
        <f>IF(AND('Riesgos de Gestión'!$AI$38="Muy Baja",'Riesgos de Gestión'!$AK$38="Catastrófico"),CONCATENATE("R5C",'Riesgos de Gestión'!$V$38),"")</f>
        <v/>
      </c>
      <c r="AJ50" s="39" t="str">
        <f>IF(AND('Riesgos de Gestión'!$AI$39="Muy Baja",'Riesgos de Gestión'!$AK$39="Catastrófico"),CONCATENATE("R5C",'Riesgos de Gestión'!$V$39),"")</f>
        <v/>
      </c>
      <c r="AK50" s="39" t="str">
        <f>IF(AND('Riesgos de Gestión'!$AI$40="Muy Baja",'Riesgos de Gestión'!$AK$40="Catastrófico"),CONCATENATE("R5C",'Riesgos de Gestión'!$V$40),"")</f>
        <v/>
      </c>
      <c r="AL50" s="39" t="str">
        <f>IF(AND('Riesgos de Gestión'!$AI$41="Muy Baja",'Riesgos de Gestión'!$AK$41="Catastrófico"),CONCATENATE("R5C",'Riesgos de Gestión'!$V$41),"")</f>
        <v/>
      </c>
      <c r="AM50" s="40" t="str">
        <f>IF(AND('Riesgos de Gestión'!$AI$42="Muy Baja",'Riesgos de Gestión'!$AK$42="Catastrófico"),CONCATENATE("R5C",'Riesgos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546"/>
      <c r="C51" s="546"/>
      <c r="D51" s="547"/>
      <c r="E51" s="645"/>
      <c r="F51" s="644"/>
      <c r="G51" s="644"/>
      <c r="H51" s="644"/>
      <c r="I51" s="660"/>
      <c r="J51" s="59" t="str">
        <f>IF(AND('Riesgos de Gestión'!$AI$43="Muy Baja",'Riesgos de Gestión'!$AK$43="Leve"),CONCATENATE("R6C",'Riesgos de Gestión'!$V$43),"")</f>
        <v/>
      </c>
      <c r="K51" s="60" t="str">
        <f>IF(AND('Riesgos de Gestión'!$AI$44="Muy Baja",'Riesgos de Gestión'!$AK$44="Leve"),CONCATENATE("R6C",'Riesgos de Gestión'!$V$44),"")</f>
        <v/>
      </c>
      <c r="L51" s="60" t="str">
        <f>IF(AND('Riesgos de Gestión'!$AI$45="Muy Baja",'Riesgos de Gestión'!$AK$45="Leve"),CONCATENATE("R6C",'Riesgos de Gestión'!$V$45),"")</f>
        <v/>
      </c>
      <c r="M51" s="60" t="str">
        <f>IF(AND('Riesgos de Gestión'!$AI$46="Muy Baja",'Riesgos de Gestión'!$AK$46="Leve"),CONCATENATE("R6C",'Riesgos de Gestión'!$V$46),"")</f>
        <v/>
      </c>
      <c r="N51" s="60" t="str">
        <f>IF(AND('Riesgos de Gestión'!$AI$47="Muy Baja",'Riesgos de Gestión'!$AK$47="Leve"),CONCATENATE("R6C",'Riesgos de Gestión'!$V$47),"")</f>
        <v/>
      </c>
      <c r="O51" s="61" t="str">
        <f>IF(AND('Riesgos de Gestión'!$AI$48="Muy Baja",'Riesgos de Gestión'!$AK$48="Leve"),CONCATENATE("R6C",'Riesgos de Gestión'!$V$48),"")</f>
        <v/>
      </c>
      <c r="P51" s="59" t="str">
        <f>IF(AND('Riesgos de Gestión'!$AI$43="Muy Baja",'Riesgos de Gestión'!$AK$43="Menor"),CONCATENATE("R6C",'Riesgos de Gestión'!$V$43),"")</f>
        <v/>
      </c>
      <c r="Q51" s="60" t="str">
        <f>IF(AND('Riesgos de Gestión'!$AI$44="Muy Baja",'Riesgos de Gestión'!$AK$44="Menor"),CONCATENATE("R6C",'Riesgos de Gestión'!$V$44),"")</f>
        <v/>
      </c>
      <c r="R51" s="60" t="str">
        <f>IF(AND('Riesgos de Gestión'!$AI$45="Muy Baja",'Riesgos de Gestión'!$AK$45="Menor"),CONCATENATE("R6C",'Riesgos de Gestión'!$V$45),"")</f>
        <v/>
      </c>
      <c r="S51" s="60" t="str">
        <f>IF(AND('Riesgos de Gestión'!$AI$46="Muy Baja",'Riesgos de Gestión'!$AK$46="Menor"),CONCATENATE("R6C",'Riesgos de Gestión'!$V$46),"")</f>
        <v/>
      </c>
      <c r="T51" s="60" t="str">
        <f>IF(AND('Riesgos de Gestión'!$AI$47="Muy Baja",'Riesgos de Gestión'!$AK$47="Menor"),CONCATENATE("R6C",'Riesgos de Gestión'!$V$47),"")</f>
        <v/>
      </c>
      <c r="U51" s="61" t="str">
        <f>IF(AND('Riesgos de Gestión'!$AI$48="Muy Baja",'Riesgos de Gestión'!$AK$48="Menor"),CONCATENATE("R6C",'Riesgos de Gestión'!$V$48),"")</f>
        <v/>
      </c>
      <c r="V51" s="50" t="str">
        <f>IF(AND('Riesgos de Gestión'!$AI$43="Muy Baja",'Riesgos de Gestión'!$AK$43="Moderado"),CONCATENATE("R6C",'Riesgos de Gestión'!$V$43),"")</f>
        <v/>
      </c>
      <c r="W51" s="51" t="str">
        <f>IF(AND('Riesgos de Gestión'!$AI$44="Muy Baja",'Riesgos de Gestión'!$AK$44="Moderado"),CONCATENATE("R6C",'Riesgos de Gestión'!$V$44),"")</f>
        <v/>
      </c>
      <c r="X51" s="51" t="str">
        <f>IF(AND('Riesgos de Gestión'!$AI$45="Muy Baja",'Riesgos de Gestión'!$AK$45="Moderado"),CONCATENATE("R6C",'Riesgos de Gestión'!$V$45),"")</f>
        <v/>
      </c>
      <c r="Y51" s="51" t="str">
        <f>IF(AND('Riesgos de Gestión'!$AI$46="Muy Baja",'Riesgos de Gestión'!$AK$46="Moderado"),CONCATENATE("R6C",'Riesgos de Gestión'!$V$46),"")</f>
        <v/>
      </c>
      <c r="Z51" s="51" t="str">
        <f>IF(AND('Riesgos de Gestión'!$AI$47="Muy Baja",'Riesgos de Gestión'!$AK$47="Moderado"),CONCATENATE("R6C",'Riesgos de Gestión'!$V$47),"")</f>
        <v/>
      </c>
      <c r="AA51" s="52" t="str">
        <f>IF(AND('Riesgos de Gestión'!$AI$48="Muy Baja",'Riesgos de Gestión'!$AK$48="Moderado"),CONCATENATE("R6C",'Riesgos de Gestión'!$V$48),"")</f>
        <v/>
      </c>
      <c r="AB51" s="35" t="str">
        <f>IF(AND('Riesgos de Gestión'!$AI$43="Muy Baja",'Riesgos de Gestión'!$AK$43="Mayor"),CONCATENATE("R6C",'Riesgos de Gestión'!$V$43),"")</f>
        <v/>
      </c>
      <c r="AC51" s="36" t="str">
        <f>IF(AND('Riesgos de Gestión'!$AI$44="Muy Baja",'Riesgos de Gestión'!$AK$44="Mayor"),CONCATENATE("R6C",'Riesgos de Gestión'!$V$44),"")</f>
        <v/>
      </c>
      <c r="AD51" s="36" t="str">
        <f>IF(AND('Riesgos de Gestión'!$AI$45="Muy Baja",'Riesgos de Gestión'!$AK$45="Mayor"),CONCATENATE("R6C",'Riesgos de Gestión'!$V$45),"")</f>
        <v/>
      </c>
      <c r="AE51" s="36" t="str">
        <f>IF(AND('Riesgos de Gestión'!$AI$46="Muy Baja",'Riesgos de Gestión'!$AK$46="Mayor"),CONCATENATE("R6C",'Riesgos de Gestión'!$V$46),"")</f>
        <v/>
      </c>
      <c r="AF51" s="36" t="str">
        <f>IF(AND('Riesgos de Gestión'!$AI$47="Muy Baja",'Riesgos de Gestión'!$AK$47="Mayor"),CONCATENATE("R6C",'Riesgos de Gestión'!$V$47),"")</f>
        <v/>
      </c>
      <c r="AG51" s="37" t="str">
        <f>IF(AND('Riesgos de Gestión'!$AI$48="Muy Baja",'Riesgos de Gestión'!$AK$48="Mayor"),CONCATENATE("R6C",'Riesgos de Gestión'!$V$48),"")</f>
        <v/>
      </c>
      <c r="AH51" s="38" t="str">
        <f>IF(AND('Riesgos de Gestión'!$AI$43="Muy Baja",'Riesgos de Gestión'!$AK$43="Catastrófico"),CONCATENATE("R6C",'Riesgos de Gestión'!$V$43),"")</f>
        <v/>
      </c>
      <c r="AI51" s="39" t="str">
        <f>IF(AND('Riesgos de Gestión'!$AI$44="Muy Baja",'Riesgos de Gestión'!$AK$44="Catastrófico"),CONCATENATE("R6C",'Riesgos de Gestión'!$V$44),"")</f>
        <v/>
      </c>
      <c r="AJ51" s="39" t="str">
        <f>IF(AND('Riesgos de Gestión'!$AI$45="Muy Baja",'Riesgos de Gestión'!$AK$45="Catastrófico"),CONCATENATE("R6C",'Riesgos de Gestión'!$V$45),"")</f>
        <v/>
      </c>
      <c r="AK51" s="39" t="str">
        <f>IF(AND('Riesgos de Gestión'!$AI$46="Muy Baja",'Riesgos de Gestión'!$AK$46="Catastrófico"),CONCATENATE("R6C",'Riesgos de Gestión'!$V$46),"")</f>
        <v/>
      </c>
      <c r="AL51" s="39" t="str">
        <f>IF(AND('Riesgos de Gestión'!$AI$47="Muy Baja",'Riesgos de Gestión'!$AK$47="Catastrófico"),CONCATENATE("R6C",'Riesgos de Gestión'!$V$47),"")</f>
        <v/>
      </c>
      <c r="AM51" s="40" t="str">
        <f>IF(AND('Riesgos de Gestión'!$AI$48="Muy Baja",'Riesgos de Gestión'!$AK$48="Catastrófico"),CONCATENATE("R6C",'Riesgos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546"/>
      <c r="C52" s="546"/>
      <c r="D52" s="547"/>
      <c r="E52" s="645"/>
      <c r="F52" s="644"/>
      <c r="G52" s="644"/>
      <c r="H52" s="644"/>
      <c r="I52" s="660"/>
      <c r="J52" s="59" t="str">
        <f>IF(AND('Riesgos de Gestión'!$AI$49="Muy Baja",'Riesgos de Gestión'!$AK$49="Leve"),CONCATENATE("R7C",'Riesgos de Gestión'!$V$49),"")</f>
        <v/>
      </c>
      <c r="K52" s="60" t="str">
        <f>IF(AND('Riesgos de Gestión'!$AI$50="Muy Baja",'Riesgos de Gestión'!$AK$50="Leve"),CONCATENATE("R7C",'Riesgos de Gestión'!$V$50),"")</f>
        <v/>
      </c>
      <c r="L52" s="60" t="str">
        <f>IF(AND('Riesgos de Gestión'!$AI$51="Muy Baja",'Riesgos de Gestión'!$AK$51="Leve"),CONCATENATE("R7C",'Riesgos de Gestión'!$V$51),"")</f>
        <v/>
      </c>
      <c r="M52" s="60" t="str">
        <f>IF(AND('Riesgos de Gestión'!$AI$52="Muy Baja",'Riesgos de Gestión'!$AK$52="Leve"),CONCATENATE("R7C",'Riesgos de Gestión'!$V$52),"")</f>
        <v/>
      </c>
      <c r="N52" s="60" t="str">
        <f>IF(AND('Riesgos de Gestión'!$AI$53="Muy Baja",'Riesgos de Gestión'!$AK$53="Leve"),CONCATENATE("R7C",'Riesgos de Gestión'!$V$53),"")</f>
        <v/>
      </c>
      <c r="O52" s="61" t="str">
        <f>IF(AND('Riesgos de Gestión'!$AI$54="Muy Baja",'Riesgos de Gestión'!$AK$54="Leve"),CONCATENATE("R7C",'Riesgos de Gestión'!$V$54),"")</f>
        <v/>
      </c>
      <c r="P52" s="59" t="str">
        <f>IF(AND('Riesgos de Gestión'!$AI$49="Muy Baja",'Riesgos de Gestión'!$AK$49="Menor"),CONCATENATE("R7C",'Riesgos de Gestión'!$V$49),"")</f>
        <v/>
      </c>
      <c r="Q52" s="60" t="str">
        <f>IF(AND('Riesgos de Gestión'!$AI$50="Muy Baja",'Riesgos de Gestión'!$AK$50="Menor"),CONCATENATE("R7C",'Riesgos de Gestión'!$V$50),"")</f>
        <v/>
      </c>
      <c r="R52" s="60" t="str">
        <f>IF(AND('Riesgos de Gestión'!$AI$51="Muy Baja",'Riesgos de Gestión'!$AK$51="Menor"),CONCATENATE("R7C",'Riesgos de Gestión'!$V$51),"")</f>
        <v/>
      </c>
      <c r="S52" s="60" t="str">
        <f>IF(AND('Riesgos de Gestión'!$AI$52="Muy Baja",'Riesgos de Gestión'!$AK$52="Menor"),CONCATENATE("R7C",'Riesgos de Gestión'!$V$52),"")</f>
        <v/>
      </c>
      <c r="T52" s="60" t="str">
        <f>IF(AND('Riesgos de Gestión'!$AI$53="Muy Baja",'Riesgos de Gestión'!$AK$53="Menor"),CONCATENATE("R7C",'Riesgos de Gestión'!$V$53),"")</f>
        <v/>
      </c>
      <c r="U52" s="61" t="str">
        <f>IF(AND('Riesgos de Gestión'!$AI$54="Muy Baja",'Riesgos de Gestión'!$AK$54="Menor"),CONCATENATE("R7C",'Riesgos de Gestión'!$V$54),"")</f>
        <v/>
      </c>
      <c r="V52" s="50" t="str">
        <f>IF(AND('Riesgos de Gestión'!$AI$49="Muy Baja",'Riesgos de Gestión'!$AK$49="Moderado"),CONCATENATE("R7C",'Riesgos de Gestión'!$V$49),"")</f>
        <v/>
      </c>
      <c r="W52" s="51" t="str">
        <f>IF(AND('Riesgos de Gestión'!$AI$50="Muy Baja",'Riesgos de Gestión'!$AK$50="Moderado"),CONCATENATE("R7C",'Riesgos de Gestión'!$V$50),"")</f>
        <v/>
      </c>
      <c r="X52" s="51" t="str">
        <f>IF(AND('Riesgos de Gestión'!$AI$51="Muy Baja",'Riesgos de Gestión'!$AK$51="Moderado"),CONCATENATE("R7C",'Riesgos de Gestión'!$V$51),"")</f>
        <v/>
      </c>
      <c r="Y52" s="51" t="str">
        <f>IF(AND('Riesgos de Gestión'!$AI$52="Muy Baja",'Riesgos de Gestión'!$AK$52="Moderado"),CONCATENATE("R7C",'Riesgos de Gestión'!$V$52),"")</f>
        <v/>
      </c>
      <c r="Z52" s="51" t="str">
        <f>IF(AND('Riesgos de Gestión'!$AI$53="Muy Baja",'Riesgos de Gestión'!$AK$53="Moderado"),CONCATENATE("R7C",'Riesgos de Gestión'!$V$53),"")</f>
        <v/>
      </c>
      <c r="AA52" s="52" t="str">
        <f>IF(AND('Riesgos de Gestión'!$AI$54="Muy Baja",'Riesgos de Gestión'!$AK$54="Moderado"),CONCATENATE("R7C",'Riesgos de Gestión'!$V$54),"")</f>
        <v/>
      </c>
      <c r="AB52" s="35" t="str">
        <f>IF(AND('Riesgos de Gestión'!$AI$49="Muy Baja",'Riesgos de Gestión'!$AK$49="Mayor"),CONCATENATE("R7C",'Riesgos de Gestión'!$V$49),"")</f>
        <v/>
      </c>
      <c r="AC52" s="36" t="str">
        <f>IF(AND('Riesgos de Gestión'!$AI$50="Muy Baja",'Riesgos de Gestión'!$AK$50="Mayor"),CONCATENATE("R7C",'Riesgos de Gestión'!$V$50),"")</f>
        <v/>
      </c>
      <c r="AD52" s="36" t="str">
        <f>IF(AND('Riesgos de Gestión'!$AI$51="Muy Baja",'Riesgos de Gestión'!$AK$51="Mayor"),CONCATENATE("R7C",'Riesgos de Gestión'!$V$51),"")</f>
        <v/>
      </c>
      <c r="AE52" s="36" t="str">
        <f>IF(AND('Riesgos de Gestión'!$AI$52="Muy Baja",'Riesgos de Gestión'!$AK$52="Mayor"),CONCATENATE("R7C",'Riesgos de Gestión'!$V$52),"")</f>
        <v/>
      </c>
      <c r="AF52" s="36" t="str">
        <f>IF(AND('Riesgos de Gestión'!$AI$53="Muy Baja",'Riesgos de Gestión'!$AK$53="Mayor"),CONCATENATE("R7C",'Riesgos de Gestión'!$V$53),"")</f>
        <v/>
      </c>
      <c r="AG52" s="37" t="str">
        <f>IF(AND('Riesgos de Gestión'!$AI$54="Muy Baja",'Riesgos de Gestión'!$AK$54="Mayor"),CONCATENATE("R7C",'Riesgos de Gestión'!$V$54),"")</f>
        <v/>
      </c>
      <c r="AH52" s="38" t="str">
        <f>IF(AND('Riesgos de Gestión'!$AI$49="Muy Baja",'Riesgos de Gestión'!$AK$49="Catastrófico"),CONCATENATE("R7C",'Riesgos de Gestión'!$V$49),"")</f>
        <v/>
      </c>
      <c r="AI52" s="39" t="str">
        <f>IF(AND('Riesgos de Gestión'!$AI$50="Muy Baja",'Riesgos de Gestión'!$AK$50="Catastrófico"),CONCATENATE("R7C",'Riesgos de Gestión'!$V$50),"")</f>
        <v/>
      </c>
      <c r="AJ52" s="39" t="str">
        <f>IF(AND('Riesgos de Gestión'!$AI$51="Muy Baja",'Riesgos de Gestión'!$AK$51="Catastrófico"),CONCATENATE("R7C",'Riesgos de Gestión'!$V$51),"")</f>
        <v/>
      </c>
      <c r="AK52" s="39" t="str">
        <f>IF(AND('Riesgos de Gestión'!$AI$52="Muy Baja",'Riesgos de Gestión'!$AK$52="Catastrófico"),CONCATENATE("R7C",'Riesgos de Gestión'!$V$52),"")</f>
        <v/>
      </c>
      <c r="AL52" s="39" t="str">
        <f>IF(AND('Riesgos de Gestión'!$AI$53="Muy Baja",'Riesgos de Gestión'!$AK$53="Catastrófico"),CONCATENATE("R7C",'Riesgos de Gestión'!$V$53),"")</f>
        <v/>
      </c>
      <c r="AM52" s="40" t="str">
        <f>IF(AND('Riesgos de Gestión'!$AI$54="Muy Baja",'Riesgos de Gestión'!$AK$54="Catastrófico"),CONCATENATE("R7C",'Riesgos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546"/>
      <c r="C53" s="546"/>
      <c r="D53" s="547"/>
      <c r="E53" s="645"/>
      <c r="F53" s="644"/>
      <c r="G53" s="644"/>
      <c r="H53" s="644"/>
      <c r="I53" s="660"/>
      <c r="J53" s="59" t="str">
        <f>IF(AND('Riesgos de Gestión'!$AI$55="Muy Baja",'Riesgos de Gestión'!$AK$55="Leve"),CONCATENATE("R8C",'Riesgos de Gestión'!$V$55),"")</f>
        <v/>
      </c>
      <c r="K53" s="60" t="str">
        <f>IF(AND('Riesgos de Gestión'!$AI$56="Muy Baja",'Riesgos de Gestión'!$AK$56="Leve"),CONCATENATE("R8C",'Riesgos de Gestión'!$V$56),"")</f>
        <v/>
      </c>
      <c r="L53" s="60" t="str">
        <f>IF(AND('Riesgos de Gestión'!$AI$57="Muy Baja",'Riesgos de Gestión'!$AK$57="Leve"),CONCATENATE("R8C",'Riesgos de Gestión'!$V$57),"")</f>
        <v/>
      </c>
      <c r="M53" s="60" t="str">
        <f>IF(AND('Riesgos de Gestión'!$AI$58="Muy Baja",'Riesgos de Gestión'!$AK$58="Leve"),CONCATENATE("R8C",'Riesgos de Gestión'!$V$58),"")</f>
        <v/>
      </c>
      <c r="N53" s="60" t="str">
        <f>IF(AND('Riesgos de Gestión'!$AI$59="Muy Baja",'Riesgos de Gestión'!$AK$59="Leve"),CONCATENATE("R8C",'Riesgos de Gestión'!$V$59),"")</f>
        <v/>
      </c>
      <c r="O53" s="61" t="str">
        <f>IF(AND('Riesgos de Gestión'!$AI$60="Muy Baja",'Riesgos de Gestión'!$AK$60="Leve"),CONCATENATE("R8C",'Riesgos de Gestión'!$V$60),"")</f>
        <v/>
      </c>
      <c r="P53" s="59" t="str">
        <f>IF(AND('Riesgos de Gestión'!$AI$55="Muy Baja",'Riesgos de Gestión'!$AK$55="Menor"),CONCATENATE("R8C",'Riesgos de Gestión'!$V$55),"")</f>
        <v/>
      </c>
      <c r="Q53" s="60" t="str">
        <f>IF(AND('Riesgos de Gestión'!$AI$56="Muy Baja",'Riesgos de Gestión'!$AK$56="Menor"),CONCATENATE("R8C",'Riesgos de Gestión'!$V$56),"")</f>
        <v/>
      </c>
      <c r="R53" s="60" t="str">
        <f>IF(AND('Riesgos de Gestión'!$AI$57="Muy Baja",'Riesgos de Gestión'!$AK$57="Menor"),CONCATENATE("R8C",'Riesgos de Gestión'!$V$57),"")</f>
        <v/>
      </c>
      <c r="S53" s="60" t="str">
        <f>IF(AND('Riesgos de Gestión'!$AI$58="Muy Baja",'Riesgos de Gestión'!$AK$58="Menor"),CONCATENATE("R8C",'Riesgos de Gestión'!$V$58),"")</f>
        <v/>
      </c>
      <c r="T53" s="60" t="str">
        <f>IF(AND('Riesgos de Gestión'!$AI$59="Muy Baja",'Riesgos de Gestión'!$AK$59="Menor"),CONCATENATE("R8C",'Riesgos de Gestión'!$V$59),"")</f>
        <v/>
      </c>
      <c r="U53" s="61" t="str">
        <f>IF(AND('Riesgos de Gestión'!$AI$60="Muy Baja",'Riesgos de Gestión'!$AK$60="Menor"),CONCATENATE("R8C",'Riesgos de Gestión'!$V$60),"")</f>
        <v/>
      </c>
      <c r="V53" s="50" t="str">
        <f>IF(AND('Riesgos de Gestión'!$AI$55="Muy Baja",'Riesgos de Gestión'!$AK$55="Moderado"),CONCATENATE("R8C",'Riesgos de Gestión'!$V$55),"")</f>
        <v/>
      </c>
      <c r="W53" s="51" t="str">
        <f>IF(AND('Riesgos de Gestión'!$AI$56="Muy Baja",'Riesgos de Gestión'!$AK$56="Moderado"),CONCATENATE("R8C",'Riesgos de Gestión'!$V$56),"")</f>
        <v/>
      </c>
      <c r="X53" s="51" t="str">
        <f>IF(AND('Riesgos de Gestión'!$AI$57="Muy Baja",'Riesgos de Gestión'!$AK$57="Moderado"),CONCATENATE("R8C",'Riesgos de Gestión'!$V$57),"")</f>
        <v/>
      </c>
      <c r="Y53" s="51" t="str">
        <f>IF(AND('Riesgos de Gestión'!$AI$58="Muy Baja",'Riesgos de Gestión'!$AK$58="Moderado"),CONCATENATE("R8C",'Riesgos de Gestión'!$V$58),"")</f>
        <v/>
      </c>
      <c r="Z53" s="51" t="str">
        <f>IF(AND('Riesgos de Gestión'!$AI$59="Muy Baja",'Riesgos de Gestión'!$AK$59="Moderado"),CONCATENATE("R8C",'Riesgos de Gestión'!$V$59),"")</f>
        <v/>
      </c>
      <c r="AA53" s="52" t="str">
        <f>IF(AND('Riesgos de Gestión'!$AI$60="Muy Baja",'Riesgos de Gestión'!$AK$60="Moderado"),CONCATENATE("R8C",'Riesgos de Gestión'!$V$60),"")</f>
        <v/>
      </c>
      <c r="AB53" s="35" t="str">
        <f>IF(AND('Riesgos de Gestión'!$AI$55="Muy Baja",'Riesgos de Gestión'!$AK$55="Mayor"),CONCATENATE("R8C",'Riesgos de Gestión'!$V$55),"")</f>
        <v/>
      </c>
      <c r="AC53" s="36" t="str">
        <f>IF(AND('Riesgos de Gestión'!$AI$56="Muy Baja",'Riesgos de Gestión'!$AK$56="Mayor"),CONCATENATE("R8C",'Riesgos de Gestión'!$V$56),"")</f>
        <v/>
      </c>
      <c r="AD53" s="36" t="str">
        <f>IF(AND('Riesgos de Gestión'!$AI$57="Muy Baja",'Riesgos de Gestión'!$AK$57="Mayor"),CONCATENATE("R8C",'Riesgos de Gestión'!$V$57),"")</f>
        <v/>
      </c>
      <c r="AE53" s="36" t="str">
        <f>IF(AND('Riesgos de Gestión'!$AI$58="Muy Baja",'Riesgos de Gestión'!$AK$58="Mayor"),CONCATENATE("R8C",'Riesgos de Gestión'!$V$58),"")</f>
        <v/>
      </c>
      <c r="AF53" s="36" t="str">
        <f>IF(AND('Riesgos de Gestión'!$AI$59="Muy Baja",'Riesgos de Gestión'!$AK$59="Mayor"),CONCATENATE("R8C",'Riesgos de Gestión'!$V$59),"")</f>
        <v/>
      </c>
      <c r="AG53" s="37" t="str">
        <f>IF(AND('Riesgos de Gestión'!$AI$60="Muy Baja",'Riesgos de Gestión'!$AK$60="Mayor"),CONCATENATE("R8C",'Riesgos de Gestión'!$V$60),"")</f>
        <v/>
      </c>
      <c r="AH53" s="38" t="str">
        <f>IF(AND('Riesgos de Gestión'!$AI$55="Muy Baja",'Riesgos de Gestión'!$AK$55="Catastrófico"),CONCATENATE("R8C",'Riesgos de Gestión'!$V$55),"")</f>
        <v/>
      </c>
      <c r="AI53" s="39" t="str">
        <f>IF(AND('Riesgos de Gestión'!$AI$56="Muy Baja",'Riesgos de Gestión'!$AK$56="Catastrófico"),CONCATENATE("R8C",'Riesgos de Gestión'!$V$56),"")</f>
        <v/>
      </c>
      <c r="AJ53" s="39" t="str">
        <f>IF(AND('Riesgos de Gestión'!$AI$57="Muy Baja",'Riesgos de Gestión'!$AK$57="Catastrófico"),CONCATENATE("R8C",'Riesgos de Gestión'!$V$57),"")</f>
        <v/>
      </c>
      <c r="AK53" s="39" t="str">
        <f>IF(AND('Riesgos de Gestión'!$AI$58="Muy Baja",'Riesgos de Gestión'!$AK$58="Catastrófico"),CONCATENATE("R8C",'Riesgos de Gestión'!$V$58),"")</f>
        <v/>
      </c>
      <c r="AL53" s="39" t="str">
        <f>IF(AND('Riesgos de Gestión'!$AI$59="Muy Baja",'Riesgos de Gestión'!$AK$59="Catastrófico"),CONCATENATE("R8C",'Riesgos de Gestión'!$V$59),"")</f>
        <v/>
      </c>
      <c r="AM53" s="40" t="str">
        <f>IF(AND('Riesgos de Gestión'!$AI$60="Muy Baja",'Riesgos de Gestión'!$AK$60="Catastrófico"),CONCATENATE("R8C",'Riesgos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546"/>
      <c r="C54" s="546"/>
      <c r="D54" s="547"/>
      <c r="E54" s="645"/>
      <c r="F54" s="644"/>
      <c r="G54" s="644"/>
      <c r="H54" s="644"/>
      <c r="I54" s="660"/>
      <c r="J54" s="59" t="str">
        <f>IF(AND('Riesgos de Gestión'!$AI$61="Muy Baja",'Riesgos de Gestión'!$AK$61="Leve"),CONCATENATE("R9C",'Riesgos de Gestión'!$V$61),"")</f>
        <v/>
      </c>
      <c r="K54" s="60" t="str">
        <f>IF(AND('Riesgos de Gestión'!$AI$62="Muy Baja",'Riesgos de Gestión'!$AK$62="Leve"),CONCATENATE("R9C",'Riesgos de Gestión'!$V$62),"")</f>
        <v/>
      </c>
      <c r="L54" s="60" t="str">
        <f>IF(AND('Riesgos de Gestión'!$AI$63="Muy Baja",'Riesgos de Gestión'!$AK$63="Leve"),CONCATENATE("R9C",'Riesgos de Gestión'!$V$63),"")</f>
        <v/>
      </c>
      <c r="M54" s="60" t="str">
        <f>IF(AND('Riesgos de Gestión'!$AI$64="Muy Baja",'Riesgos de Gestión'!$AK$64="Leve"),CONCATENATE("R9C",'Riesgos de Gestión'!$V$64),"")</f>
        <v/>
      </c>
      <c r="N54" s="60" t="str">
        <f>IF(AND('Riesgos de Gestión'!$AI$65="Muy Baja",'Riesgos de Gestión'!$AK$65="Leve"),CONCATENATE("R9C",'Riesgos de Gestión'!$V$65),"")</f>
        <v/>
      </c>
      <c r="O54" s="61" t="str">
        <f>IF(AND('Riesgos de Gestión'!$AI$66="Muy Baja",'Riesgos de Gestión'!$AK$66="Leve"),CONCATENATE("R9C",'Riesgos de Gestión'!$V$66),"")</f>
        <v/>
      </c>
      <c r="P54" s="59" t="str">
        <f>IF(AND('Riesgos de Gestión'!$AI$61="Muy Baja",'Riesgos de Gestión'!$AK$61="Menor"),CONCATENATE("R9C",'Riesgos de Gestión'!$V$61),"")</f>
        <v/>
      </c>
      <c r="Q54" s="60" t="str">
        <f>IF(AND('Riesgos de Gestión'!$AI$62="Muy Baja",'Riesgos de Gestión'!$AK$62="Menor"),CONCATENATE("R9C",'Riesgos de Gestión'!$V$62),"")</f>
        <v/>
      </c>
      <c r="R54" s="60" t="str">
        <f>IF(AND('Riesgos de Gestión'!$AI$63="Muy Baja",'Riesgos de Gestión'!$AK$63="Menor"),CONCATENATE("R9C",'Riesgos de Gestión'!$V$63),"")</f>
        <v/>
      </c>
      <c r="S54" s="60" t="str">
        <f>IF(AND('Riesgos de Gestión'!$AI$64="Muy Baja",'Riesgos de Gestión'!$AK$64="Menor"),CONCATENATE("R9C",'Riesgos de Gestión'!$V$64),"")</f>
        <v/>
      </c>
      <c r="T54" s="60" t="str">
        <f>IF(AND('Riesgos de Gestión'!$AI$65="Muy Baja",'Riesgos de Gestión'!$AK$65="Menor"),CONCATENATE("R9C",'Riesgos de Gestión'!$V$65),"")</f>
        <v/>
      </c>
      <c r="U54" s="61" t="str">
        <f>IF(AND('Riesgos de Gestión'!$AI$66="Muy Baja",'Riesgos de Gestión'!$AK$66="Menor"),CONCATENATE("R9C",'Riesgos de Gestión'!$V$66),"")</f>
        <v/>
      </c>
      <c r="V54" s="50" t="str">
        <f>IF(AND('Riesgos de Gestión'!$AI$61="Muy Baja",'Riesgos de Gestión'!$AK$61="Moderado"),CONCATENATE("R9C",'Riesgos de Gestión'!$V$61),"")</f>
        <v/>
      </c>
      <c r="W54" s="51" t="str">
        <f>IF(AND('Riesgos de Gestión'!$AI$62="Muy Baja",'Riesgos de Gestión'!$AK$62="Moderado"),CONCATENATE("R9C",'Riesgos de Gestión'!$V$62),"")</f>
        <v/>
      </c>
      <c r="X54" s="51" t="str">
        <f>IF(AND('Riesgos de Gestión'!$AI$63="Muy Baja",'Riesgos de Gestión'!$AK$63="Moderado"),CONCATENATE("R9C",'Riesgos de Gestión'!$V$63),"")</f>
        <v/>
      </c>
      <c r="Y54" s="51" t="str">
        <f>IF(AND('Riesgos de Gestión'!$AI$64="Muy Baja",'Riesgos de Gestión'!$AK$64="Moderado"),CONCATENATE("R9C",'Riesgos de Gestión'!$V$64),"")</f>
        <v/>
      </c>
      <c r="Z54" s="51" t="str">
        <f>IF(AND('Riesgos de Gestión'!$AI$65="Muy Baja",'Riesgos de Gestión'!$AK$65="Moderado"),CONCATENATE("R9C",'Riesgos de Gestión'!$V$65),"")</f>
        <v/>
      </c>
      <c r="AA54" s="52" t="str">
        <f>IF(AND('Riesgos de Gestión'!$AI$66="Muy Baja",'Riesgos de Gestión'!$AK$66="Moderado"),CONCATENATE("R9C",'Riesgos de Gestión'!$V$66),"")</f>
        <v/>
      </c>
      <c r="AB54" s="35" t="str">
        <f>IF(AND('Riesgos de Gestión'!$AI$61="Muy Baja",'Riesgos de Gestión'!$AK$61="Mayor"),CONCATENATE("R9C",'Riesgos de Gestión'!$V$61),"")</f>
        <v/>
      </c>
      <c r="AC54" s="36" t="str">
        <f>IF(AND('Riesgos de Gestión'!$AI$62="Muy Baja",'Riesgos de Gestión'!$AK$62="Mayor"),CONCATENATE("R9C",'Riesgos de Gestión'!$V$62),"")</f>
        <v/>
      </c>
      <c r="AD54" s="36" t="str">
        <f>IF(AND('Riesgos de Gestión'!$AI$63="Muy Baja",'Riesgos de Gestión'!$AK$63="Mayor"),CONCATENATE("R9C",'Riesgos de Gestión'!$V$63),"")</f>
        <v/>
      </c>
      <c r="AE54" s="36" t="str">
        <f>IF(AND('Riesgos de Gestión'!$AI$64="Muy Baja",'Riesgos de Gestión'!$AK$64="Mayor"),CONCATENATE("R9C",'Riesgos de Gestión'!$V$64),"")</f>
        <v/>
      </c>
      <c r="AF54" s="36" t="str">
        <f>IF(AND('Riesgos de Gestión'!$AI$65="Muy Baja",'Riesgos de Gestión'!$AK$65="Mayor"),CONCATENATE("R9C",'Riesgos de Gestión'!$V$65),"")</f>
        <v/>
      </c>
      <c r="AG54" s="37" t="str">
        <f>IF(AND('Riesgos de Gestión'!$AI$66="Muy Baja",'Riesgos de Gestión'!$AK$66="Mayor"),CONCATENATE("R9C",'Riesgos de Gestión'!$V$66),"")</f>
        <v/>
      </c>
      <c r="AH54" s="38" t="str">
        <f>IF(AND('Riesgos de Gestión'!$AI$61="Muy Baja",'Riesgos de Gestión'!$AK$61="Catastrófico"),CONCATENATE("R9C",'Riesgos de Gestión'!$V$61),"")</f>
        <v/>
      </c>
      <c r="AI54" s="39" t="str">
        <f>IF(AND('Riesgos de Gestión'!$AI$62="Muy Baja",'Riesgos de Gestión'!$AK$62="Catastrófico"),CONCATENATE("R9C",'Riesgos de Gestión'!$V$62),"")</f>
        <v/>
      </c>
      <c r="AJ54" s="39" t="str">
        <f>IF(AND('Riesgos de Gestión'!$AI$63="Muy Baja",'Riesgos de Gestión'!$AK$63="Catastrófico"),CONCATENATE("R9C",'Riesgos de Gestión'!$V$63),"")</f>
        <v/>
      </c>
      <c r="AK54" s="39" t="str">
        <f>IF(AND('Riesgos de Gestión'!$AI$64="Muy Baja",'Riesgos de Gestión'!$AK$64="Catastrófico"),CONCATENATE("R9C",'Riesgos de Gestión'!$V$64),"")</f>
        <v/>
      </c>
      <c r="AL54" s="39" t="str">
        <f>IF(AND('Riesgos de Gestión'!$AI$65="Muy Baja",'Riesgos de Gestión'!$AK$65="Catastrófico"),CONCATENATE("R9C",'Riesgos de Gestión'!$V$65),"")</f>
        <v/>
      </c>
      <c r="AM54" s="40" t="str">
        <f>IF(AND('Riesgos de Gestión'!$AI$66="Muy Baja",'Riesgos de Gestión'!$AK$66="Catastrófico"),CONCATENATE("R9C",'Riesgos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546"/>
      <c r="C55" s="546"/>
      <c r="D55" s="547"/>
      <c r="E55" s="646"/>
      <c r="F55" s="647"/>
      <c r="G55" s="647"/>
      <c r="H55" s="647"/>
      <c r="I55" s="661"/>
      <c r="J55" s="62" t="str">
        <f>IF(AND('Riesgos de Gestión'!$AI$67="Muy Baja",'Riesgos de Gestión'!$AK$67="Leve"),CONCATENATE("R10C",'Riesgos de Gestión'!$V$67),"")</f>
        <v/>
      </c>
      <c r="K55" s="63" t="str">
        <f>IF(AND('Riesgos de Gestión'!$AI$68="Muy Baja",'Riesgos de Gestión'!$AK$68="Leve"),CONCATENATE("R10C",'Riesgos de Gestión'!$V$68),"")</f>
        <v/>
      </c>
      <c r="L55" s="63" t="str">
        <f>IF(AND('Riesgos de Gestión'!$AI$69="Muy Baja",'Riesgos de Gestión'!$AK$69="Leve"),CONCATENATE("R10C",'Riesgos de Gestión'!$V$69),"")</f>
        <v/>
      </c>
      <c r="M55" s="63" t="str">
        <f>IF(AND('Riesgos de Gestión'!$AI$70="Muy Baja",'Riesgos de Gestión'!$AK$70="Leve"),CONCATENATE("R10C",'Riesgos de Gestión'!$V$70),"")</f>
        <v/>
      </c>
      <c r="N55" s="63" t="str">
        <f>IF(AND('Riesgos de Gestión'!$AI$71="Muy Baja",'Riesgos de Gestión'!$AK$71="Leve"),CONCATENATE("R10C",'Riesgos de Gestión'!$V$71),"")</f>
        <v/>
      </c>
      <c r="O55" s="64" t="str">
        <f>IF(AND('Riesgos de Gestión'!$AI$72="Muy Baja",'Riesgos de Gestión'!$AK$72="Leve"),CONCATENATE("R10C",'Riesgos de Gestión'!$V$72),"")</f>
        <v/>
      </c>
      <c r="P55" s="62" t="str">
        <f>IF(AND('Riesgos de Gestión'!$AI$67="Muy Baja",'Riesgos de Gestión'!$AK$67="Menor"),CONCATENATE("R10C",'Riesgos de Gestión'!$V$67),"")</f>
        <v/>
      </c>
      <c r="Q55" s="63" t="str">
        <f>IF(AND('Riesgos de Gestión'!$AI$68="Muy Baja",'Riesgos de Gestión'!$AK$68="Menor"),CONCATENATE("R10C",'Riesgos de Gestión'!$V$68),"")</f>
        <v/>
      </c>
      <c r="R55" s="63" t="str">
        <f>IF(AND('Riesgos de Gestión'!$AI$69="Muy Baja",'Riesgos de Gestión'!$AK$69="Menor"),CONCATENATE("R10C",'Riesgos de Gestión'!$V$69),"")</f>
        <v/>
      </c>
      <c r="S55" s="63" t="str">
        <f>IF(AND('Riesgos de Gestión'!$AI$70="Muy Baja",'Riesgos de Gestión'!$AK$70="Menor"),CONCATENATE("R10C",'Riesgos de Gestión'!$V$70),"")</f>
        <v/>
      </c>
      <c r="T55" s="63" t="str">
        <f>IF(AND('Riesgos de Gestión'!$AI$71="Muy Baja",'Riesgos de Gestión'!$AK$71="Menor"),CONCATENATE("R10C",'Riesgos de Gestión'!$V$71),"")</f>
        <v/>
      </c>
      <c r="U55" s="64" t="str">
        <f>IF(AND('Riesgos de Gestión'!$AI$72="Muy Baja",'Riesgos de Gestión'!$AK$72="Menor"),CONCATENATE("R10C",'Riesgos de Gestión'!$V$72),"")</f>
        <v/>
      </c>
      <c r="V55" s="53" t="str">
        <f>IF(AND('Riesgos de Gestión'!$AI$67="Muy Baja",'Riesgos de Gestión'!$AK$67="Moderado"),CONCATENATE("R10C",'Riesgos de Gestión'!$V$67),"")</f>
        <v/>
      </c>
      <c r="W55" s="54" t="str">
        <f>IF(AND('Riesgos de Gestión'!$AI$68="Muy Baja",'Riesgos de Gestión'!$AK$68="Moderado"),CONCATENATE("R10C",'Riesgos de Gestión'!$V$68),"")</f>
        <v/>
      </c>
      <c r="X55" s="54" t="str">
        <f>IF(AND('Riesgos de Gestión'!$AI$69="Muy Baja",'Riesgos de Gestión'!$AK$69="Moderado"),CONCATENATE("R10C",'Riesgos de Gestión'!$V$69),"")</f>
        <v/>
      </c>
      <c r="Y55" s="54" t="str">
        <f>IF(AND('Riesgos de Gestión'!$AI$70="Muy Baja",'Riesgos de Gestión'!$AK$70="Moderado"),CONCATENATE("R10C",'Riesgos de Gestión'!$V$70),"")</f>
        <v/>
      </c>
      <c r="Z55" s="54" t="str">
        <f>IF(AND('Riesgos de Gestión'!$AI$71="Muy Baja",'Riesgos de Gestión'!$AK$71="Moderado"),CONCATENATE("R10C",'Riesgos de Gestión'!$V$71),"")</f>
        <v/>
      </c>
      <c r="AA55" s="55" t="str">
        <f>IF(AND('Riesgos de Gestión'!$AI$72="Muy Baja",'Riesgos de Gestión'!$AK$72="Moderado"),CONCATENATE("R10C",'Riesgos de Gestión'!$V$72),"")</f>
        <v/>
      </c>
      <c r="AB55" s="41" t="str">
        <f>IF(AND('Riesgos de Gestión'!$AI$67="Muy Baja",'Riesgos de Gestión'!$AK$67="Mayor"),CONCATENATE("R10C",'Riesgos de Gestión'!$V$67),"")</f>
        <v/>
      </c>
      <c r="AC55" s="42" t="str">
        <f>IF(AND('Riesgos de Gestión'!$AI$68="Muy Baja",'Riesgos de Gestión'!$AK$68="Mayor"),CONCATENATE("R10C",'Riesgos de Gestión'!$V$68),"")</f>
        <v/>
      </c>
      <c r="AD55" s="42" t="str">
        <f>IF(AND('Riesgos de Gestión'!$AI$69="Muy Baja",'Riesgos de Gestión'!$AK$69="Mayor"),CONCATENATE("R10C",'Riesgos de Gestión'!$V$69),"")</f>
        <v/>
      </c>
      <c r="AE55" s="42" t="str">
        <f>IF(AND('Riesgos de Gestión'!$AI$70="Muy Baja",'Riesgos de Gestión'!$AK$70="Mayor"),CONCATENATE("R10C",'Riesgos de Gestión'!$V$70),"")</f>
        <v/>
      </c>
      <c r="AF55" s="42" t="str">
        <f>IF(AND('Riesgos de Gestión'!$AI$71="Muy Baja",'Riesgos de Gestión'!$AK$71="Mayor"),CONCATENATE("R10C",'Riesgos de Gestión'!$V$71),"")</f>
        <v/>
      </c>
      <c r="AG55" s="43" t="str">
        <f>IF(AND('Riesgos de Gestión'!$AI$72="Muy Baja",'Riesgos de Gestión'!$AK$72="Mayor"),CONCATENATE("R10C",'Riesgos de Gestión'!$V$72),"")</f>
        <v/>
      </c>
      <c r="AH55" s="44" t="str">
        <f>IF(AND('Riesgos de Gestión'!$AI$67="Muy Baja",'Riesgos de Gestión'!$AK$67="Catastrófico"),CONCATENATE("R10C",'Riesgos de Gestión'!$V$67),"")</f>
        <v/>
      </c>
      <c r="AI55" s="45" t="str">
        <f>IF(AND('Riesgos de Gestión'!$AI$68="Muy Baja",'Riesgos de Gestión'!$AK$68="Catastrófico"),CONCATENATE("R10C",'Riesgos de Gestión'!$V$68),"")</f>
        <v/>
      </c>
      <c r="AJ55" s="45" t="str">
        <f>IF(AND('Riesgos de Gestión'!$AI$69="Muy Baja",'Riesgos de Gestión'!$AK$69="Catastrófico"),CONCATENATE("R10C",'Riesgos de Gestión'!$V$69),"")</f>
        <v/>
      </c>
      <c r="AK55" s="45" t="str">
        <f>IF(AND('Riesgos de Gestión'!$AI$70="Muy Baja",'Riesgos de Gestión'!$AK$70="Catastrófico"),CONCATENATE("R10C",'Riesgos de Gestión'!$V$70),"")</f>
        <v/>
      </c>
      <c r="AL55" s="45" t="str">
        <f>IF(AND('Riesgos de Gestión'!$AI$71="Muy Baja",'Riesgos de Gestión'!$AK$71="Catastrófico"),CONCATENATE("R10C",'Riesgos de Gestión'!$V$71),"")</f>
        <v/>
      </c>
      <c r="AM55" s="46" t="str">
        <f>IF(AND('Riesgos de Gestión'!$AI$72="Muy Baja",'Riesgos de Gestión'!$AK$72="Catastrófico"),CONCATENATE("R10C",'Riesgos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41" t="s">
        <v>496</v>
      </c>
      <c r="K56" s="642"/>
      <c r="L56" s="642"/>
      <c r="M56" s="642"/>
      <c r="N56" s="642"/>
      <c r="O56" s="659"/>
      <c r="P56" s="641" t="s">
        <v>497</v>
      </c>
      <c r="Q56" s="642"/>
      <c r="R56" s="642"/>
      <c r="S56" s="642"/>
      <c r="T56" s="642"/>
      <c r="U56" s="659"/>
      <c r="V56" s="641" t="s">
        <v>498</v>
      </c>
      <c r="W56" s="642"/>
      <c r="X56" s="642"/>
      <c r="Y56" s="642"/>
      <c r="Z56" s="642"/>
      <c r="AA56" s="659"/>
      <c r="AB56" s="641" t="s">
        <v>499</v>
      </c>
      <c r="AC56" s="680"/>
      <c r="AD56" s="642"/>
      <c r="AE56" s="642"/>
      <c r="AF56" s="642"/>
      <c r="AG56" s="659"/>
      <c r="AH56" s="641" t="s">
        <v>500</v>
      </c>
      <c r="AI56" s="642"/>
      <c r="AJ56" s="642"/>
      <c r="AK56" s="642"/>
      <c r="AL56" s="642"/>
      <c r="AM56" s="659"/>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45"/>
      <c r="K57" s="644"/>
      <c r="L57" s="644"/>
      <c r="M57" s="644"/>
      <c r="N57" s="644"/>
      <c r="O57" s="660"/>
      <c r="P57" s="645"/>
      <c r="Q57" s="644"/>
      <c r="R57" s="644"/>
      <c r="S57" s="644"/>
      <c r="T57" s="644"/>
      <c r="U57" s="660"/>
      <c r="V57" s="645"/>
      <c r="W57" s="644"/>
      <c r="X57" s="644"/>
      <c r="Y57" s="644"/>
      <c r="Z57" s="644"/>
      <c r="AA57" s="660"/>
      <c r="AB57" s="645"/>
      <c r="AC57" s="644"/>
      <c r="AD57" s="644"/>
      <c r="AE57" s="644"/>
      <c r="AF57" s="644"/>
      <c r="AG57" s="660"/>
      <c r="AH57" s="645"/>
      <c r="AI57" s="644"/>
      <c r="AJ57" s="644"/>
      <c r="AK57" s="644"/>
      <c r="AL57" s="644"/>
      <c r="AM57" s="66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45"/>
      <c r="K58" s="644"/>
      <c r="L58" s="644"/>
      <c r="M58" s="644"/>
      <c r="N58" s="644"/>
      <c r="O58" s="660"/>
      <c r="P58" s="645"/>
      <c r="Q58" s="644"/>
      <c r="R58" s="644"/>
      <c r="S58" s="644"/>
      <c r="T58" s="644"/>
      <c r="U58" s="660"/>
      <c r="V58" s="645"/>
      <c r="W58" s="644"/>
      <c r="X58" s="644"/>
      <c r="Y58" s="644"/>
      <c r="Z58" s="644"/>
      <c r="AA58" s="660"/>
      <c r="AB58" s="645"/>
      <c r="AC58" s="644"/>
      <c r="AD58" s="644"/>
      <c r="AE58" s="644"/>
      <c r="AF58" s="644"/>
      <c r="AG58" s="660"/>
      <c r="AH58" s="645"/>
      <c r="AI58" s="644"/>
      <c r="AJ58" s="644"/>
      <c r="AK58" s="644"/>
      <c r="AL58" s="644"/>
      <c r="AM58" s="66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45"/>
      <c r="K59" s="644"/>
      <c r="L59" s="644"/>
      <c r="M59" s="644"/>
      <c r="N59" s="644"/>
      <c r="O59" s="660"/>
      <c r="P59" s="645"/>
      <c r="Q59" s="644"/>
      <c r="R59" s="644"/>
      <c r="S59" s="644"/>
      <c r="T59" s="644"/>
      <c r="U59" s="660"/>
      <c r="V59" s="645"/>
      <c r="W59" s="644"/>
      <c r="X59" s="644"/>
      <c r="Y59" s="644"/>
      <c r="Z59" s="644"/>
      <c r="AA59" s="660"/>
      <c r="AB59" s="645"/>
      <c r="AC59" s="644"/>
      <c r="AD59" s="644"/>
      <c r="AE59" s="644"/>
      <c r="AF59" s="644"/>
      <c r="AG59" s="660"/>
      <c r="AH59" s="645"/>
      <c r="AI59" s="644"/>
      <c r="AJ59" s="644"/>
      <c r="AK59" s="644"/>
      <c r="AL59" s="644"/>
      <c r="AM59" s="66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45"/>
      <c r="K60" s="644"/>
      <c r="L60" s="644"/>
      <c r="M60" s="644"/>
      <c r="N60" s="644"/>
      <c r="O60" s="660"/>
      <c r="P60" s="645"/>
      <c r="Q60" s="644"/>
      <c r="R60" s="644"/>
      <c r="S60" s="644"/>
      <c r="T60" s="644"/>
      <c r="U60" s="660"/>
      <c r="V60" s="645"/>
      <c r="W60" s="644"/>
      <c r="X60" s="644"/>
      <c r="Y60" s="644"/>
      <c r="Z60" s="644"/>
      <c r="AA60" s="660"/>
      <c r="AB60" s="645"/>
      <c r="AC60" s="644"/>
      <c r="AD60" s="644"/>
      <c r="AE60" s="644"/>
      <c r="AF60" s="644"/>
      <c r="AG60" s="660"/>
      <c r="AH60" s="645"/>
      <c r="AI60" s="644"/>
      <c r="AJ60" s="644"/>
      <c r="AK60" s="644"/>
      <c r="AL60" s="644"/>
      <c r="AM60" s="66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646"/>
      <c r="K61" s="647"/>
      <c r="L61" s="647"/>
      <c r="M61" s="647"/>
      <c r="N61" s="647"/>
      <c r="O61" s="661"/>
      <c r="P61" s="646"/>
      <c r="Q61" s="647"/>
      <c r="R61" s="647"/>
      <c r="S61" s="647"/>
      <c r="T61" s="647"/>
      <c r="U61" s="661"/>
      <c r="V61" s="646"/>
      <c r="W61" s="647"/>
      <c r="X61" s="647"/>
      <c r="Y61" s="647"/>
      <c r="Z61" s="647"/>
      <c r="AA61" s="661"/>
      <c r="AB61" s="646"/>
      <c r="AC61" s="647"/>
      <c r="AD61" s="647"/>
      <c r="AE61" s="647"/>
      <c r="AF61" s="647"/>
      <c r="AG61" s="661"/>
      <c r="AH61" s="646"/>
      <c r="AI61" s="647"/>
      <c r="AJ61" s="647"/>
      <c r="AK61" s="647"/>
      <c r="AL61" s="647"/>
      <c r="AM61" s="66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5E3E-26B1-42B5-8353-F57FA040CC8C}">
  <sheetPr>
    <tabColor rgb="FF002060"/>
  </sheetPr>
  <dimension ref="A1:JN76"/>
  <sheetViews>
    <sheetView topLeftCell="A12" zoomScale="80" zoomScaleNormal="80" zoomScaleSheetLayoutView="50" zoomScalePageLayoutView="60" workbookViewId="0">
      <selection activeCell="E25" sqref="E25:E30"/>
    </sheetView>
  </sheetViews>
  <sheetFormatPr baseColWidth="10" defaultColWidth="11.42578125" defaultRowHeight="15" x14ac:dyDescent="0.2"/>
  <cols>
    <col min="1" max="1" width="6.5703125" style="203" customWidth="1"/>
    <col min="2" max="2" width="22.7109375" style="203" customWidth="1"/>
    <col min="3" max="3" width="25.140625" style="203" customWidth="1"/>
    <col min="4" max="4" width="38.5703125" style="203" customWidth="1"/>
    <col min="5" max="5" width="25.28515625" style="203" customWidth="1"/>
    <col min="6" max="6" width="51.140625" style="203" customWidth="1"/>
    <col min="7" max="7" width="17.7109375" style="185" customWidth="1"/>
    <col min="8" max="9" width="18.85546875" style="185" customWidth="1"/>
    <col min="10" max="10" width="24.28515625" style="185" customWidth="1"/>
    <col min="11" max="11" width="19.42578125" style="185" customWidth="1"/>
    <col min="12" max="12" width="20.5703125" style="185" customWidth="1"/>
    <col min="13" max="13" width="16.7109375" style="204" customWidth="1"/>
    <col min="14" max="14" width="16.7109375" style="185" customWidth="1"/>
    <col min="15" max="15" width="20.42578125" style="185" customWidth="1"/>
    <col min="16" max="16" width="23.28515625" style="185" customWidth="1"/>
    <col min="17" max="17" width="23.28515625" style="185" hidden="1" customWidth="1"/>
    <col min="18" max="18" width="23.28515625" style="185" customWidth="1"/>
    <col min="19" max="19" width="17.5703125" style="185" customWidth="1"/>
    <col min="20" max="20" width="15" style="185" customWidth="1"/>
    <col min="21" max="21" width="5.140625" style="185" customWidth="1"/>
    <col min="22" max="22" width="29.85546875" style="185" customWidth="1"/>
    <col min="23" max="23" width="11.7109375" style="185" customWidth="1"/>
    <col min="24" max="24" width="33.5703125" style="185" customWidth="1"/>
    <col min="25" max="25" width="32.7109375" style="185" customWidth="1"/>
    <col min="26" max="26" width="19.7109375" style="185" hidden="1" customWidth="1"/>
    <col min="27" max="27" width="5.85546875" style="185" customWidth="1"/>
    <col min="28" max="28" width="6.85546875" style="185" customWidth="1"/>
    <col min="29" max="29" width="5" style="185" hidden="1" customWidth="1"/>
    <col min="30" max="30" width="5.5703125" style="185" customWidth="1"/>
    <col min="31" max="31" width="7.140625" style="185" customWidth="1"/>
    <col min="32" max="32" width="6.7109375" style="185" customWidth="1"/>
    <col min="33" max="33" width="7.5703125" style="185" hidden="1" customWidth="1"/>
    <col min="34" max="34" width="8.5703125" style="185" customWidth="1"/>
    <col min="35" max="39" width="10.85546875" style="185" customWidth="1"/>
    <col min="40" max="40" width="33.28515625" style="202" customWidth="1"/>
    <col min="41" max="41" width="23" style="185" customWidth="1"/>
    <col min="42" max="42" width="18.85546875" style="185" customWidth="1"/>
    <col min="43" max="43" width="23.7109375" style="185" customWidth="1"/>
    <col min="44" max="44" width="22.42578125" style="185" customWidth="1"/>
    <col min="45" max="45" width="16.42578125" style="185" customWidth="1"/>
    <col min="46" max="46" width="20.5703125" style="185" customWidth="1"/>
    <col min="47" max="16384" width="11.42578125" style="185"/>
  </cols>
  <sheetData>
    <row r="1" spans="1:274" s="187" customFormat="1" ht="20.25" x14ac:dyDescent="0.3">
      <c r="A1" s="476"/>
      <c r="B1" s="477"/>
      <c r="C1" s="478"/>
      <c r="D1" s="465" t="s">
        <v>421</v>
      </c>
      <c r="E1" s="466"/>
      <c r="F1" s="466"/>
      <c r="G1" s="466"/>
      <c r="H1" s="466"/>
      <c r="I1" s="466"/>
      <c r="J1" s="466"/>
      <c r="K1" s="466"/>
      <c r="L1" s="466"/>
      <c r="M1" s="466"/>
      <c r="N1" s="466"/>
      <c r="O1" s="466"/>
      <c r="P1" s="466"/>
      <c r="Q1" s="466"/>
      <c r="R1" s="466"/>
      <c r="S1" s="467"/>
      <c r="T1" s="234"/>
      <c r="U1" s="234"/>
      <c r="V1" s="234"/>
      <c r="W1" s="234"/>
      <c r="X1" s="234"/>
      <c r="Y1" s="234"/>
      <c r="Z1" s="492"/>
      <c r="AA1" s="492"/>
      <c r="AB1" s="492"/>
      <c r="AC1" s="492"/>
      <c r="AD1" s="492"/>
      <c r="AE1" s="492"/>
      <c r="AF1" s="492"/>
      <c r="AG1" s="492"/>
      <c r="AH1" s="492"/>
      <c r="AI1" s="492"/>
      <c r="AJ1" s="492"/>
      <c r="AK1" s="492"/>
      <c r="AL1" s="492"/>
      <c r="AM1" s="492"/>
      <c r="AN1" s="492"/>
      <c r="AO1" s="492"/>
      <c r="AP1" s="492"/>
      <c r="AQ1" s="492"/>
      <c r="AR1" s="492"/>
      <c r="AS1" s="492"/>
      <c r="AT1" s="492"/>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row>
    <row r="2" spans="1:274" s="187" customFormat="1" ht="21" thickBot="1" x14ac:dyDescent="0.35">
      <c r="A2" s="479"/>
      <c r="B2" s="480"/>
      <c r="C2" s="481"/>
      <c r="D2" s="468"/>
      <c r="E2" s="469"/>
      <c r="F2" s="469"/>
      <c r="G2" s="469"/>
      <c r="H2" s="469"/>
      <c r="I2" s="469"/>
      <c r="J2" s="469"/>
      <c r="K2" s="469"/>
      <c r="L2" s="469"/>
      <c r="M2" s="469"/>
      <c r="N2" s="469"/>
      <c r="O2" s="469"/>
      <c r="P2" s="469"/>
      <c r="Q2" s="469"/>
      <c r="R2" s="469"/>
      <c r="S2" s="470"/>
      <c r="T2" s="234"/>
      <c r="U2" s="234"/>
      <c r="V2" s="234"/>
      <c r="W2" s="234"/>
      <c r="X2" s="234"/>
      <c r="Y2" s="234"/>
      <c r="Z2" s="492"/>
      <c r="AA2" s="492"/>
      <c r="AB2" s="492"/>
      <c r="AC2" s="492"/>
      <c r="AD2" s="492"/>
      <c r="AE2" s="492"/>
      <c r="AF2" s="492"/>
      <c r="AG2" s="492"/>
      <c r="AH2" s="492"/>
      <c r="AI2" s="492"/>
      <c r="AJ2" s="492"/>
      <c r="AK2" s="492"/>
      <c r="AL2" s="492"/>
      <c r="AM2" s="492"/>
      <c r="AN2" s="492"/>
      <c r="AO2" s="492"/>
      <c r="AP2" s="492"/>
      <c r="AQ2" s="492"/>
      <c r="AR2" s="492"/>
      <c r="AS2" s="492"/>
      <c r="AT2" s="492"/>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row>
    <row r="3" spans="1:274" s="187" customFormat="1" ht="27.75" customHeight="1" thickBot="1" x14ac:dyDescent="0.35">
      <c r="A3" s="479"/>
      <c r="B3" s="480"/>
      <c r="C3" s="481"/>
      <c r="D3" s="471" t="s">
        <v>422</v>
      </c>
      <c r="E3" s="472"/>
      <c r="F3" s="472"/>
      <c r="G3" s="472"/>
      <c r="H3" s="473"/>
      <c r="I3" s="471" t="s">
        <v>423</v>
      </c>
      <c r="J3" s="472"/>
      <c r="K3" s="472"/>
      <c r="L3" s="472"/>
      <c r="M3" s="472"/>
      <c r="N3" s="472"/>
      <c r="O3" s="472"/>
      <c r="P3" s="472"/>
      <c r="Q3" s="472"/>
      <c r="R3" s="472"/>
      <c r="S3" s="473"/>
      <c r="T3" s="235"/>
      <c r="U3" s="235"/>
      <c r="V3" s="235"/>
      <c r="W3" s="235"/>
      <c r="X3" s="235"/>
      <c r="Y3" s="234"/>
      <c r="Z3" s="493"/>
      <c r="AA3" s="493"/>
      <c r="AB3" s="493"/>
      <c r="AC3" s="493"/>
      <c r="AD3" s="493"/>
      <c r="AE3" s="493"/>
      <c r="AF3" s="493"/>
      <c r="AG3" s="493"/>
      <c r="AH3" s="493"/>
      <c r="AI3" s="493"/>
      <c r="AJ3" s="493"/>
      <c r="AK3" s="493"/>
      <c r="AL3" s="493"/>
      <c r="AM3" s="493"/>
      <c r="AN3" s="493"/>
      <c r="AO3" s="493"/>
      <c r="AP3" s="493"/>
      <c r="AQ3" s="493"/>
      <c r="AR3" s="493"/>
      <c r="AS3" s="493"/>
      <c r="AT3" s="493"/>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row>
    <row r="4" spans="1:274" s="187" customFormat="1" ht="27.75" customHeight="1" thickBot="1" x14ac:dyDescent="0.35">
      <c r="A4" s="482"/>
      <c r="B4" s="483"/>
      <c r="C4" s="484"/>
      <c r="D4" s="471" t="s">
        <v>424</v>
      </c>
      <c r="E4" s="472"/>
      <c r="F4" s="472"/>
      <c r="G4" s="472"/>
      <c r="H4" s="472"/>
      <c r="I4" s="472"/>
      <c r="J4" s="472"/>
      <c r="K4" s="472"/>
      <c r="L4" s="472"/>
      <c r="M4" s="472"/>
      <c r="N4" s="472"/>
      <c r="O4" s="472"/>
      <c r="P4" s="472"/>
      <c r="Q4" s="472"/>
      <c r="R4" s="472"/>
      <c r="S4" s="473"/>
      <c r="T4" s="234"/>
      <c r="U4" s="234"/>
      <c r="V4" s="234"/>
      <c r="W4" s="234"/>
      <c r="X4" s="234"/>
      <c r="Y4" s="234"/>
      <c r="Z4" s="493"/>
      <c r="AA4" s="493"/>
      <c r="AB4" s="493"/>
      <c r="AC4" s="493"/>
      <c r="AD4" s="493"/>
      <c r="AE4" s="493"/>
      <c r="AF4" s="493"/>
      <c r="AG4" s="493"/>
      <c r="AH4" s="493"/>
      <c r="AI4" s="493"/>
      <c r="AJ4" s="493"/>
      <c r="AK4" s="493"/>
      <c r="AL4" s="493"/>
      <c r="AM4" s="493"/>
      <c r="AN4" s="493"/>
      <c r="AO4" s="493"/>
      <c r="AP4" s="493"/>
      <c r="AQ4" s="493"/>
      <c r="AR4" s="493"/>
      <c r="AS4" s="493"/>
      <c r="AT4" s="493"/>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row>
    <row r="5" spans="1:274" ht="15.75" thickBot="1" x14ac:dyDescent="0.25">
      <c r="A5" s="188"/>
      <c r="B5" s="189"/>
      <c r="C5" s="188"/>
      <c r="D5" s="188"/>
      <c r="E5" s="188"/>
      <c r="F5" s="188"/>
      <c r="G5" s="190"/>
      <c r="H5" s="190"/>
      <c r="I5" s="190"/>
      <c r="J5" s="190"/>
      <c r="K5" s="190"/>
      <c r="L5" s="190"/>
      <c r="M5" s="191"/>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236"/>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row>
    <row r="6" spans="1:274" ht="27" customHeight="1" thickBot="1" x14ac:dyDescent="0.25">
      <c r="A6" s="494" t="s">
        <v>425</v>
      </c>
      <c r="B6" s="495"/>
      <c r="C6" s="681" t="s">
        <v>69</v>
      </c>
      <c r="D6" s="682"/>
      <c r="E6" s="682"/>
      <c r="F6" s="682"/>
      <c r="G6" s="682"/>
      <c r="H6" s="682"/>
      <c r="I6" s="682"/>
      <c r="J6" s="682"/>
      <c r="K6" s="682"/>
      <c r="L6" s="682"/>
      <c r="M6" s="682"/>
      <c r="N6" s="682"/>
      <c r="O6" s="682"/>
      <c r="P6" s="682"/>
      <c r="Q6" s="682"/>
      <c r="R6" s="682"/>
      <c r="S6" s="683"/>
      <c r="T6" s="237"/>
      <c r="U6" s="237"/>
      <c r="V6" s="237"/>
      <c r="W6" s="237"/>
      <c r="X6" s="237"/>
      <c r="Y6" s="500"/>
      <c r="Z6" s="500"/>
      <c r="AA6" s="500"/>
      <c r="AB6" s="491"/>
      <c r="AC6" s="491"/>
      <c r="AD6" s="491"/>
      <c r="AE6" s="491"/>
      <c r="AF6" s="491"/>
      <c r="AG6" s="491"/>
      <c r="AH6" s="491"/>
      <c r="AI6" s="491"/>
      <c r="AJ6" s="491"/>
      <c r="AK6" s="491"/>
      <c r="AL6" s="491"/>
      <c r="AM6" s="491"/>
      <c r="AN6" s="491"/>
      <c r="AO6" s="491"/>
      <c r="AP6" s="491"/>
      <c r="AQ6" s="491"/>
      <c r="AR6" s="491"/>
      <c r="AS6" s="491"/>
      <c r="AT6" s="491"/>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row>
    <row r="7" spans="1:274" ht="27" customHeight="1" thickBot="1" x14ac:dyDescent="0.3">
      <c r="A7" s="496" t="s">
        <v>427</v>
      </c>
      <c r="B7" s="497"/>
      <c r="C7" s="462" t="s">
        <v>748</v>
      </c>
      <c r="D7" s="463"/>
      <c r="E7" s="463"/>
      <c r="F7" s="463"/>
      <c r="G7" s="463"/>
      <c r="H7" s="463"/>
      <c r="I7" s="463"/>
      <c r="J7" s="463"/>
      <c r="K7" s="463"/>
      <c r="L7" s="463"/>
      <c r="M7" s="463"/>
      <c r="N7" s="463"/>
      <c r="O7" s="463"/>
      <c r="P7" s="463"/>
      <c r="Q7" s="463"/>
      <c r="R7" s="463"/>
      <c r="S7" s="464"/>
      <c r="T7" s="238"/>
      <c r="U7" s="238"/>
      <c r="V7" s="238"/>
      <c r="W7" s="238"/>
      <c r="X7" s="238"/>
      <c r="Y7" s="239"/>
      <c r="Z7" s="239"/>
      <c r="AA7" s="239"/>
      <c r="AB7" s="491"/>
      <c r="AC7" s="491"/>
      <c r="AD7" s="491"/>
      <c r="AE7" s="491"/>
      <c r="AF7" s="491"/>
      <c r="AG7" s="491"/>
      <c r="AH7" s="491"/>
      <c r="AI7" s="491"/>
      <c r="AJ7" s="491"/>
      <c r="AK7" s="491"/>
      <c r="AL7" s="491"/>
      <c r="AM7" s="491"/>
      <c r="AN7" s="491"/>
      <c r="AO7" s="491"/>
      <c r="AP7" s="491"/>
      <c r="AQ7" s="491"/>
      <c r="AR7" s="491"/>
      <c r="AS7" s="491"/>
      <c r="AT7" s="491"/>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row>
    <row r="8" spans="1:274" ht="27" customHeight="1" thickBot="1" x14ac:dyDescent="0.3">
      <c r="A8" s="498" t="s">
        <v>428</v>
      </c>
      <c r="B8" s="499"/>
      <c r="C8" s="462" t="s">
        <v>749</v>
      </c>
      <c r="D8" s="463"/>
      <c r="E8" s="463"/>
      <c r="F8" s="463"/>
      <c r="G8" s="463"/>
      <c r="H8" s="463"/>
      <c r="I8" s="463"/>
      <c r="J8" s="463"/>
      <c r="K8" s="463"/>
      <c r="L8" s="463"/>
      <c r="M8" s="463"/>
      <c r="N8" s="463"/>
      <c r="O8" s="463"/>
      <c r="P8" s="463"/>
      <c r="Q8" s="463"/>
      <c r="R8" s="463"/>
      <c r="S8" s="464"/>
      <c r="T8" s="238"/>
      <c r="U8" s="238"/>
      <c r="V8" s="238"/>
      <c r="W8" s="238"/>
      <c r="X8" s="238"/>
      <c r="Y8" s="239"/>
      <c r="Z8" s="239"/>
      <c r="AA8" s="239"/>
      <c r="AB8" s="491"/>
      <c r="AC8" s="491"/>
      <c r="AD8" s="491"/>
      <c r="AE8" s="491"/>
      <c r="AF8" s="491"/>
      <c r="AG8" s="491"/>
      <c r="AH8" s="491"/>
      <c r="AI8" s="491"/>
      <c r="AJ8" s="491"/>
      <c r="AK8" s="491"/>
      <c r="AL8" s="491"/>
      <c r="AM8" s="491"/>
      <c r="AN8" s="491"/>
      <c r="AO8" s="491"/>
      <c r="AP8" s="491"/>
      <c r="AQ8" s="491"/>
      <c r="AR8" s="491"/>
      <c r="AS8" s="491"/>
      <c r="AT8" s="491"/>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row>
    <row r="9" spans="1:274"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4"/>
      <c r="Z9" s="194"/>
      <c r="AA9" s="194"/>
      <c r="AB9" s="195"/>
      <c r="AC9" s="195"/>
      <c r="AD9" s="195"/>
      <c r="AE9" s="195"/>
      <c r="AF9" s="195"/>
      <c r="AG9" s="195"/>
      <c r="AH9" s="195"/>
      <c r="AI9" s="195"/>
      <c r="AJ9" s="195"/>
      <c r="AK9" s="195"/>
      <c r="AL9" s="195"/>
      <c r="AM9" s="195"/>
      <c r="AN9" s="195"/>
      <c r="AO9" s="195"/>
      <c r="AP9" s="195"/>
      <c r="AQ9" s="195"/>
      <c r="AR9" s="195"/>
      <c r="AS9" s="195"/>
      <c r="AT9" s="195"/>
    </row>
    <row r="10" spans="1:274" ht="27.75" customHeight="1" x14ac:dyDescent="0.2">
      <c r="A10" s="506" t="s">
        <v>429</v>
      </c>
      <c r="B10" s="507"/>
      <c r="C10" s="507"/>
      <c r="D10" s="507"/>
      <c r="E10" s="507"/>
      <c r="F10" s="507"/>
      <c r="G10" s="534" t="s">
        <v>430</v>
      </c>
      <c r="H10" s="535"/>
      <c r="I10" s="535"/>
      <c r="J10" s="536"/>
      <c r="K10" s="540" t="s">
        <v>431</v>
      </c>
      <c r="L10" s="541"/>
      <c r="M10" s="542" t="s">
        <v>432</v>
      </c>
      <c r="N10" s="543"/>
      <c r="O10" s="543"/>
      <c r="P10" s="543"/>
      <c r="Q10" s="543"/>
      <c r="R10" s="543"/>
      <c r="S10" s="543"/>
      <c r="T10" s="543"/>
      <c r="U10" s="507" t="s">
        <v>433</v>
      </c>
      <c r="V10" s="507"/>
      <c r="W10" s="507"/>
      <c r="X10" s="507"/>
      <c r="Y10" s="507"/>
      <c r="Z10" s="507"/>
      <c r="AA10" s="507"/>
      <c r="AB10" s="507"/>
      <c r="AC10" s="507"/>
      <c r="AD10" s="507"/>
      <c r="AE10" s="507"/>
      <c r="AF10" s="507"/>
      <c r="AG10" s="508"/>
      <c r="AH10" s="537" t="s">
        <v>434</v>
      </c>
      <c r="AI10" s="538"/>
      <c r="AJ10" s="538"/>
      <c r="AK10" s="538"/>
      <c r="AL10" s="539"/>
      <c r="AM10" s="506" t="s">
        <v>435</v>
      </c>
      <c r="AN10" s="507"/>
      <c r="AO10" s="507"/>
      <c r="AP10" s="507"/>
      <c r="AQ10" s="508"/>
      <c r="AR10" s="534" t="s">
        <v>436</v>
      </c>
      <c r="AS10" s="535"/>
      <c r="AT10" s="536"/>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row>
    <row r="11" spans="1:274" ht="15.75" customHeight="1" x14ac:dyDescent="0.2">
      <c r="A11" s="525" t="s">
        <v>437</v>
      </c>
      <c r="B11" s="510" t="s">
        <v>438</v>
      </c>
      <c r="C11" s="510" t="s">
        <v>502</v>
      </c>
      <c r="D11" s="510" t="s">
        <v>503</v>
      </c>
      <c r="E11" s="684" t="s">
        <v>441</v>
      </c>
      <c r="F11" s="510" t="s">
        <v>442</v>
      </c>
      <c r="G11" s="528" t="s">
        <v>139</v>
      </c>
      <c r="H11" s="528" t="s">
        <v>443</v>
      </c>
      <c r="I11" s="528" t="s">
        <v>444</v>
      </c>
      <c r="J11" s="528" t="s">
        <v>445</v>
      </c>
      <c r="K11" s="540"/>
      <c r="L11" s="541"/>
      <c r="M11" s="530" t="s">
        <v>446</v>
      </c>
      <c r="N11" s="530" t="s">
        <v>447</v>
      </c>
      <c r="O11" s="509" t="s">
        <v>448</v>
      </c>
      <c r="P11" s="530" t="s">
        <v>449</v>
      </c>
      <c r="Q11" s="530" t="s">
        <v>450</v>
      </c>
      <c r="R11" s="530" t="s">
        <v>451</v>
      </c>
      <c r="S11" s="509" t="s">
        <v>448</v>
      </c>
      <c r="T11" s="530" t="s">
        <v>452</v>
      </c>
      <c r="U11" s="532" t="s">
        <v>453</v>
      </c>
      <c r="V11" s="251"/>
      <c r="W11" s="251"/>
      <c r="X11" s="251"/>
      <c r="Y11" s="510" t="s">
        <v>31</v>
      </c>
      <c r="Z11" s="510" t="s">
        <v>33</v>
      </c>
      <c r="AA11" s="510" t="s">
        <v>454</v>
      </c>
      <c r="AB11" s="510"/>
      <c r="AC11" s="510"/>
      <c r="AD11" s="510"/>
      <c r="AE11" s="510"/>
      <c r="AF11" s="510"/>
      <c r="AG11" s="532" t="s">
        <v>455</v>
      </c>
      <c r="AH11" s="533" t="s">
        <v>456</v>
      </c>
      <c r="AI11" s="533" t="s">
        <v>448</v>
      </c>
      <c r="AJ11" s="533" t="s">
        <v>457</v>
      </c>
      <c r="AK11" s="533" t="s">
        <v>448</v>
      </c>
      <c r="AL11" s="533" t="s">
        <v>458</v>
      </c>
      <c r="AM11" s="532" t="s">
        <v>49</v>
      </c>
      <c r="AN11" s="510" t="s">
        <v>459</v>
      </c>
      <c r="AO11" s="510" t="s">
        <v>460</v>
      </c>
      <c r="AP11" s="510" t="s">
        <v>461</v>
      </c>
      <c r="AQ11" s="510" t="s">
        <v>462</v>
      </c>
      <c r="AR11" s="531" t="s">
        <v>463</v>
      </c>
      <c r="AS11" s="531" t="s">
        <v>464</v>
      </c>
      <c r="AT11" s="531" t="s">
        <v>460</v>
      </c>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row>
    <row r="12" spans="1:274" s="198" customFormat="1" ht="71.25" customHeight="1" x14ac:dyDescent="0.25">
      <c r="A12" s="525"/>
      <c r="B12" s="526"/>
      <c r="C12" s="510"/>
      <c r="D12" s="510"/>
      <c r="E12" s="685"/>
      <c r="F12" s="526"/>
      <c r="G12" s="529"/>
      <c r="H12" s="529"/>
      <c r="I12" s="529"/>
      <c r="J12" s="529"/>
      <c r="K12" s="250" t="s">
        <v>465</v>
      </c>
      <c r="L12" s="250" t="s">
        <v>466</v>
      </c>
      <c r="M12" s="530"/>
      <c r="N12" s="530"/>
      <c r="O12" s="509"/>
      <c r="P12" s="530"/>
      <c r="Q12" s="530"/>
      <c r="R12" s="509"/>
      <c r="S12" s="509"/>
      <c r="T12" s="530"/>
      <c r="U12" s="532"/>
      <c r="V12" s="249" t="s">
        <v>467</v>
      </c>
      <c r="W12" s="249" t="s">
        <v>463</v>
      </c>
      <c r="X12" s="249" t="s">
        <v>468</v>
      </c>
      <c r="Y12" s="510"/>
      <c r="Z12" s="510"/>
      <c r="AA12" s="248" t="s">
        <v>469</v>
      </c>
      <c r="AB12" s="248" t="s">
        <v>470</v>
      </c>
      <c r="AC12" s="248" t="s">
        <v>471</v>
      </c>
      <c r="AD12" s="248" t="s">
        <v>472</v>
      </c>
      <c r="AE12" s="248" t="s">
        <v>473</v>
      </c>
      <c r="AF12" s="248" t="s">
        <v>474</v>
      </c>
      <c r="AG12" s="532"/>
      <c r="AH12" s="533"/>
      <c r="AI12" s="533"/>
      <c r="AJ12" s="533"/>
      <c r="AK12" s="533"/>
      <c r="AL12" s="533"/>
      <c r="AM12" s="532"/>
      <c r="AN12" s="510"/>
      <c r="AO12" s="510"/>
      <c r="AP12" s="510"/>
      <c r="AQ12" s="510"/>
      <c r="AR12" s="531"/>
      <c r="AS12" s="531"/>
      <c r="AT12" s="531"/>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row>
    <row r="13" spans="1:274" s="405" customFormat="1" x14ac:dyDescent="0.25">
      <c r="A13" s="692">
        <v>1</v>
      </c>
      <c r="B13" s="693"/>
      <c r="C13" s="693"/>
      <c r="D13" s="693"/>
      <c r="E13" s="693"/>
      <c r="F13" s="694"/>
      <c r="G13" s="689"/>
      <c r="H13" s="689"/>
      <c r="I13" s="689"/>
      <c r="J13" s="689"/>
      <c r="K13" s="689"/>
      <c r="L13" s="689"/>
      <c r="M13" s="695"/>
      <c r="N13" s="686"/>
      <c r="O13" s="687"/>
      <c r="P13" s="696"/>
      <c r="Q13" s="687"/>
      <c r="R13" s="686"/>
      <c r="S13" s="687"/>
      <c r="T13" s="688"/>
      <c r="U13" s="395"/>
      <c r="V13" s="396"/>
      <c r="W13" s="396"/>
      <c r="X13" s="396"/>
      <c r="Y13" s="393"/>
      <c r="Z13" s="397"/>
      <c r="AA13" s="398"/>
      <c r="AB13" s="398"/>
      <c r="AC13" s="399"/>
      <c r="AD13" s="398"/>
      <c r="AE13" s="398"/>
      <c r="AF13" s="398"/>
      <c r="AG13" s="400"/>
      <c r="AH13" s="401"/>
      <c r="AI13" s="399"/>
      <c r="AJ13" s="401"/>
      <c r="AK13" s="399"/>
      <c r="AL13" s="402"/>
      <c r="AM13" s="403"/>
      <c r="AN13" s="392"/>
      <c r="AO13" s="394"/>
      <c r="AP13" s="394"/>
      <c r="AQ13" s="404"/>
      <c r="AR13" s="693"/>
      <c r="AS13" s="693"/>
      <c r="AT13" s="693"/>
    </row>
    <row r="14" spans="1:274" s="406" customFormat="1" x14ac:dyDescent="0.2">
      <c r="A14" s="692"/>
      <c r="B14" s="693"/>
      <c r="C14" s="693"/>
      <c r="D14" s="693"/>
      <c r="E14" s="693"/>
      <c r="F14" s="694"/>
      <c r="G14" s="690"/>
      <c r="H14" s="690"/>
      <c r="I14" s="690"/>
      <c r="J14" s="690"/>
      <c r="K14" s="690"/>
      <c r="L14" s="690"/>
      <c r="M14" s="695"/>
      <c r="N14" s="686"/>
      <c r="O14" s="687"/>
      <c r="P14" s="696"/>
      <c r="Q14" s="687"/>
      <c r="R14" s="686"/>
      <c r="S14" s="687"/>
      <c r="T14" s="688"/>
      <c r="U14" s="395"/>
      <c r="V14" s="396"/>
      <c r="W14" s="395"/>
      <c r="X14" s="395"/>
      <c r="Y14" s="393"/>
      <c r="Z14" s="397"/>
      <c r="AA14" s="398"/>
      <c r="AB14" s="398"/>
      <c r="AC14" s="399"/>
      <c r="AD14" s="398"/>
      <c r="AE14" s="398"/>
      <c r="AF14" s="398"/>
      <c r="AG14" s="400"/>
      <c r="AH14" s="401"/>
      <c r="AI14" s="399"/>
      <c r="AJ14" s="401"/>
      <c r="AK14" s="399"/>
      <c r="AL14" s="402"/>
      <c r="AM14" s="403"/>
      <c r="AN14" s="392"/>
      <c r="AO14" s="394"/>
      <c r="AP14" s="392"/>
      <c r="AQ14" s="404"/>
      <c r="AR14" s="693"/>
      <c r="AS14" s="693"/>
      <c r="AT14" s="693"/>
    </row>
    <row r="15" spans="1:274" s="406" customFormat="1" x14ac:dyDescent="0.2">
      <c r="A15" s="692"/>
      <c r="B15" s="693"/>
      <c r="C15" s="693"/>
      <c r="D15" s="693"/>
      <c r="E15" s="693"/>
      <c r="F15" s="694"/>
      <c r="G15" s="690"/>
      <c r="H15" s="690"/>
      <c r="I15" s="690"/>
      <c r="J15" s="690"/>
      <c r="K15" s="690"/>
      <c r="L15" s="690"/>
      <c r="M15" s="695"/>
      <c r="N15" s="686"/>
      <c r="O15" s="687"/>
      <c r="P15" s="696"/>
      <c r="Q15" s="687"/>
      <c r="R15" s="686"/>
      <c r="S15" s="687"/>
      <c r="T15" s="688"/>
      <c r="U15" s="395"/>
      <c r="V15" s="396"/>
      <c r="W15" s="395"/>
      <c r="X15" s="395"/>
      <c r="Y15" s="393"/>
      <c r="Z15" s="397"/>
      <c r="AA15" s="398"/>
      <c r="AB15" s="398"/>
      <c r="AC15" s="399"/>
      <c r="AD15" s="398"/>
      <c r="AE15" s="398"/>
      <c r="AF15" s="398"/>
      <c r="AG15" s="400"/>
      <c r="AH15" s="401"/>
      <c r="AI15" s="399"/>
      <c r="AJ15" s="401"/>
      <c r="AK15" s="399"/>
      <c r="AL15" s="402"/>
      <c r="AM15" s="403"/>
      <c r="AN15" s="392"/>
      <c r="AO15" s="394"/>
      <c r="AP15" s="394"/>
      <c r="AQ15" s="404"/>
      <c r="AR15" s="693"/>
      <c r="AS15" s="693"/>
      <c r="AT15" s="693"/>
    </row>
    <row r="16" spans="1:274" s="406" customFormat="1" x14ac:dyDescent="0.2">
      <c r="A16" s="692"/>
      <c r="B16" s="693"/>
      <c r="C16" s="693"/>
      <c r="D16" s="693"/>
      <c r="E16" s="693"/>
      <c r="F16" s="694"/>
      <c r="G16" s="690"/>
      <c r="H16" s="690"/>
      <c r="I16" s="690"/>
      <c r="J16" s="690"/>
      <c r="K16" s="690"/>
      <c r="L16" s="690"/>
      <c r="M16" s="695"/>
      <c r="N16" s="686"/>
      <c r="O16" s="687"/>
      <c r="P16" s="696"/>
      <c r="Q16" s="687"/>
      <c r="R16" s="686"/>
      <c r="S16" s="687"/>
      <c r="T16" s="688"/>
      <c r="U16" s="395"/>
      <c r="V16" s="396"/>
      <c r="W16" s="395"/>
      <c r="X16" s="395"/>
      <c r="Y16" s="393"/>
      <c r="Z16" s="397"/>
      <c r="AA16" s="398"/>
      <c r="AB16" s="398"/>
      <c r="AC16" s="399"/>
      <c r="AD16" s="398"/>
      <c r="AE16" s="398"/>
      <c r="AF16" s="398"/>
      <c r="AG16" s="400"/>
      <c r="AH16" s="401"/>
      <c r="AI16" s="399"/>
      <c r="AJ16" s="401"/>
      <c r="AK16" s="399"/>
      <c r="AL16" s="402"/>
      <c r="AM16" s="403"/>
      <c r="AN16" s="392"/>
      <c r="AO16" s="394"/>
      <c r="AP16" s="394"/>
      <c r="AQ16" s="404"/>
      <c r="AR16" s="693"/>
      <c r="AS16" s="693"/>
      <c r="AT16" s="693"/>
    </row>
    <row r="17" spans="1:46" s="406" customFormat="1" x14ac:dyDescent="0.2">
      <c r="A17" s="692"/>
      <c r="B17" s="693"/>
      <c r="C17" s="693"/>
      <c r="D17" s="693"/>
      <c r="E17" s="693"/>
      <c r="F17" s="694"/>
      <c r="G17" s="690"/>
      <c r="H17" s="690"/>
      <c r="I17" s="690"/>
      <c r="J17" s="690"/>
      <c r="K17" s="690"/>
      <c r="L17" s="690"/>
      <c r="M17" s="695"/>
      <c r="N17" s="686"/>
      <c r="O17" s="687"/>
      <c r="P17" s="696"/>
      <c r="Q17" s="687"/>
      <c r="R17" s="686"/>
      <c r="S17" s="687"/>
      <c r="T17" s="688"/>
      <c r="U17" s="395"/>
      <c r="V17" s="396"/>
      <c r="W17" s="395"/>
      <c r="X17" s="395"/>
      <c r="Y17" s="393"/>
      <c r="Z17" s="397"/>
      <c r="AA17" s="398"/>
      <c r="AB17" s="398"/>
      <c r="AC17" s="399"/>
      <c r="AD17" s="398"/>
      <c r="AE17" s="398"/>
      <c r="AF17" s="398"/>
      <c r="AG17" s="400"/>
      <c r="AH17" s="401"/>
      <c r="AI17" s="399"/>
      <c r="AJ17" s="401"/>
      <c r="AK17" s="399"/>
      <c r="AL17" s="402"/>
      <c r="AM17" s="403"/>
      <c r="AN17" s="392"/>
      <c r="AO17" s="394"/>
      <c r="AP17" s="394"/>
      <c r="AQ17" s="404"/>
      <c r="AR17" s="693"/>
      <c r="AS17" s="693"/>
      <c r="AT17" s="693"/>
    </row>
    <row r="18" spans="1:46" s="406" customFormat="1" x14ac:dyDescent="0.2">
      <c r="A18" s="692"/>
      <c r="B18" s="693"/>
      <c r="C18" s="693"/>
      <c r="D18" s="693"/>
      <c r="E18" s="693"/>
      <c r="F18" s="694"/>
      <c r="G18" s="691"/>
      <c r="H18" s="691"/>
      <c r="I18" s="691"/>
      <c r="J18" s="691"/>
      <c r="K18" s="691"/>
      <c r="L18" s="691"/>
      <c r="M18" s="695"/>
      <c r="N18" s="686"/>
      <c r="O18" s="687"/>
      <c r="P18" s="696"/>
      <c r="Q18" s="687"/>
      <c r="R18" s="686"/>
      <c r="S18" s="687"/>
      <c r="T18" s="688"/>
      <c r="U18" s="395"/>
      <c r="V18" s="396"/>
      <c r="W18" s="395"/>
      <c r="X18" s="395"/>
      <c r="Y18" s="393"/>
      <c r="Z18" s="397"/>
      <c r="AA18" s="398"/>
      <c r="AB18" s="398"/>
      <c r="AC18" s="399"/>
      <c r="AD18" s="398"/>
      <c r="AE18" s="398"/>
      <c r="AF18" s="398"/>
      <c r="AG18" s="400"/>
      <c r="AH18" s="401"/>
      <c r="AI18" s="399"/>
      <c r="AJ18" s="401"/>
      <c r="AK18" s="399"/>
      <c r="AL18" s="402"/>
      <c r="AM18" s="403"/>
      <c r="AN18" s="392"/>
      <c r="AO18" s="394"/>
      <c r="AP18" s="394"/>
      <c r="AQ18" s="404"/>
      <c r="AR18" s="693"/>
      <c r="AS18" s="693"/>
      <c r="AT18" s="693"/>
    </row>
    <row r="19" spans="1:46" s="406" customFormat="1" x14ac:dyDescent="0.2">
      <c r="A19" s="692">
        <v>2</v>
      </c>
      <c r="B19" s="693"/>
      <c r="C19" s="693"/>
      <c r="D19" s="693"/>
      <c r="E19" s="693"/>
      <c r="F19" s="694"/>
      <c r="G19" s="689"/>
      <c r="H19" s="689"/>
      <c r="I19" s="689"/>
      <c r="J19" s="689"/>
      <c r="K19" s="689"/>
      <c r="L19" s="689"/>
      <c r="M19" s="695"/>
      <c r="N19" s="686"/>
      <c r="O19" s="687"/>
      <c r="P19" s="696"/>
      <c r="Q19" s="687"/>
      <c r="R19" s="686"/>
      <c r="S19" s="687"/>
      <c r="T19" s="688"/>
      <c r="U19" s="395"/>
      <c r="V19" s="396"/>
      <c r="W19" s="395"/>
      <c r="X19" s="395"/>
      <c r="Y19" s="393"/>
      <c r="Z19" s="397"/>
      <c r="AA19" s="398"/>
      <c r="AB19" s="398"/>
      <c r="AC19" s="399"/>
      <c r="AD19" s="398"/>
      <c r="AE19" s="398"/>
      <c r="AF19" s="398"/>
      <c r="AG19" s="400"/>
      <c r="AH19" s="401"/>
      <c r="AI19" s="399"/>
      <c r="AJ19" s="401"/>
      <c r="AK19" s="399"/>
      <c r="AL19" s="402"/>
      <c r="AM19" s="403"/>
      <c r="AN19" s="392"/>
      <c r="AO19" s="394"/>
      <c r="AP19" s="394"/>
      <c r="AQ19" s="404"/>
      <c r="AR19" s="695"/>
      <c r="AS19" s="695"/>
      <c r="AT19" s="695"/>
    </row>
    <row r="20" spans="1:46" s="406" customFormat="1" x14ac:dyDescent="0.2">
      <c r="A20" s="692"/>
      <c r="B20" s="693"/>
      <c r="C20" s="693"/>
      <c r="D20" s="693"/>
      <c r="E20" s="693"/>
      <c r="F20" s="694"/>
      <c r="G20" s="690"/>
      <c r="H20" s="690"/>
      <c r="I20" s="690"/>
      <c r="J20" s="690"/>
      <c r="K20" s="690"/>
      <c r="L20" s="690"/>
      <c r="M20" s="695"/>
      <c r="N20" s="686"/>
      <c r="O20" s="687"/>
      <c r="P20" s="696"/>
      <c r="Q20" s="687"/>
      <c r="R20" s="686"/>
      <c r="S20" s="687"/>
      <c r="T20" s="688"/>
      <c r="U20" s="395"/>
      <c r="V20" s="396"/>
      <c r="W20" s="395"/>
      <c r="X20" s="395"/>
      <c r="Y20" s="393"/>
      <c r="Z20" s="397"/>
      <c r="AA20" s="398"/>
      <c r="AB20" s="398"/>
      <c r="AC20" s="399"/>
      <c r="AD20" s="398"/>
      <c r="AE20" s="398"/>
      <c r="AF20" s="398"/>
      <c r="AG20" s="400"/>
      <c r="AH20" s="401"/>
      <c r="AI20" s="399"/>
      <c r="AJ20" s="401"/>
      <c r="AK20" s="399"/>
      <c r="AL20" s="402"/>
      <c r="AM20" s="403"/>
      <c r="AN20" s="392"/>
      <c r="AO20" s="394"/>
      <c r="AP20" s="392"/>
      <c r="AQ20" s="404"/>
      <c r="AR20" s="695"/>
      <c r="AS20" s="695"/>
      <c r="AT20" s="695"/>
    </row>
    <row r="21" spans="1:46" s="406" customFormat="1" x14ac:dyDescent="0.2">
      <c r="A21" s="692"/>
      <c r="B21" s="693"/>
      <c r="C21" s="693"/>
      <c r="D21" s="693"/>
      <c r="E21" s="693"/>
      <c r="F21" s="694"/>
      <c r="G21" s="690"/>
      <c r="H21" s="690"/>
      <c r="I21" s="690"/>
      <c r="J21" s="690"/>
      <c r="K21" s="690"/>
      <c r="L21" s="690"/>
      <c r="M21" s="695"/>
      <c r="N21" s="686"/>
      <c r="O21" s="687"/>
      <c r="P21" s="696"/>
      <c r="Q21" s="687"/>
      <c r="R21" s="686"/>
      <c r="S21" s="687"/>
      <c r="T21" s="688"/>
      <c r="U21" s="395"/>
      <c r="V21" s="396"/>
      <c r="W21" s="395"/>
      <c r="X21" s="395"/>
      <c r="Y21" s="393"/>
      <c r="Z21" s="397"/>
      <c r="AA21" s="398"/>
      <c r="AB21" s="398"/>
      <c r="AC21" s="399"/>
      <c r="AD21" s="398"/>
      <c r="AE21" s="398"/>
      <c r="AF21" s="398"/>
      <c r="AG21" s="400"/>
      <c r="AH21" s="401"/>
      <c r="AI21" s="399"/>
      <c r="AJ21" s="401"/>
      <c r="AK21" s="399"/>
      <c r="AL21" s="402"/>
      <c r="AM21" s="403"/>
      <c r="AN21" s="392"/>
      <c r="AO21" s="394"/>
      <c r="AP21" s="394"/>
      <c r="AQ21" s="404"/>
      <c r="AR21" s="695"/>
      <c r="AS21" s="695"/>
      <c r="AT21" s="695"/>
    </row>
    <row r="22" spans="1:46" s="406" customFormat="1" x14ac:dyDescent="0.2">
      <c r="A22" s="692"/>
      <c r="B22" s="693"/>
      <c r="C22" s="693"/>
      <c r="D22" s="693"/>
      <c r="E22" s="693"/>
      <c r="F22" s="694"/>
      <c r="G22" s="690"/>
      <c r="H22" s="690"/>
      <c r="I22" s="690"/>
      <c r="J22" s="690"/>
      <c r="K22" s="690"/>
      <c r="L22" s="690"/>
      <c r="M22" s="695"/>
      <c r="N22" s="686"/>
      <c r="O22" s="687"/>
      <c r="P22" s="696"/>
      <c r="Q22" s="687"/>
      <c r="R22" s="686"/>
      <c r="S22" s="687"/>
      <c r="T22" s="688"/>
      <c r="U22" s="395"/>
      <c r="V22" s="396"/>
      <c r="W22" s="395"/>
      <c r="X22" s="395"/>
      <c r="Y22" s="393"/>
      <c r="Z22" s="397"/>
      <c r="AA22" s="398"/>
      <c r="AB22" s="398"/>
      <c r="AC22" s="399"/>
      <c r="AD22" s="398"/>
      <c r="AE22" s="398"/>
      <c r="AF22" s="398"/>
      <c r="AG22" s="400"/>
      <c r="AH22" s="401"/>
      <c r="AI22" s="399"/>
      <c r="AJ22" s="401"/>
      <c r="AK22" s="399"/>
      <c r="AL22" s="402"/>
      <c r="AM22" s="403"/>
      <c r="AN22" s="392"/>
      <c r="AO22" s="394"/>
      <c r="AP22" s="394"/>
      <c r="AQ22" s="404"/>
      <c r="AR22" s="695"/>
      <c r="AS22" s="695"/>
      <c r="AT22" s="695"/>
    </row>
    <row r="23" spans="1:46" s="406" customFormat="1" x14ac:dyDescent="0.2">
      <c r="A23" s="692"/>
      <c r="B23" s="693"/>
      <c r="C23" s="693"/>
      <c r="D23" s="693"/>
      <c r="E23" s="693"/>
      <c r="F23" s="694"/>
      <c r="G23" s="690"/>
      <c r="H23" s="690"/>
      <c r="I23" s="690"/>
      <c r="J23" s="690"/>
      <c r="K23" s="690"/>
      <c r="L23" s="690"/>
      <c r="M23" s="695"/>
      <c r="N23" s="686"/>
      <c r="O23" s="687"/>
      <c r="P23" s="696"/>
      <c r="Q23" s="687"/>
      <c r="R23" s="686"/>
      <c r="S23" s="687"/>
      <c r="T23" s="688"/>
      <c r="U23" s="395"/>
      <c r="V23" s="396"/>
      <c r="W23" s="395"/>
      <c r="X23" s="395"/>
      <c r="Y23" s="393"/>
      <c r="Z23" s="397"/>
      <c r="AA23" s="398"/>
      <c r="AB23" s="398"/>
      <c r="AC23" s="399"/>
      <c r="AD23" s="398"/>
      <c r="AE23" s="398"/>
      <c r="AF23" s="398"/>
      <c r="AG23" s="400"/>
      <c r="AH23" s="401"/>
      <c r="AI23" s="399"/>
      <c r="AJ23" s="401"/>
      <c r="AK23" s="399"/>
      <c r="AL23" s="402"/>
      <c r="AM23" s="403"/>
      <c r="AN23" s="392"/>
      <c r="AO23" s="394"/>
      <c r="AP23" s="394"/>
      <c r="AQ23" s="404"/>
      <c r="AR23" s="695"/>
      <c r="AS23" s="695"/>
      <c r="AT23" s="695"/>
    </row>
    <row r="24" spans="1:46" s="406" customFormat="1" x14ac:dyDescent="0.2">
      <c r="A24" s="692"/>
      <c r="B24" s="693"/>
      <c r="C24" s="693"/>
      <c r="D24" s="693"/>
      <c r="E24" s="693"/>
      <c r="F24" s="694"/>
      <c r="G24" s="691"/>
      <c r="H24" s="691"/>
      <c r="I24" s="691"/>
      <c r="J24" s="691"/>
      <c r="K24" s="691"/>
      <c r="L24" s="691"/>
      <c r="M24" s="695"/>
      <c r="N24" s="686"/>
      <c r="O24" s="687"/>
      <c r="P24" s="696"/>
      <c r="Q24" s="687"/>
      <c r="R24" s="686"/>
      <c r="S24" s="687"/>
      <c r="T24" s="688"/>
      <c r="U24" s="395"/>
      <c r="V24" s="395"/>
      <c r="W24" s="395"/>
      <c r="X24" s="395"/>
      <c r="Y24" s="393"/>
      <c r="Z24" s="397"/>
      <c r="AA24" s="398"/>
      <c r="AB24" s="398"/>
      <c r="AC24" s="399"/>
      <c r="AD24" s="398"/>
      <c r="AE24" s="398"/>
      <c r="AF24" s="398"/>
      <c r="AG24" s="400"/>
      <c r="AH24" s="401"/>
      <c r="AI24" s="399"/>
      <c r="AJ24" s="401"/>
      <c r="AK24" s="399"/>
      <c r="AL24" s="402"/>
      <c r="AM24" s="403"/>
      <c r="AN24" s="392"/>
      <c r="AO24" s="394"/>
      <c r="AP24" s="394"/>
      <c r="AQ24" s="404"/>
      <c r="AR24" s="695"/>
      <c r="AS24" s="695"/>
      <c r="AT24" s="695"/>
    </row>
    <row r="25" spans="1:46" s="406" customFormat="1" x14ac:dyDescent="0.2">
      <c r="A25" s="692">
        <v>3</v>
      </c>
      <c r="B25" s="693"/>
      <c r="C25" s="693"/>
      <c r="D25" s="693"/>
      <c r="E25" s="693"/>
      <c r="F25" s="694"/>
      <c r="G25" s="689"/>
      <c r="H25" s="689"/>
      <c r="I25" s="689"/>
      <c r="J25" s="689"/>
      <c r="K25" s="689"/>
      <c r="L25" s="689"/>
      <c r="M25" s="695"/>
      <c r="N25" s="686"/>
      <c r="O25" s="687"/>
      <c r="P25" s="696"/>
      <c r="Q25" s="687"/>
      <c r="R25" s="686"/>
      <c r="S25" s="687"/>
      <c r="T25" s="688"/>
      <c r="U25" s="395"/>
      <c r="V25" s="395"/>
      <c r="W25" s="395"/>
      <c r="X25" s="395"/>
      <c r="Y25" s="393"/>
      <c r="Z25" s="397"/>
      <c r="AA25" s="398"/>
      <c r="AB25" s="398"/>
      <c r="AC25" s="399"/>
      <c r="AD25" s="398"/>
      <c r="AE25" s="398"/>
      <c r="AF25" s="398"/>
      <c r="AG25" s="400"/>
      <c r="AH25" s="401"/>
      <c r="AI25" s="399"/>
      <c r="AJ25" s="401"/>
      <c r="AK25" s="399"/>
      <c r="AL25" s="402"/>
      <c r="AM25" s="403"/>
      <c r="AN25" s="392"/>
      <c r="AO25" s="394"/>
      <c r="AP25" s="394"/>
      <c r="AQ25" s="404"/>
      <c r="AR25" s="695"/>
      <c r="AS25" s="695"/>
      <c r="AT25" s="695"/>
    </row>
    <row r="26" spans="1:46" s="406" customFormat="1" x14ac:dyDescent="0.2">
      <c r="A26" s="692"/>
      <c r="B26" s="693"/>
      <c r="C26" s="693"/>
      <c r="D26" s="693"/>
      <c r="E26" s="693"/>
      <c r="F26" s="694"/>
      <c r="G26" s="690"/>
      <c r="H26" s="690"/>
      <c r="I26" s="690"/>
      <c r="J26" s="690"/>
      <c r="K26" s="690"/>
      <c r="L26" s="690"/>
      <c r="M26" s="695"/>
      <c r="N26" s="686"/>
      <c r="O26" s="687"/>
      <c r="P26" s="696"/>
      <c r="Q26" s="687"/>
      <c r="R26" s="686"/>
      <c r="S26" s="687"/>
      <c r="T26" s="688"/>
      <c r="U26" s="395"/>
      <c r="V26" s="395"/>
      <c r="W26" s="395"/>
      <c r="X26" s="395"/>
      <c r="Y26" s="393"/>
      <c r="Z26" s="397"/>
      <c r="AA26" s="398"/>
      <c r="AB26" s="398"/>
      <c r="AC26" s="399"/>
      <c r="AD26" s="398"/>
      <c r="AE26" s="398"/>
      <c r="AF26" s="398"/>
      <c r="AG26" s="400"/>
      <c r="AH26" s="401"/>
      <c r="AI26" s="399"/>
      <c r="AJ26" s="401"/>
      <c r="AK26" s="399"/>
      <c r="AL26" s="402"/>
      <c r="AM26" s="403"/>
      <c r="AN26" s="392"/>
      <c r="AO26" s="394"/>
      <c r="AP26" s="394"/>
      <c r="AQ26" s="404"/>
      <c r="AR26" s="695"/>
      <c r="AS26" s="695"/>
      <c r="AT26" s="695"/>
    </row>
    <row r="27" spans="1:46" s="406" customFormat="1" x14ac:dyDescent="0.2">
      <c r="A27" s="692"/>
      <c r="B27" s="693"/>
      <c r="C27" s="693"/>
      <c r="D27" s="693"/>
      <c r="E27" s="693"/>
      <c r="F27" s="694"/>
      <c r="G27" s="690"/>
      <c r="H27" s="690"/>
      <c r="I27" s="690"/>
      <c r="J27" s="690"/>
      <c r="K27" s="690"/>
      <c r="L27" s="690"/>
      <c r="M27" s="695"/>
      <c r="N27" s="686"/>
      <c r="O27" s="687"/>
      <c r="P27" s="696"/>
      <c r="Q27" s="687"/>
      <c r="R27" s="686"/>
      <c r="S27" s="687"/>
      <c r="T27" s="688"/>
      <c r="U27" s="395"/>
      <c r="V27" s="395"/>
      <c r="W27" s="395"/>
      <c r="X27" s="395"/>
      <c r="Y27" s="393"/>
      <c r="Z27" s="397"/>
      <c r="AA27" s="398"/>
      <c r="AB27" s="398"/>
      <c r="AC27" s="399"/>
      <c r="AD27" s="398"/>
      <c r="AE27" s="398"/>
      <c r="AF27" s="398"/>
      <c r="AG27" s="400"/>
      <c r="AH27" s="401"/>
      <c r="AI27" s="399"/>
      <c r="AJ27" s="401"/>
      <c r="AK27" s="399"/>
      <c r="AL27" s="402"/>
      <c r="AM27" s="403"/>
      <c r="AN27" s="392"/>
      <c r="AO27" s="394"/>
      <c r="AP27" s="394"/>
      <c r="AQ27" s="404"/>
      <c r="AR27" s="695"/>
      <c r="AS27" s="695"/>
      <c r="AT27" s="695"/>
    </row>
    <row r="28" spans="1:46" s="406" customFormat="1" x14ac:dyDescent="0.2">
      <c r="A28" s="692"/>
      <c r="B28" s="693"/>
      <c r="C28" s="693"/>
      <c r="D28" s="693"/>
      <c r="E28" s="693"/>
      <c r="F28" s="694"/>
      <c r="G28" s="690"/>
      <c r="H28" s="690"/>
      <c r="I28" s="690"/>
      <c r="J28" s="690"/>
      <c r="K28" s="690"/>
      <c r="L28" s="690"/>
      <c r="M28" s="695"/>
      <c r="N28" s="686"/>
      <c r="O28" s="687"/>
      <c r="P28" s="696"/>
      <c r="Q28" s="687"/>
      <c r="R28" s="686"/>
      <c r="S28" s="687"/>
      <c r="T28" s="688"/>
      <c r="U28" s="395"/>
      <c r="V28" s="395"/>
      <c r="W28" s="395"/>
      <c r="X28" s="395"/>
      <c r="Y28" s="393"/>
      <c r="Z28" s="397"/>
      <c r="AA28" s="398"/>
      <c r="AB28" s="398"/>
      <c r="AC28" s="399"/>
      <c r="AD28" s="398"/>
      <c r="AE28" s="398"/>
      <c r="AF28" s="398"/>
      <c r="AG28" s="400"/>
      <c r="AH28" s="401"/>
      <c r="AI28" s="399"/>
      <c r="AJ28" s="401"/>
      <c r="AK28" s="399"/>
      <c r="AL28" s="402"/>
      <c r="AM28" s="403"/>
      <c r="AN28" s="392"/>
      <c r="AO28" s="394"/>
      <c r="AP28" s="394"/>
      <c r="AQ28" s="404"/>
      <c r="AR28" s="695"/>
      <c r="AS28" s="695"/>
      <c r="AT28" s="695"/>
    </row>
    <row r="29" spans="1:46" s="406" customFormat="1" x14ac:dyDescent="0.2">
      <c r="A29" s="692"/>
      <c r="B29" s="693"/>
      <c r="C29" s="693"/>
      <c r="D29" s="693"/>
      <c r="E29" s="693"/>
      <c r="F29" s="694"/>
      <c r="G29" s="690"/>
      <c r="H29" s="690"/>
      <c r="I29" s="690"/>
      <c r="J29" s="690"/>
      <c r="K29" s="690"/>
      <c r="L29" s="690"/>
      <c r="M29" s="695"/>
      <c r="N29" s="686"/>
      <c r="O29" s="687"/>
      <c r="P29" s="696"/>
      <c r="Q29" s="687"/>
      <c r="R29" s="686"/>
      <c r="S29" s="687"/>
      <c r="T29" s="688"/>
      <c r="U29" s="395"/>
      <c r="V29" s="395"/>
      <c r="W29" s="395"/>
      <c r="X29" s="395"/>
      <c r="Y29" s="393"/>
      <c r="Z29" s="397"/>
      <c r="AA29" s="398"/>
      <c r="AB29" s="398"/>
      <c r="AC29" s="399"/>
      <c r="AD29" s="398"/>
      <c r="AE29" s="398"/>
      <c r="AF29" s="398"/>
      <c r="AG29" s="400"/>
      <c r="AH29" s="401"/>
      <c r="AI29" s="399"/>
      <c r="AJ29" s="401"/>
      <c r="AK29" s="399"/>
      <c r="AL29" s="402"/>
      <c r="AM29" s="403"/>
      <c r="AN29" s="392"/>
      <c r="AO29" s="394"/>
      <c r="AP29" s="394"/>
      <c r="AQ29" s="404"/>
      <c r="AR29" s="695"/>
      <c r="AS29" s="695"/>
      <c r="AT29" s="695"/>
    </row>
    <row r="30" spans="1:46" s="406" customFormat="1" x14ac:dyDescent="0.2">
      <c r="A30" s="692"/>
      <c r="B30" s="693"/>
      <c r="C30" s="693"/>
      <c r="D30" s="693"/>
      <c r="E30" s="693"/>
      <c r="F30" s="694"/>
      <c r="G30" s="691"/>
      <c r="H30" s="691"/>
      <c r="I30" s="691"/>
      <c r="J30" s="691"/>
      <c r="K30" s="691"/>
      <c r="L30" s="691"/>
      <c r="M30" s="695"/>
      <c r="N30" s="686"/>
      <c r="O30" s="687"/>
      <c r="P30" s="696"/>
      <c r="Q30" s="687"/>
      <c r="R30" s="686"/>
      <c r="S30" s="687"/>
      <c r="T30" s="688"/>
      <c r="U30" s="395"/>
      <c r="V30" s="395"/>
      <c r="W30" s="395"/>
      <c r="X30" s="395"/>
      <c r="Y30" s="393"/>
      <c r="Z30" s="397"/>
      <c r="AA30" s="398"/>
      <c r="AB30" s="398"/>
      <c r="AC30" s="399"/>
      <c r="AD30" s="398"/>
      <c r="AE30" s="398"/>
      <c r="AF30" s="398"/>
      <c r="AG30" s="400"/>
      <c r="AH30" s="401"/>
      <c r="AI30" s="399"/>
      <c r="AJ30" s="401"/>
      <c r="AK30" s="399"/>
      <c r="AL30" s="402"/>
      <c r="AM30" s="403"/>
      <c r="AN30" s="392"/>
      <c r="AO30" s="394"/>
      <c r="AP30" s="394"/>
      <c r="AQ30" s="404"/>
      <c r="AR30" s="695"/>
      <c r="AS30" s="695"/>
      <c r="AT30" s="695"/>
    </row>
    <row r="31" spans="1:46" x14ac:dyDescent="0.2">
      <c r="A31" s="523">
        <v>4</v>
      </c>
      <c r="B31" s="515"/>
      <c r="C31" s="515"/>
      <c r="D31" s="515"/>
      <c r="E31" s="515"/>
      <c r="F31" s="520"/>
      <c r="G31" s="516"/>
      <c r="H31" s="516"/>
      <c r="I31" s="516"/>
      <c r="J31" s="516"/>
      <c r="K31" s="516"/>
      <c r="L31" s="516"/>
      <c r="M31" s="519"/>
      <c r="N31" s="514"/>
      <c r="O31" s="512"/>
      <c r="P31" s="513"/>
      <c r="Q31" s="512"/>
      <c r="R31" s="514"/>
      <c r="S31" s="512"/>
      <c r="T31" s="511"/>
      <c r="U31" s="199"/>
      <c r="V31" s="199"/>
      <c r="W31" s="199"/>
      <c r="X31" s="199"/>
      <c r="Y31" s="224"/>
      <c r="Z31" s="176"/>
      <c r="AA31" s="177"/>
      <c r="AB31" s="177"/>
      <c r="AC31" s="178"/>
      <c r="AD31" s="177"/>
      <c r="AE31" s="177"/>
      <c r="AF31" s="177"/>
      <c r="AG31" s="179"/>
      <c r="AH31" s="180"/>
      <c r="AI31" s="178"/>
      <c r="AJ31" s="180"/>
      <c r="AK31" s="178"/>
      <c r="AL31" s="181"/>
      <c r="AM31" s="182"/>
      <c r="AN31" s="175"/>
      <c r="AO31" s="183"/>
      <c r="AP31" s="183"/>
      <c r="AQ31" s="184"/>
      <c r="AR31" s="519"/>
      <c r="AS31" s="519"/>
      <c r="AT31" s="519"/>
    </row>
    <row r="32" spans="1:46" x14ac:dyDescent="0.2">
      <c r="A32" s="523"/>
      <c r="B32" s="515"/>
      <c r="C32" s="515"/>
      <c r="D32" s="515"/>
      <c r="E32" s="515"/>
      <c r="F32" s="520"/>
      <c r="G32" s="517"/>
      <c r="H32" s="517"/>
      <c r="I32" s="517"/>
      <c r="J32" s="517"/>
      <c r="K32" s="517"/>
      <c r="L32" s="517"/>
      <c r="M32" s="519"/>
      <c r="N32" s="514"/>
      <c r="O32" s="512"/>
      <c r="P32" s="513"/>
      <c r="Q32" s="512"/>
      <c r="R32" s="514"/>
      <c r="S32" s="512"/>
      <c r="T32" s="511"/>
      <c r="U32" s="199"/>
      <c r="V32" s="199"/>
      <c r="W32" s="199"/>
      <c r="X32" s="199"/>
      <c r="Y32" s="224"/>
      <c r="Z32" s="176"/>
      <c r="AA32" s="177"/>
      <c r="AB32" s="177"/>
      <c r="AC32" s="178"/>
      <c r="AD32" s="177"/>
      <c r="AE32" s="177"/>
      <c r="AF32" s="177"/>
      <c r="AG32" s="179"/>
      <c r="AH32" s="180"/>
      <c r="AI32" s="178"/>
      <c r="AJ32" s="180"/>
      <c r="AK32" s="178"/>
      <c r="AL32" s="181"/>
      <c r="AM32" s="182"/>
      <c r="AN32" s="175"/>
      <c r="AO32" s="183"/>
      <c r="AP32" s="183"/>
      <c r="AQ32" s="184"/>
      <c r="AR32" s="519"/>
      <c r="AS32" s="519"/>
      <c r="AT32" s="519"/>
    </row>
    <row r="33" spans="1:46" x14ac:dyDescent="0.2">
      <c r="A33" s="523"/>
      <c r="B33" s="515"/>
      <c r="C33" s="515"/>
      <c r="D33" s="515"/>
      <c r="E33" s="515"/>
      <c r="F33" s="520"/>
      <c r="G33" s="517"/>
      <c r="H33" s="517"/>
      <c r="I33" s="517"/>
      <c r="J33" s="517"/>
      <c r="K33" s="517"/>
      <c r="L33" s="517"/>
      <c r="M33" s="519"/>
      <c r="N33" s="514"/>
      <c r="O33" s="512"/>
      <c r="P33" s="513"/>
      <c r="Q33" s="512"/>
      <c r="R33" s="514"/>
      <c r="S33" s="512"/>
      <c r="T33" s="511"/>
      <c r="U33" s="199"/>
      <c r="V33" s="199"/>
      <c r="W33" s="199"/>
      <c r="X33" s="199"/>
      <c r="Y33" s="224"/>
      <c r="Z33" s="176"/>
      <c r="AA33" s="177"/>
      <c r="AB33" s="177"/>
      <c r="AC33" s="178"/>
      <c r="AD33" s="177"/>
      <c r="AE33" s="177"/>
      <c r="AF33" s="177"/>
      <c r="AG33" s="179"/>
      <c r="AH33" s="180"/>
      <c r="AI33" s="178"/>
      <c r="AJ33" s="180"/>
      <c r="AK33" s="178"/>
      <c r="AL33" s="181"/>
      <c r="AM33" s="182"/>
      <c r="AN33" s="175"/>
      <c r="AO33" s="183"/>
      <c r="AP33" s="183"/>
      <c r="AQ33" s="184"/>
      <c r="AR33" s="519"/>
      <c r="AS33" s="519"/>
      <c r="AT33" s="519"/>
    </row>
    <row r="34" spans="1:46" x14ac:dyDescent="0.2">
      <c r="A34" s="523"/>
      <c r="B34" s="515"/>
      <c r="C34" s="515"/>
      <c r="D34" s="515"/>
      <c r="E34" s="515"/>
      <c r="F34" s="520"/>
      <c r="G34" s="517"/>
      <c r="H34" s="517"/>
      <c r="I34" s="517"/>
      <c r="J34" s="517"/>
      <c r="K34" s="517"/>
      <c r="L34" s="517"/>
      <c r="M34" s="519"/>
      <c r="N34" s="514"/>
      <c r="O34" s="512"/>
      <c r="P34" s="513"/>
      <c r="Q34" s="512"/>
      <c r="R34" s="514"/>
      <c r="S34" s="512"/>
      <c r="T34" s="511"/>
      <c r="U34" s="199"/>
      <c r="V34" s="199"/>
      <c r="W34" s="199"/>
      <c r="X34" s="199"/>
      <c r="Y34" s="224"/>
      <c r="Z34" s="176"/>
      <c r="AA34" s="177"/>
      <c r="AB34" s="177"/>
      <c r="AC34" s="178"/>
      <c r="AD34" s="177"/>
      <c r="AE34" s="177"/>
      <c r="AF34" s="177"/>
      <c r="AG34" s="179"/>
      <c r="AH34" s="180"/>
      <c r="AI34" s="178"/>
      <c r="AJ34" s="180"/>
      <c r="AK34" s="178"/>
      <c r="AL34" s="181"/>
      <c r="AM34" s="182"/>
      <c r="AN34" s="175"/>
      <c r="AO34" s="183"/>
      <c r="AP34" s="183"/>
      <c r="AQ34" s="184"/>
      <c r="AR34" s="519"/>
      <c r="AS34" s="519"/>
      <c r="AT34" s="519"/>
    </row>
    <row r="35" spans="1:46" x14ac:dyDescent="0.2">
      <c r="A35" s="523"/>
      <c r="B35" s="515"/>
      <c r="C35" s="515"/>
      <c r="D35" s="515"/>
      <c r="E35" s="515"/>
      <c r="F35" s="520"/>
      <c r="G35" s="517"/>
      <c r="H35" s="517"/>
      <c r="I35" s="517"/>
      <c r="J35" s="517"/>
      <c r="K35" s="517"/>
      <c r="L35" s="517"/>
      <c r="M35" s="519"/>
      <c r="N35" s="514"/>
      <c r="O35" s="512"/>
      <c r="P35" s="513"/>
      <c r="Q35" s="512"/>
      <c r="R35" s="514"/>
      <c r="S35" s="512"/>
      <c r="T35" s="511"/>
      <c r="U35" s="199"/>
      <c r="V35" s="199"/>
      <c r="W35" s="199"/>
      <c r="X35" s="199"/>
      <c r="Y35" s="224"/>
      <c r="Z35" s="176"/>
      <c r="AA35" s="177"/>
      <c r="AB35" s="177"/>
      <c r="AC35" s="178"/>
      <c r="AD35" s="177"/>
      <c r="AE35" s="177"/>
      <c r="AF35" s="177"/>
      <c r="AG35" s="179"/>
      <c r="AH35" s="180"/>
      <c r="AI35" s="178"/>
      <c r="AJ35" s="180"/>
      <c r="AK35" s="178"/>
      <c r="AL35" s="181"/>
      <c r="AM35" s="182"/>
      <c r="AN35" s="175"/>
      <c r="AO35" s="183"/>
      <c r="AP35" s="183"/>
      <c r="AQ35" s="184"/>
      <c r="AR35" s="519"/>
      <c r="AS35" s="519"/>
      <c r="AT35" s="519"/>
    </row>
    <row r="36" spans="1:46" x14ac:dyDescent="0.2">
      <c r="A36" s="523"/>
      <c r="B36" s="515"/>
      <c r="C36" s="515"/>
      <c r="D36" s="515"/>
      <c r="E36" s="515"/>
      <c r="F36" s="520"/>
      <c r="G36" s="518"/>
      <c r="H36" s="518"/>
      <c r="I36" s="518"/>
      <c r="J36" s="518"/>
      <c r="K36" s="518"/>
      <c r="L36" s="518"/>
      <c r="M36" s="519"/>
      <c r="N36" s="514"/>
      <c r="O36" s="512"/>
      <c r="P36" s="513"/>
      <c r="Q36" s="512"/>
      <c r="R36" s="514"/>
      <c r="S36" s="512"/>
      <c r="T36" s="511"/>
      <c r="U36" s="199"/>
      <c r="V36" s="199"/>
      <c r="W36" s="199"/>
      <c r="X36" s="199"/>
      <c r="Y36" s="224"/>
      <c r="Z36" s="176"/>
      <c r="AA36" s="177"/>
      <c r="AB36" s="177"/>
      <c r="AC36" s="178"/>
      <c r="AD36" s="177"/>
      <c r="AE36" s="177"/>
      <c r="AF36" s="177"/>
      <c r="AG36" s="179"/>
      <c r="AH36" s="180"/>
      <c r="AI36" s="178"/>
      <c r="AJ36" s="180"/>
      <c r="AK36" s="178"/>
      <c r="AL36" s="181"/>
      <c r="AM36" s="182"/>
      <c r="AN36" s="175"/>
      <c r="AO36" s="183"/>
      <c r="AP36" s="183"/>
      <c r="AQ36" s="184"/>
      <c r="AR36" s="519"/>
      <c r="AS36" s="519"/>
      <c r="AT36" s="519"/>
    </row>
    <row r="37" spans="1:46" x14ac:dyDescent="0.2">
      <c r="A37" s="523">
        <v>5</v>
      </c>
      <c r="B37" s="515"/>
      <c r="C37" s="515"/>
      <c r="D37" s="515"/>
      <c r="E37" s="515"/>
      <c r="F37" s="520"/>
      <c r="G37" s="516"/>
      <c r="H37" s="516"/>
      <c r="I37" s="516"/>
      <c r="J37" s="516"/>
      <c r="K37" s="516"/>
      <c r="L37" s="516"/>
      <c r="M37" s="519"/>
      <c r="N37" s="514"/>
      <c r="O37" s="512"/>
      <c r="P37" s="513"/>
      <c r="Q37" s="512"/>
      <c r="R37" s="514"/>
      <c r="S37" s="512"/>
      <c r="T37" s="511"/>
      <c r="U37" s="199"/>
      <c r="V37" s="199"/>
      <c r="W37" s="199"/>
      <c r="X37" s="199"/>
      <c r="Y37" s="224"/>
      <c r="Z37" s="176"/>
      <c r="AA37" s="177"/>
      <c r="AB37" s="177"/>
      <c r="AC37" s="178"/>
      <c r="AD37" s="177"/>
      <c r="AE37" s="177"/>
      <c r="AF37" s="177"/>
      <c r="AG37" s="179"/>
      <c r="AH37" s="180"/>
      <c r="AI37" s="178"/>
      <c r="AJ37" s="180"/>
      <c r="AK37" s="178"/>
      <c r="AL37" s="181"/>
      <c r="AM37" s="182"/>
      <c r="AN37" s="175"/>
      <c r="AO37" s="183"/>
      <c r="AP37" s="183"/>
      <c r="AQ37" s="184"/>
      <c r="AR37" s="519"/>
      <c r="AS37" s="519"/>
      <c r="AT37" s="519"/>
    </row>
    <row r="38" spans="1:46" x14ac:dyDescent="0.2">
      <c r="A38" s="523"/>
      <c r="B38" s="515"/>
      <c r="C38" s="515"/>
      <c r="D38" s="515"/>
      <c r="E38" s="515"/>
      <c r="F38" s="520"/>
      <c r="G38" s="517"/>
      <c r="H38" s="517"/>
      <c r="I38" s="517"/>
      <c r="J38" s="517"/>
      <c r="K38" s="517"/>
      <c r="L38" s="517"/>
      <c r="M38" s="519"/>
      <c r="N38" s="514"/>
      <c r="O38" s="512"/>
      <c r="P38" s="513"/>
      <c r="Q38" s="512"/>
      <c r="R38" s="514"/>
      <c r="S38" s="512"/>
      <c r="T38" s="511"/>
      <c r="U38" s="199"/>
      <c r="V38" s="199"/>
      <c r="W38" s="199"/>
      <c r="X38" s="199"/>
      <c r="Y38" s="224"/>
      <c r="Z38" s="176"/>
      <c r="AA38" s="177"/>
      <c r="AB38" s="177"/>
      <c r="AC38" s="178"/>
      <c r="AD38" s="177"/>
      <c r="AE38" s="177"/>
      <c r="AF38" s="177"/>
      <c r="AG38" s="179"/>
      <c r="AH38" s="180"/>
      <c r="AI38" s="178"/>
      <c r="AJ38" s="180"/>
      <c r="AK38" s="178"/>
      <c r="AL38" s="181"/>
      <c r="AM38" s="182"/>
      <c r="AN38" s="175"/>
      <c r="AO38" s="183"/>
      <c r="AP38" s="183"/>
      <c r="AQ38" s="184"/>
      <c r="AR38" s="519"/>
      <c r="AS38" s="519"/>
      <c r="AT38" s="519"/>
    </row>
    <row r="39" spans="1:46" x14ac:dyDescent="0.2">
      <c r="A39" s="523"/>
      <c r="B39" s="515"/>
      <c r="C39" s="515"/>
      <c r="D39" s="515"/>
      <c r="E39" s="515"/>
      <c r="F39" s="520"/>
      <c r="G39" s="517"/>
      <c r="H39" s="517"/>
      <c r="I39" s="517"/>
      <c r="J39" s="517"/>
      <c r="K39" s="517"/>
      <c r="L39" s="517"/>
      <c r="M39" s="519"/>
      <c r="N39" s="514"/>
      <c r="O39" s="512"/>
      <c r="P39" s="513"/>
      <c r="Q39" s="512"/>
      <c r="R39" s="514"/>
      <c r="S39" s="512"/>
      <c r="T39" s="511"/>
      <c r="U39" s="199"/>
      <c r="V39" s="199"/>
      <c r="W39" s="199"/>
      <c r="X39" s="199"/>
      <c r="Y39" s="224"/>
      <c r="Z39" s="176"/>
      <c r="AA39" s="177"/>
      <c r="AB39" s="177"/>
      <c r="AC39" s="178"/>
      <c r="AD39" s="177"/>
      <c r="AE39" s="177"/>
      <c r="AF39" s="177"/>
      <c r="AG39" s="179"/>
      <c r="AH39" s="180"/>
      <c r="AI39" s="178"/>
      <c r="AJ39" s="180"/>
      <c r="AK39" s="178"/>
      <c r="AL39" s="181"/>
      <c r="AM39" s="182"/>
      <c r="AN39" s="175"/>
      <c r="AO39" s="183"/>
      <c r="AP39" s="183"/>
      <c r="AQ39" s="184"/>
      <c r="AR39" s="519"/>
      <c r="AS39" s="519"/>
      <c r="AT39" s="519"/>
    </row>
    <row r="40" spans="1:46" x14ac:dyDescent="0.2">
      <c r="A40" s="523"/>
      <c r="B40" s="515"/>
      <c r="C40" s="515"/>
      <c r="D40" s="515"/>
      <c r="E40" s="515"/>
      <c r="F40" s="520"/>
      <c r="G40" s="517"/>
      <c r="H40" s="517"/>
      <c r="I40" s="517"/>
      <c r="J40" s="517"/>
      <c r="K40" s="517"/>
      <c r="L40" s="517"/>
      <c r="M40" s="519"/>
      <c r="N40" s="514"/>
      <c r="O40" s="512"/>
      <c r="P40" s="513"/>
      <c r="Q40" s="512"/>
      <c r="R40" s="514"/>
      <c r="S40" s="512"/>
      <c r="T40" s="511"/>
      <c r="U40" s="199"/>
      <c r="V40" s="199"/>
      <c r="W40" s="199"/>
      <c r="X40" s="199"/>
      <c r="Y40" s="224"/>
      <c r="Z40" s="176"/>
      <c r="AA40" s="177"/>
      <c r="AB40" s="177"/>
      <c r="AC40" s="178"/>
      <c r="AD40" s="177"/>
      <c r="AE40" s="177"/>
      <c r="AF40" s="177"/>
      <c r="AG40" s="179"/>
      <c r="AH40" s="180"/>
      <c r="AI40" s="178"/>
      <c r="AJ40" s="180"/>
      <c r="AK40" s="178"/>
      <c r="AL40" s="181"/>
      <c r="AM40" s="182"/>
      <c r="AN40" s="175"/>
      <c r="AO40" s="183"/>
      <c r="AP40" s="183"/>
      <c r="AQ40" s="184"/>
      <c r="AR40" s="519"/>
      <c r="AS40" s="519"/>
      <c r="AT40" s="519"/>
    </row>
    <row r="41" spans="1:46" x14ac:dyDescent="0.2">
      <c r="A41" s="523"/>
      <c r="B41" s="515"/>
      <c r="C41" s="515"/>
      <c r="D41" s="515"/>
      <c r="E41" s="515"/>
      <c r="F41" s="520"/>
      <c r="G41" s="517"/>
      <c r="H41" s="517"/>
      <c r="I41" s="517"/>
      <c r="J41" s="517"/>
      <c r="K41" s="517"/>
      <c r="L41" s="517"/>
      <c r="M41" s="519"/>
      <c r="N41" s="514"/>
      <c r="O41" s="512"/>
      <c r="P41" s="513"/>
      <c r="Q41" s="512"/>
      <c r="R41" s="514"/>
      <c r="S41" s="512"/>
      <c r="T41" s="511"/>
      <c r="U41" s="199"/>
      <c r="V41" s="199"/>
      <c r="W41" s="199"/>
      <c r="X41" s="199"/>
      <c r="Y41" s="224"/>
      <c r="Z41" s="176"/>
      <c r="AA41" s="177"/>
      <c r="AB41" s="177"/>
      <c r="AC41" s="178"/>
      <c r="AD41" s="177"/>
      <c r="AE41" s="177"/>
      <c r="AF41" s="177"/>
      <c r="AG41" s="179"/>
      <c r="AH41" s="180"/>
      <c r="AI41" s="178"/>
      <c r="AJ41" s="180"/>
      <c r="AK41" s="178"/>
      <c r="AL41" s="181"/>
      <c r="AM41" s="182"/>
      <c r="AN41" s="175"/>
      <c r="AO41" s="183"/>
      <c r="AP41" s="183"/>
      <c r="AQ41" s="184"/>
      <c r="AR41" s="519"/>
      <c r="AS41" s="519"/>
      <c r="AT41" s="519"/>
    </row>
    <row r="42" spans="1:46" x14ac:dyDescent="0.2">
      <c r="A42" s="523"/>
      <c r="B42" s="515"/>
      <c r="C42" s="515"/>
      <c r="D42" s="515"/>
      <c r="E42" s="515"/>
      <c r="F42" s="520"/>
      <c r="G42" s="518"/>
      <c r="H42" s="518"/>
      <c r="I42" s="518"/>
      <c r="J42" s="518"/>
      <c r="K42" s="518"/>
      <c r="L42" s="518"/>
      <c r="M42" s="519"/>
      <c r="N42" s="514"/>
      <c r="O42" s="512"/>
      <c r="P42" s="513"/>
      <c r="Q42" s="512"/>
      <c r="R42" s="514"/>
      <c r="S42" s="512"/>
      <c r="T42" s="511"/>
      <c r="U42" s="199"/>
      <c r="V42" s="199"/>
      <c r="W42" s="199"/>
      <c r="X42" s="199"/>
      <c r="Y42" s="224"/>
      <c r="Z42" s="176"/>
      <c r="AA42" s="177"/>
      <c r="AB42" s="177"/>
      <c r="AC42" s="178"/>
      <c r="AD42" s="177"/>
      <c r="AE42" s="177"/>
      <c r="AF42" s="177"/>
      <c r="AG42" s="179"/>
      <c r="AH42" s="180"/>
      <c r="AI42" s="178"/>
      <c r="AJ42" s="180"/>
      <c r="AK42" s="178"/>
      <c r="AL42" s="181"/>
      <c r="AM42" s="182"/>
      <c r="AN42" s="175"/>
      <c r="AO42" s="183"/>
      <c r="AP42" s="183"/>
      <c r="AQ42" s="184"/>
      <c r="AR42" s="519"/>
      <c r="AS42" s="519"/>
      <c r="AT42" s="519"/>
    </row>
    <row r="43" spans="1:46" x14ac:dyDescent="0.2">
      <c r="A43" s="523">
        <v>6</v>
      </c>
      <c r="B43" s="515"/>
      <c r="C43" s="515"/>
      <c r="D43" s="515"/>
      <c r="E43" s="515"/>
      <c r="F43" s="520"/>
      <c r="G43" s="516"/>
      <c r="H43" s="516"/>
      <c r="I43" s="516"/>
      <c r="J43" s="516"/>
      <c r="K43" s="516"/>
      <c r="L43" s="516"/>
      <c r="M43" s="519"/>
      <c r="N43" s="514"/>
      <c r="O43" s="512"/>
      <c r="P43" s="513"/>
      <c r="Q43" s="512"/>
      <c r="R43" s="514"/>
      <c r="S43" s="512"/>
      <c r="T43" s="511"/>
      <c r="U43" s="199"/>
      <c r="V43" s="199"/>
      <c r="W43" s="199"/>
      <c r="X43" s="199"/>
      <c r="Y43" s="224"/>
      <c r="Z43" s="176"/>
      <c r="AA43" s="177"/>
      <c r="AB43" s="177"/>
      <c r="AC43" s="178"/>
      <c r="AD43" s="177"/>
      <c r="AE43" s="177"/>
      <c r="AF43" s="177"/>
      <c r="AG43" s="179"/>
      <c r="AH43" s="180"/>
      <c r="AI43" s="178"/>
      <c r="AJ43" s="180"/>
      <c r="AK43" s="178"/>
      <c r="AL43" s="181"/>
      <c r="AM43" s="177"/>
      <c r="AN43" s="175"/>
      <c r="AO43" s="183"/>
      <c r="AP43" s="183"/>
      <c r="AQ43" s="184"/>
      <c r="AR43" s="519"/>
      <c r="AS43" s="519"/>
      <c r="AT43" s="519"/>
    </row>
    <row r="44" spans="1:46" x14ac:dyDescent="0.2">
      <c r="A44" s="523"/>
      <c r="B44" s="515"/>
      <c r="C44" s="515"/>
      <c r="D44" s="515"/>
      <c r="E44" s="515"/>
      <c r="F44" s="520"/>
      <c r="G44" s="517"/>
      <c r="H44" s="517"/>
      <c r="I44" s="517"/>
      <c r="J44" s="517"/>
      <c r="K44" s="517"/>
      <c r="L44" s="517"/>
      <c r="M44" s="519"/>
      <c r="N44" s="514"/>
      <c r="O44" s="512"/>
      <c r="P44" s="513"/>
      <c r="Q44" s="512"/>
      <c r="R44" s="514"/>
      <c r="S44" s="512"/>
      <c r="T44" s="511"/>
      <c r="U44" s="199"/>
      <c r="V44" s="199"/>
      <c r="W44" s="199"/>
      <c r="X44" s="199"/>
      <c r="Y44" s="224"/>
      <c r="Z44" s="176"/>
      <c r="AA44" s="177"/>
      <c r="AB44" s="177"/>
      <c r="AC44" s="178"/>
      <c r="AD44" s="177"/>
      <c r="AE44" s="177"/>
      <c r="AF44" s="177"/>
      <c r="AG44" s="179"/>
      <c r="AH44" s="180"/>
      <c r="AI44" s="178"/>
      <c r="AJ44" s="180"/>
      <c r="AK44" s="178"/>
      <c r="AL44" s="181"/>
      <c r="AM44" s="182"/>
      <c r="AN44" s="175"/>
      <c r="AO44" s="183"/>
      <c r="AP44" s="183"/>
      <c r="AQ44" s="184"/>
      <c r="AR44" s="519"/>
      <c r="AS44" s="519"/>
      <c r="AT44" s="519"/>
    </row>
    <row r="45" spans="1:46" x14ac:dyDescent="0.2">
      <c r="A45" s="523"/>
      <c r="B45" s="515"/>
      <c r="C45" s="515"/>
      <c r="D45" s="515"/>
      <c r="E45" s="515"/>
      <c r="F45" s="520"/>
      <c r="G45" s="517"/>
      <c r="H45" s="517"/>
      <c r="I45" s="517"/>
      <c r="J45" s="517"/>
      <c r="K45" s="517"/>
      <c r="L45" s="517"/>
      <c r="M45" s="519"/>
      <c r="N45" s="514"/>
      <c r="O45" s="512"/>
      <c r="P45" s="513"/>
      <c r="Q45" s="512"/>
      <c r="R45" s="514"/>
      <c r="S45" s="512"/>
      <c r="T45" s="511"/>
      <c r="U45" s="199"/>
      <c r="V45" s="199"/>
      <c r="W45" s="199"/>
      <c r="X45" s="199"/>
      <c r="Y45" s="224"/>
      <c r="Z45" s="176"/>
      <c r="AA45" s="177"/>
      <c r="AB45" s="177"/>
      <c r="AC45" s="178"/>
      <c r="AD45" s="177"/>
      <c r="AE45" s="177"/>
      <c r="AF45" s="177"/>
      <c r="AG45" s="179"/>
      <c r="AH45" s="180"/>
      <c r="AI45" s="178"/>
      <c r="AJ45" s="180"/>
      <c r="AK45" s="178"/>
      <c r="AL45" s="181"/>
      <c r="AM45" s="182"/>
      <c r="AN45" s="175"/>
      <c r="AO45" s="183"/>
      <c r="AP45" s="183"/>
      <c r="AQ45" s="184"/>
      <c r="AR45" s="519"/>
      <c r="AS45" s="519"/>
      <c r="AT45" s="519"/>
    </row>
    <row r="46" spans="1:46" x14ac:dyDescent="0.2">
      <c r="A46" s="523"/>
      <c r="B46" s="515"/>
      <c r="C46" s="515"/>
      <c r="D46" s="515"/>
      <c r="E46" s="515"/>
      <c r="F46" s="520"/>
      <c r="G46" s="517"/>
      <c r="H46" s="517"/>
      <c r="I46" s="517"/>
      <c r="J46" s="517"/>
      <c r="K46" s="517"/>
      <c r="L46" s="517"/>
      <c r="M46" s="519"/>
      <c r="N46" s="514"/>
      <c r="O46" s="512"/>
      <c r="P46" s="513"/>
      <c r="Q46" s="512"/>
      <c r="R46" s="514"/>
      <c r="S46" s="512"/>
      <c r="T46" s="511"/>
      <c r="U46" s="199"/>
      <c r="V46" s="199"/>
      <c r="W46" s="199"/>
      <c r="X46" s="199"/>
      <c r="Y46" s="224"/>
      <c r="Z46" s="176"/>
      <c r="AA46" s="177"/>
      <c r="AB46" s="177"/>
      <c r="AC46" s="178"/>
      <c r="AD46" s="177"/>
      <c r="AE46" s="177"/>
      <c r="AF46" s="177"/>
      <c r="AG46" s="179"/>
      <c r="AH46" s="180"/>
      <c r="AI46" s="178"/>
      <c r="AJ46" s="180"/>
      <c r="AK46" s="178"/>
      <c r="AL46" s="181"/>
      <c r="AM46" s="182"/>
      <c r="AN46" s="175"/>
      <c r="AO46" s="183"/>
      <c r="AP46" s="183"/>
      <c r="AQ46" s="184"/>
      <c r="AR46" s="519"/>
      <c r="AS46" s="519"/>
      <c r="AT46" s="519"/>
    </row>
    <row r="47" spans="1:46" x14ac:dyDescent="0.2">
      <c r="A47" s="523"/>
      <c r="B47" s="515"/>
      <c r="C47" s="515"/>
      <c r="D47" s="515"/>
      <c r="E47" s="515"/>
      <c r="F47" s="520"/>
      <c r="G47" s="517"/>
      <c r="H47" s="517"/>
      <c r="I47" s="517"/>
      <c r="J47" s="517"/>
      <c r="K47" s="517"/>
      <c r="L47" s="517"/>
      <c r="M47" s="519"/>
      <c r="N47" s="514"/>
      <c r="O47" s="512"/>
      <c r="P47" s="513"/>
      <c r="Q47" s="512"/>
      <c r="R47" s="514"/>
      <c r="S47" s="512"/>
      <c r="T47" s="511"/>
      <c r="U47" s="199"/>
      <c r="V47" s="199"/>
      <c r="W47" s="199"/>
      <c r="X47" s="199"/>
      <c r="Y47" s="224"/>
      <c r="Z47" s="176"/>
      <c r="AA47" s="177"/>
      <c r="AB47" s="177"/>
      <c r="AC47" s="178"/>
      <c r="AD47" s="177"/>
      <c r="AE47" s="177"/>
      <c r="AF47" s="177"/>
      <c r="AG47" s="179"/>
      <c r="AH47" s="180"/>
      <c r="AI47" s="178"/>
      <c r="AJ47" s="180"/>
      <c r="AK47" s="178"/>
      <c r="AL47" s="181"/>
      <c r="AM47" s="182"/>
      <c r="AN47" s="175"/>
      <c r="AO47" s="183"/>
      <c r="AP47" s="183"/>
      <c r="AQ47" s="184"/>
      <c r="AR47" s="519"/>
      <c r="AS47" s="519"/>
      <c r="AT47" s="519"/>
    </row>
    <row r="48" spans="1:46" x14ac:dyDescent="0.2">
      <c r="A48" s="523"/>
      <c r="B48" s="515"/>
      <c r="C48" s="515"/>
      <c r="D48" s="515"/>
      <c r="E48" s="515"/>
      <c r="F48" s="520"/>
      <c r="G48" s="518"/>
      <c r="H48" s="518"/>
      <c r="I48" s="518"/>
      <c r="J48" s="518"/>
      <c r="K48" s="518"/>
      <c r="L48" s="518"/>
      <c r="M48" s="519"/>
      <c r="N48" s="514"/>
      <c r="O48" s="512"/>
      <c r="P48" s="513"/>
      <c r="Q48" s="512"/>
      <c r="R48" s="514"/>
      <c r="S48" s="512"/>
      <c r="T48" s="511"/>
      <c r="U48" s="199"/>
      <c r="V48" s="199"/>
      <c r="W48" s="199"/>
      <c r="X48" s="199"/>
      <c r="Y48" s="224"/>
      <c r="Z48" s="176"/>
      <c r="AA48" s="177"/>
      <c r="AB48" s="177"/>
      <c r="AC48" s="178"/>
      <c r="AD48" s="177"/>
      <c r="AE48" s="177"/>
      <c r="AF48" s="177"/>
      <c r="AG48" s="179"/>
      <c r="AH48" s="180"/>
      <c r="AI48" s="178"/>
      <c r="AJ48" s="180"/>
      <c r="AK48" s="178"/>
      <c r="AL48" s="181"/>
      <c r="AM48" s="182"/>
      <c r="AN48" s="175"/>
      <c r="AO48" s="183"/>
      <c r="AP48" s="183"/>
      <c r="AQ48" s="184"/>
      <c r="AR48" s="519"/>
      <c r="AS48" s="519"/>
      <c r="AT48" s="519"/>
    </row>
    <row r="49" spans="1:46" x14ac:dyDescent="0.2">
      <c r="A49" s="523">
        <v>7</v>
      </c>
      <c r="B49" s="515"/>
      <c r="C49" s="515"/>
      <c r="D49" s="524"/>
      <c r="E49" s="524"/>
      <c r="F49" s="520"/>
      <c r="G49" s="516"/>
      <c r="H49" s="516"/>
      <c r="I49" s="516"/>
      <c r="J49" s="516"/>
      <c r="K49" s="516"/>
      <c r="L49" s="516"/>
      <c r="M49" s="519"/>
      <c r="N49" s="514"/>
      <c r="O49" s="512"/>
      <c r="P49" s="513"/>
      <c r="Q49" s="512"/>
      <c r="R49" s="514"/>
      <c r="S49" s="512"/>
      <c r="T49" s="511"/>
      <c r="U49" s="199"/>
      <c r="V49" s="199"/>
      <c r="W49" s="199"/>
      <c r="X49" s="199"/>
      <c r="Y49" s="224"/>
      <c r="Z49" s="176"/>
      <c r="AA49" s="177"/>
      <c r="AB49" s="177"/>
      <c r="AC49" s="178"/>
      <c r="AD49" s="177"/>
      <c r="AE49" s="177"/>
      <c r="AF49" s="177"/>
      <c r="AG49" s="179"/>
      <c r="AH49" s="180"/>
      <c r="AI49" s="178"/>
      <c r="AJ49" s="180"/>
      <c r="AK49" s="178"/>
      <c r="AL49" s="181"/>
      <c r="AM49" s="182"/>
      <c r="AN49" s="175"/>
      <c r="AO49" s="183"/>
      <c r="AP49" s="183"/>
      <c r="AQ49" s="184"/>
      <c r="AR49" s="519"/>
      <c r="AS49" s="519"/>
      <c r="AT49" s="519"/>
    </row>
    <row r="50" spans="1:46" x14ac:dyDescent="0.2">
      <c r="A50" s="523"/>
      <c r="B50" s="515"/>
      <c r="C50" s="515"/>
      <c r="D50" s="524"/>
      <c r="E50" s="524"/>
      <c r="F50" s="520"/>
      <c r="G50" s="517"/>
      <c r="H50" s="517"/>
      <c r="I50" s="517"/>
      <c r="J50" s="517"/>
      <c r="K50" s="517"/>
      <c r="L50" s="517"/>
      <c r="M50" s="519"/>
      <c r="N50" s="514"/>
      <c r="O50" s="512"/>
      <c r="P50" s="513"/>
      <c r="Q50" s="512"/>
      <c r="R50" s="514"/>
      <c r="S50" s="512"/>
      <c r="T50" s="511"/>
      <c r="U50" s="199"/>
      <c r="V50" s="199"/>
      <c r="W50" s="199"/>
      <c r="X50" s="199"/>
      <c r="Y50" s="224"/>
      <c r="Z50" s="176"/>
      <c r="AA50" s="177"/>
      <c r="AB50" s="177"/>
      <c r="AC50" s="178"/>
      <c r="AD50" s="177"/>
      <c r="AE50" s="177"/>
      <c r="AF50" s="177"/>
      <c r="AG50" s="179"/>
      <c r="AH50" s="180"/>
      <c r="AI50" s="178"/>
      <c r="AJ50" s="180"/>
      <c r="AK50" s="178"/>
      <c r="AL50" s="181"/>
      <c r="AM50" s="182"/>
      <c r="AN50" s="175"/>
      <c r="AO50" s="183"/>
      <c r="AP50" s="183"/>
      <c r="AQ50" s="184"/>
      <c r="AR50" s="519"/>
      <c r="AS50" s="519"/>
      <c r="AT50" s="519"/>
    </row>
    <row r="51" spans="1:46" x14ac:dyDescent="0.2">
      <c r="A51" s="523"/>
      <c r="B51" s="515"/>
      <c r="C51" s="515"/>
      <c r="D51" s="524"/>
      <c r="E51" s="524"/>
      <c r="F51" s="520"/>
      <c r="G51" s="517"/>
      <c r="H51" s="517"/>
      <c r="I51" s="517"/>
      <c r="J51" s="517"/>
      <c r="K51" s="517"/>
      <c r="L51" s="517"/>
      <c r="M51" s="519"/>
      <c r="N51" s="514"/>
      <c r="O51" s="512"/>
      <c r="P51" s="513"/>
      <c r="Q51" s="512"/>
      <c r="R51" s="514"/>
      <c r="S51" s="512"/>
      <c r="T51" s="511"/>
      <c r="U51" s="199"/>
      <c r="V51" s="199"/>
      <c r="W51" s="199"/>
      <c r="X51" s="199"/>
      <c r="Y51" s="224"/>
      <c r="Z51" s="176"/>
      <c r="AA51" s="177"/>
      <c r="AB51" s="177"/>
      <c r="AC51" s="178"/>
      <c r="AD51" s="177"/>
      <c r="AE51" s="177"/>
      <c r="AF51" s="177"/>
      <c r="AG51" s="179"/>
      <c r="AH51" s="180"/>
      <c r="AI51" s="178"/>
      <c r="AJ51" s="180"/>
      <c r="AK51" s="178"/>
      <c r="AL51" s="181"/>
      <c r="AM51" s="182"/>
      <c r="AN51" s="175"/>
      <c r="AO51" s="183"/>
      <c r="AP51" s="183"/>
      <c r="AQ51" s="184"/>
      <c r="AR51" s="519"/>
      <c r="AS51" s="519"/>
      <c r="AT51" s="519"/>
    </row>
    <row r="52" spans="1:46" x14ac:dyDescent="0.2">
      <c r="A52" s="523"/>
      <c r="B52" s="515"/>
      <c r="C52" s="515"/>
      <c r="D52" s="524"/>
      <c r="E52" s="524"/>
      <c r="F52" s="520"/>
      <c r="G52" s="517"/>
      <c r="H52" s="517"/>
      <c r="I52" s="517"/>
      <c r="J52" s="517"/>
      <c r="K52" s="517"/>
      <c r="L52" s="517"/>
      <c r="M52" s="519"/>
      <c r="N52" s="514"/>
      <c r="O52" s="512"/>
      <c r="P52" s="513"/>
      <c r="Q52" s="512"/>
      <c r="R52" s="514"/>
      <c r="S52" s="512"/>
      <c r="T52" s="511"/>
      <c r="U52" s="199"/>
      <c r="V52" s="199"/>
      <c r="W52" s="199"/>
      <c r="X52" s="199"/>
      <c r="Y52" s="224"/>
      <c r="Z52" s="176"/>
      <c r="AA52" s="177"/>
      <c r="AB52" s="177"/>
      <c r="AC52" s="178"/>
      <c r="AD52" s="177"/>
      <c r="AE52" s="177"/>
      <c r="AF52" s="177"/>
      <c r="AG52" s="179"/>
      <c r="AH52" s="180"/>
      <c r="AI52" s="178"/>
      <c r="AJ52" s="180"/>
      <c r="AK52" s="178"/>
      <c r="AL52" s="181"/>
      <c r="AM52" s="182"/>
      <c r="AN52" s="175"/>
      <c r="AO52" s="183"/>
      <c r="AP52" s="183"/>
      <c r="AQ52" s="184"/>
      <c r="AR52" s="519"/>
      <c r="AS52" s="519"/>
      <c r="AT52" s="519"/>
    </row>
    <row r="53" spans="1:46" x14ac:dyDescent="0.2">
      <c r="A53" s="523"/>
      <c r="B53" s="515"/>
      <c r="C53" s="515"/>
      <c r="D53" s="524"/>
      <c r="E53" s="524"/>
      <c r="F53" s="520"/>
      <c r="G53" s="517"/>
      <c r="H53" s="517"/>
      <c r="I53" s="517"/>
      <c r="J53" s="517"/>
      <c r="K53" s="517"/>
      <c r="L53" s="517"/>
      <c r="M53" s="519"/>
      <c r="N53" s="514"/>
      <c r="O53" s="512"/>
      <c r="P53" s="513"/>
      <c r="Q53" s="512"/>
      <c r="R53" s="514"/>
      <c r="S53" s="512"/>
      <c r="T53" s="511"/>
      <c r="U53" s="199"/>
      <c r="V53" s="199"/>
      <c r="W53" s="199"/>
      <c r="X53" s="199"/>
      <c r="Y53" s="224"/>
      <c r="Z53" s="176"/>
      <c r="AA53" s="177"/>
      <c r="AB53" s="177"/>
      <c r="AC53" s="178"/>
      <c r="AD53" s="177"/>
      <c r="AE53" s="177"/>
      <c r="AF53" s="177"/>
      <c r="AG53" s="179"/>
      <c r="AH53" s="180"/>
      <c r="AI53" s="178"/>
      <c r="AJ53" s="180"/>
      <c r="AK53" s="178"/>
      <c r="AL53" s="181"/>
      <c r="AM53" s="182"/>
      <c r="AN53" s="175"/>
      <c r="AO53" s="183"/>
      <c r="AP53" s="183"/>
      <c r="AQ53" s="184"/>
      <c r="AR53" s="519"/>
      <c r="AS53" s="519"/>
      <c r="AT53" s="519"/>
    </row>
    <row r="54" spans="1:46" x14ac:dyDescent="0.2">
      <c r="A54" s="523"/>
      <c r="B54" s="515"/>
      <c r="C54" s="515"/>
      <c r="D54" s="524"/>
      <c r="E54" s="524"/>
      <c r="F54" s="520"/>
      <c r="G54" s="518"/>
      <c r="H54" s="518"/>
      <c r="I54" s="518"/>
      <c r="J54" s="518"/>
      <c r="K54" s="518"/>
      <c r="L54" s="518"/>
      <c r="M54" s="519"/>
      <c r="N54" s="514"/>
      <c r="O54" s="512"/>
      <c r="P54" s="513"/>
      <c r="Q54" s="512"/>
      <c r="R54" s="514"/>
      <c r="S54" s="512"/>
      <c r="T54" s="511"/>
      <c r="U54" s="199"/>
      <c r="V54" s="199"/>
      <c r="W54" s="199"/>
      <c r="X54" s="199"/>
      <c r="Y54" s="224"/>
      <c r="Z54" s="176"/>
      <c r="AA54" s="177"/>
      <c r="AB54" s="177"/>
      <c r="AC54" s="178"/>
      <c r="AD54" s="177"/>
      <c r="AE54" s="177"/>
      <c r="AF54" s="177"/>
      <c r="AG54" s="179"/>
      <c r="AH54" s="180"/>
      <c r="AI54" s="178"/>
      <c r="AJ54" s="180"/>
      <c r="AK54" s="178"/>
      <c r="AL54" s="181"/>
      <c r="AM54" s="182"/>
      <c r="AN54" s="175"/>
      <c r="AO54" s="183"/>
      <c r="AP54" s="183"/>
      <c r="AQ54" s="184"/>
      <c r="AR54" s="519"/>
      <c r="AS54" s="519"/>
      <c r="AT54" s="519"/>
    </row>
    <row r="55" spans="1:46" x14ac:dyDescent="0.2">
      <c r="A55" s="523">
        <v>8</v>
      </c>
      <c r="B55" s="515"/>
      <c r="C55" s="515"/>
      <c r="D55" s="515"/>
      <c r="E55" s="515"/>
      <c r="F55" s="520" t="str">
        <f t="shared" ref="F55" si="0">+CONCATENATE(B55," ",C55," ",D55)</f>
        <v xml:space="preserve">  </v>
      </c>
      <c r="G55" s="516"/>
      <c r="H55" s="516"/>
      <c r="I55" s="516"/>
      <c r="J55" s="516"/>
      <c r="K55" s="516"/>
      <c r="L55" s="516"/>
      <c r="M55" s="519"/>
      <c r="N55" s="514" t="str">
        <f>IF(M55&lt;=0,"",IF(M55&lt;=2,"Muy Baja",IF(M55&lt;=24,"Baja",IF(M55&lt;=500,"Media",IF(M55&lt;=5000,"Alta","Muy Alta")))))</f>
        <v/>
      </c>
      <c r="O55" s="512" t="str">
        <f>IF(N55="","",IF(N55="Muy Baja",0.2,IF(N55="Baja",0.4,IF(N55="Media",0.6,IF(N55="Alta",0.8,IF(N55="Muy Alta",1,))))))</f>
        <v/>
      </c>
      <c r="P55" s="513"/>
      <c r="Q55" s="512">
        <f>IF(NOT(ISERROR(MATCH(P55,'Tabla Impacto'!$B$245:$B$247,0))),'Tabla Impacto'!$F$224&amp;"Por favor no seleccionar los criterios de impacto(Afectación Económica o presupuestal y Pérdida Reputacional)",P55)</f>
        <v>0</v>
      </c>
      <c r="R55" s="514" t="str">
        <f>IF(OR(Q55='Tabla Impacto'!$C$12,Q55='Tabla Impacto'!$D$12),"Leve",IF(OR(Q55='Tabla Impacto'!$C$13,Q55='Tabla Impacto'!$D$13),"Menor",IF(OR(Q55='Tabla Impacto'!$C$14,Q55='Tabla Impacto'!$D$14),"Moderado",IF(OR(Q55='Tabla Impacto'!$C$15,Q55='Tabla Impacto'!$D$15),"Mayor",IF(OR(Q55='Tabla Impacto'!$C$16,Q55='Tabla Impacto'!$D$16),"Catastrófico","")))))</f>
        <v/>
      </c>
      <c r="S55" s="512" t="str">
        <f>IF(R55="","",IF(R55="Leve",0.2,IF(R55="Menor",0.4,IF(R55="Moderado",0.6,IF(R55="Mayor",0.8,IF(R55="Catastrófico",1,))))))</f>
        <v/>
      </c>
      <c r="T55" s="511" t="str">
        <f>IF(OR(AND(N55="Muy Baja",R55="Leve"),AND(N55="Muy Baja",R55="Menor"),AND(N55="Baja",R55="Leve")),"Bajo",IF(OR(AND(N55="Muy baja",R55="Moderado"),AND(N55="Baja",R55="Menor"),AND(N55="Baja",R55="Moderado"),AND(N55="Media",R55="Leve"),AND(N55="Media",R55="Menor"),AND(N55="Media",R55="Moderado"),AND(N55="Alta",R55="Leve"),AND(N55="Alta",R55="Menor")),"Moderado",IF(OR(AND(N55="Muy Baja",R55="Mayor"),AND(N55="Baja",R55="Mayor"),AND(N55="Media",R55="Mayor"),AND(N55="Alta",R55="Moderado"),AND(N55="Alta",R55="Mayor"),AND(N55="Muy Alta",R55="Leve"),AND(N55="Muy Alta",R55="Menor"),AND(N55="Muy Alta",R55="Moderado"),AND(N55="Muy Alta",R55="Mayor")),"Alto",IF(OR(AND(N55="Muy Baja",R55="Catastrófico"),AND(N55="Baja",R55="Catastrófico"),AND(N55="Media",R55="Catastrófico"),AND(N55="Alta",R55="Catastrófico"),AND(N55="Muy Alta",R55="Catastrófico")),"Extremo",""))))</f>
        <v/>
      </c>
      <c r="U55" s="199">
        <v>1</v>
      </c>
      <c r="V55" s="199"/>
      <c r="W55" s="199"/>
      <c r="X55" s="199"/>
      <c r="Y55" s="224" t="str">
        <f t="shared" ref="Y55:Y72" si="1">+CONCATENATE(V55," ",W55," ",X55)</f>
        <v xml:space="preserve">  </v>
      </c>
      <c r="Z55" s="176" t="str">
        <f>IF(OR(AA55="Preventivo",AA55="Detectivo"),"Probabilidad",IF(AA55="Correctivo","Impacto",""))</f>
        <v/>
      </c>
      <c r="AA55" s="177"/>
      <c r="AB55" s="177"/>
      <c r="AC55" s="178" t="str">
        <f>IF(AND(AA55="Preventivo",AB55="Automático"),"50%",IF(AND(AA55="Preventivo",AB55="Manual"),"40%",IF(AND(AA55="Detectivo",AB55="Automático"),"40%",IF(AND(AA55="Detectivo",AB55="Manual"),"30%",IF(AND(AA55="Correctivo",AB55="Automático"),"35%",IF(AND(AA55="Correctivo",AB55="Manual"),"25%",""))))))</f>
        <v/>
      </c>
      <c r="AD55" s="177"/>
      <c r="AE55" s="177"/>
      <c r="AF55" s="177"/>
      <c r="AG55" s="179" t="str">
        <f>IFERROR(IF(Z55="Probabilidad",(O55-(+O55*AC55)),IF(Z55="Impacto",O55,"")),"")</f>
        <v/>
      </c>
      <c r="AH55" s="180" t="str">
        <f>IFERROR(IF(AG55="","",IF(AG55&lt;=0.2,"Muy Baja",IF(AG55&lt;=0.4,"Baja",IF(AG55&lt;=0.6,"Media",IF(AG55&lt;=0.8,"Alta","Muy Alta"))))),"")</f>
        <v/>
      </c>
      <c r="AI55" s="178" t="str">
        <f>+AG55</f>
        <v/>
      </c>
      <c r="AJ55" s="180" t="str">
        <f>IFERROR(IF(AK55="","",IF(AK55&lt;=0.2,"Leve",IF(AK55&lt;=0.4,"Menor",IF(AK55&lt;=0.6,"Moderado",IF(AK55&lt;=0.8,"Mayor","Catastrófico"))))),"")</f>
        <v/>
      </c>
      <c r="AK55" s="178" t="str">
        <f t="shared" ref="AK55" si="2">IFERROR(IF(Z55="Impacto",(S55-(+S55*AC55)),IF(Z55="Probabilidad",S55,"")),"")</f>
        <v/>
      </c>
      <c r="AL55" s="181" t="str">
        <f>IFERROR(IF(OR(AND(AH55="Muy Baja",AJ55="Leve"),AND(AH55="Muy Baja",AJ55="Menor"),AND(AH55="Baja",AJ55="Leve")),"Bajo",IF(OR(AND(AH55="Muy baja",AJ55="Moderado"),AND(AH55="Baja",AJ55="Menor"),AND(AH55="Baja",AJ55="Moderado"),AND(AH55="Media",AJ55="Leve"),AND(AH55="Media",AJ55="Menor"),AND(AH55="Media",AJ55="Moderado"),AND(AH55="Alta",AJ55="Leve"),AND(AH55="Alta",AJ55="Menor")),"Moderado",IF(OR(AND(AH55="Muy Baja",AJ55="Mayor"),AND(AH55="Baja",AJ55="Mayor"),AND(AH55="Media",AJ55="Mayor"),AND(AH55="Alta",AJ55="Moderado"),AND(AH55="Alta",AJ55="Mayor"),AND(AH55="Muy Alta",AJ55="Leve"),AND(AH55="Muy Alta",AJ55="Menor"),AND(AH55="Muy Alta",AJ55="Moderado"),AND(AH55="Muy Alta",AJ55="Mayor")),"Alto",IF(OR(AND(AH55="Muy Baja",AJ55="Catastrófico"),AND(AH55="Baja",AJ55="Catastrófico"),AND(AH55="Media",AJ55="Catastrófico"),AND(AH55="Alta",AJ55="Catastrófico"),AND(AH55="Muy Alta",AJ55="Catastrófico")),"Extremo","")))),"")</f>
        <v/>
      </c>
      <c r="AM55" s="182"/>
      <c r="AN55" s="175"/>
      <c r="AO55" s="183"/>
      <c r="AP55" s="183"/>
      <c r="AQ55" s="184"/>
      <c r="AR55" s="519"/>
      <c r="AS55" s="519"/>
      <c r="AT55" s="519"/>
    </row>
    <row r="56" spans="1:46" x14ac:dyDescent="0.2">
      <c r="A56" s="523"/>
      <c r="B56" s="515"/>
      <c r="C56" s="515"/>
      <c r="D56" s="515"/>
      <c r="E56" s="515"/>
      <c r="F56" s="520"/>
      <c r="G56" s="517"/>
      <c r="H56" s="517"/>
      <c r="I56" s="517"/>
      <c r="J56" s="517"/>
      <c r="K56" s="517"/>
      <c r="L56" s="517"/>
      <c r="M56" s="519"/>
      <c r="N56" s="514"/>
      <c r="O56" s="512"/>
      <c r="P56" s="513"/>
      <c r="Q56" s="512">
        <f>IF(NOT(ISERROR(MATCH(P56,_xlfn.ANCHORARRAY(F67),0))),O69&amp;"Por favor no seleccionar los criterios de impacto",P56)</f>
        <v>0</v>
      </c>
      <c r="R56" s="514"/>
      <c r="S56" s="512"/>
      <c r="T56" s="511"/>
      <c r="U56" s="199">
        <v>2</v>
      </c>
      <c r="V56" s="199"/>
      <c r="W56" s="199"/>
      <c r="X56" s="199"/>
      <c r="Y56" s="224" t="str">
        <f t="shared" si="1"/>
        <v xml:space="preserve">  </v>
      </c>
      <c r="Z56" s="176" t="str">
        <f>IF(OR(AA56="Preventivo",AA56="Detectivo"),"Probabilidad",IF(AA56="Correctivo","Impacto",""))</f>
        <v/>
      </c>
      <c r="AA56" s="177"/>
      <c r="AB56" s="177"/>
      <c r="AC56" s="178" t="str">
        <f t="shared" ref="AC56:AC60" si="3">IF(AND(AA56="Preventivo",AB56="Automático"),"50%",IF(AND(AA56="Preventivo",AB56="Manual"),"40%",IF(AND(AA56="Detectivo",AB56="Automático"),"40%",IF(AND(AA56="Detectivo",AB56="Manual"),"30%",IF(AND(AA56="Correctivo",AB56="Automático"),"35%",IF(AND(AA56="Correctivo",AB56="Manual"),"25%",""))))))</f>
        <v/>
      </c>
      <c r="AD56" s="177"/>
      <c r="AE56" s="177"/>
      <c r="AF56" s="177"/>
      <c r="AG56" s="179" t="str">
        <f>IFERROR(IF(AND(Z55="Probabilidad",Z56="Probabilidad"),(AI55-(+AI55*AC56)),IF(Z56="Probabilidad",(O55-(+O55*AC56)),IF(Z56="Impacto",AI55,""))),"")</f>
        <v/>
      </c>
      <c r="AH56" s="180" t="str">
        <f t="shared" ref="AH56:AH72" si="4">IFERROR(IF(AG56="","",IF(AG56&lt;=0.2,"Muy Baja",IF(AG56&lt;=0.4,"Baja",IF(AG56&lt;=0.6,"Media",IF(AG56&lt;=0.8,"Alta","Muy Alta"))))),"")</f>
        <v/>
      </c>
      <c r="AI56" s="178" t="str">
        <f t="shared" ref="AI56:AI60" si="5">+AG56</f>
        <v/>
      </c>
      <c r="AJ56" s="180" t="str">
        <f t="shared" ref="AJ56:AJ72" si="6">IFERROR(IF(AK56="","",IF(AK56&lt;=0.2,"Leve",IF(AK56&lt;=0.4,"Menor",IF(AK56&lt;=0.6,"Moderado",IF(AK56&lt;=0.8,"Mayor","Catastrófico"))))),"")</f>
        <v/>
      </c>
      <c r="AK56" s="178" t="str">
        <f t="shared" ref="AK56" si="7">IFERROR(IF(AND(Z55="Impacto",Z56="Impacto"),(AK55-(+AK55*AC56)),IF(Z56="Impacto",($S$13-(+$S$13*AC56)),IF(Z56="Probabilidad",AK55,""))),"")</f>
        <v/>
      </c>
      <c r="AL56" s="181" t="str">
        <f t="shared" ref="AL56:AL57" si="8">IFERROR(IF(OR(AND(AH56="Muy Baja",AJ56="Leve"),AND(AH56="Muy Baja",AJ56="Menor"),AND(AH56="Baja",AJ56="Leve")),"Bajo",IF(OR(AND(AH56="Muy baja",AJ56="Moderado"),AND(AH56="Baja",AJ56="Menor"),AND(AH56="Baja",AJ56="Moderado"),AND(AH56="Media",AJ56="Leve"),AND(AH56="Media",AJ56="Menor"),AND(AH56="Media",AJ56="Moderado"),AND(AH56="Alta",AJ56="Leve"),AND(AH56="Alta",AJ56="Menor")),"Moderado",IF(OR(AND(AH56="Muy Baja",AJ56="Mayor"),AND(AH56="Baja",AJ56="Mayor"),AND(AH56="Media",AJ56="Mayor"),AND(AH56="Alta",AJ56="Moderado"),AND(AH56="Alta",AJ56="Mayor"),AND(AH56="Muy Alta",AJ56="Leve"),AND(AH56="Muy Alta",AJ56="Menor"),AND(AH56="Muy Alta",AJ56="Moderado"),AND(AH56="Muy Alta",AJ56="Mayor")),"Alto",IF(OR(AND(AH56="Muy Baja",AJ56="Catastrófico"),AND(AH56="Baja",AJ56="Catastrófico"),AND(AH56="Media",AJ56="Catastrófico"),AND(AH56="Alta",AJ56="Catastrófico"),AND(AH56="Muy Alta",AJ56="Catastrófico")),"Extremo","")))),"")</f>
        <v/>
      </c>
      <c r="AM56" s="182"/>
      <c r="AN56" s="175"/>
      <c r="AO56" s="183"/>
      <c r="AP56" s="183"/>
      <c r="AQ56" s="184"/>
      <c r="AR56" s="519"/>
      <c r="AS56" s="519"/>
      <c r="AT56" s="519"/>
    </row>
    <row r="57" spans="1:46" x14ac:dyDescent="0.2">
      <c r="A57" s="523"/>
      <c r="B57" s="515"/>
      <c r="C57" s="515"/>
      <c r="D57" s="515"/>
      <c r="E57" s="515"/>
      <c r="F57" s="520"/>
      <c r="G57" s="517"/>
      <c r="H57" s="517"/>
      <c r="I57" s="517"/>
      <c r="J57" s="517"/>
      <c r="K57" s="517"/>
      <c r="L57" s="517"/>
      <c r="M57" s="519"/>
      <c r="N57" s="514"/>
      <c r="O57" s="512"/>
      <c r="P57" s="513"/>
      <c r="Q57" s="512">
        <f>IF(NOT(ISERROR(MATCH(P57,_xlfn.ANCHORARRAY(F68),0))),O70&amp;"Por favor no seleccionar los criterios de impacto",P57)</f>
        <v>0</v>
      </c>
      <c r="R57" s="514"/>
      <c r="S57" s="512"/>
      <c r="T57" s="511"/>
      <c r="U57" s="199">
        <v>3</v>
      </c>
      <c r="V57" s="199"/>
      <c r="W57" s="199"/>
      <c r="X57" s="199"/>
      <c r="Y57" s="224" t="str">
        <f t="shared" si="1"/>
        <v xml:space="preserve">  </v>
      </c>
      <c r="Z57" s="176" t="str">
        <f>IF(OR(AA57="Preventivo",AA57="Detectivo"),"Probabilidad",IF(AA57="Correctivo","Impacto",""))</f>
        <v/>
      </c>
      <c r="AA57" s="177"/>
      <c r="AB57" s="177"/>
      <c r="AC57" s="178" t="str">
        <f t="shared" si="3"/>
        <v/>
      </c>
      <c r="AD57" s="177"/>
      <c r="AE57" s="177"/>
      <c r="AF57" s="177"/>
      <c r="AG57" s="179" t="str">
        <f>IFERROR(IF(AND(Z56="Probabilidad",Z57="Probabilidad"),(AI56-(+AI56*AC57)),IF(AND(Z56="Impacto",Z57="Probabilidad"),(AI55-(+AI55*AC57)),IF(Z57="Impacto",AI56,""))),"")</f>
        <v/>
      </c>
      <c r="AH57" s="180" t="str">
        <f t="shared" si="4"/>
        <v/>
      </c>
      <c r="AI57" s="178" t="str">
        <f t="shared" si="5"/>
        <v/>
      </c>
      <c r="AJ57" s="180" t="str">
        <f t="shared" si="6"/>
        <v/>
      </c>
      <c r="AK57" s="178" t="str">
        <f t="shared" ref="AK57" si="9">IFERROR(IF(AND(Z56="Impacto",Z57="Impacto"),(AK56-(+AK56*AC57)),IF(AND(Z56="Probabilidad",Z57="Impacto"),(AK55-(+AK55*AC57)),IF(Z57="Probabilidad",AK56,""))),"")</f>
        <v/>
      </c>
      <c r="AL57" s="181" t="str">
        <f t="shared" si="8"/>
        <v/>
      </c>
      <c r="AM57" s="182"/>
      <c r="AN57" s="175"/>
      <c r="AO57" s="183"/>
      <c r="AP57" s="183"/>
      <c r="AQ57" s="184"/>
      <c r="AR57" s="519"/>
      <c r="AS57" s="519"/>
      <c r="AT57" s="519"/>
    </row>
    <row r="58" spans="1:46" x14ac:dyDescent="0.2">
      <c r="A58" s="523"/>
      <c r="B58" s="515"/>
      <c r="C58" s="515"/>
      <c r="D58" s="515"/>
      <c r="E58" s="515"/>
      <c r="F58" s="520"/>
      <c r="G58" s="517"/>
      <c r="H58" s="517"/>
      <c r="I58" s="517"/>
      <c r="J58" s="517"/>
      <c r="K58" s="517"/>
      <c r="L58" s="517"/>
      <c r="M58" s="519"/>
      <c r="N58" s="514"/>
      <c r="O58" s="512"/>
      <c r="P58" s="513"/>
      <c r="Q58" s="512">
        <f>IF(NOT(ISERROR(MATCH(P58,_xlfn.ANCHORARRAY(F69),0))),O71&amp;"Por favor no seleccionar los criterios de impacto",P58)</f>
        <v>0</v>
      </c>
      <c r="R58" s="514"/>
      <c r="S58" s="512"/>
      <c r="T58" s="511"/>
      <c r="U58" s="199">
        <v>4</v>
      </c>
      <c r="V58" s="199"/>
      <c r="W58" s="199"/>
      <c r="X58" s="199"/>
      <c r="Y58" s="224" t="str">
        <f t="shared" si="1"/>
        <v xml:space="preserve">  </v>
      </c>
      <c r="Z58" s="176" t="str">
        <f t="shared" ref="Z58:Z60" si="10">IF(OR(AA58="Preventivo",AA58="Detectivo"),"Probabilidad",IF(AA58="Correctivo","Impacto",""))</f>
        <v/>
      </c>
      <c r="AA58" s="177"/>
      <c r="AB58" s="177"/>
      <c r="AC58" s="178" t="str">
        <f t="shared" si="3"/>
        <v/>
      </c>
      <c r="AD58" s="177"/>
      <c r="AE58" s="177"/>
      <c r="AF58" s="177"/>
      <c r="AG58" s="179" t="str">
        <f t="shared" ref="AG58:AG60" si="11">IFERROR(IF(AND(Z57="Probabilidad",Z58="Probabilidad"),(AI57-(+AI57*AC58)),IF(AND(Z57="Impacto",Z58="Probabilidad"),(AI56-(+AI56*AC58)),IF(Z58="Impacto",AI57,""))),"")</f>
        <v/>
      </c>
      <c r="AH58" s="180" t="str">
        <f t="shared" si="4"/>
        <v/>
      </c>
      <c r="AI58" s="178" t="str">
        <f t="shared" si="5"/>
        <v/>
      </c>
      <c r="AJ58" s="180" t="str">
        <f t="shared" si="6"/>
        <v/>
      </c>
      <c r="AK58" s="178" t="str">
        <f t="shared" ref="AK58:AK72" si="12">IFERROR(IF(AND(Z57="Impacto",Z58="Impacto"),(AK57-(+AK57*AC58)),IF(AND(Z57="Probabilidad",Z58="Impacto"),(AK56-(+AK56*AC58)),IF(Z58="Probabilidad",AK57,""))),"")</f>
        <v/>
      </c>
      <c r="AL58" s="181" t="str">
        <f>IFERROR(IF(OR(AND(AH58="Muy Baja",AJ58="Leve"),AND(AH58="Muy Baja",AJ58="Menor"),AND(AH58="Baja",AJ58="Leve")),"Bajo",IF(OR(AND(AH58="Muy baja",AJ58="Moderado"),AND(AH58="Baja",AJ58="Menor"),AND(AH58="Baja",AJ58="Moderado"),AND(AH58="Media",AJ58="Leve"),AND(AH58="Media",AJ58="Menor"),AND(AH58="Media",AJ58="Moderado"),AND(AH58="Alta",AJ58="Leve"),AND(AH58="Alta",AJ58="Menor")),"Moderado",IF(OR(AND(AH58="Muy Baja",AJ58="Mayor"),AND(AH58="Baja",AJ58="Mayor"),AND(AH58="Media",AJ58="Mayor"),AND(AH58="Alta",AJ58="Moderado"),AND(AH58="Alta",AJ58="Mayor"),AND(AH58="Muy Alta",AJ58="Leve"),AND(AH58="Muy Alta",AJ58="Menor"),AND(AH58="Muy Alta",AJ58="Moderado"),AND(AH58="Muy Alta",AJ58="Mayor")),"Alto",IF(OR(AND(AH58="Muy Baja",AJ58="Catastrófico"),AND(AH58="Baja",AJ58="Catastrófico"),AND(AH58="Media",AJ58="Catastrófico"),AND(AH58="Alta",AJ58="Catastrófico"),AND(AH58="Muy Alta",AJ58="Catastrófico")),"Extremo","")))),"")</f>
        <v/>
      </c>
      <c r="AM58" s="182"/>
      <c r="AN58" s="175"/>
      <c r="AO58" s="183"/>
      <c r="AP58" s="183"/>
      <c r="AQ58" s="184"/>
      <c r="AR58" s="519"/>
      <c r="AS58" s="519"/>
      <c r="AT58" s="519"/>
    </row>
    <row r="59" spans="1:46" x14ac:dyDescent="0.2">
      <c r="A59" s="523"/>
      <c r="B59" s="515"/>
      <c r="C59" s="515"/>
      <c r="D59" s="515"/>
      <c r="E59" s="515"/>
      <c r="F59" s="520"/>
      <c r="G59" s="517"/>
      <c r="H59" s="517"/>
      <c r="I59" s="517"/>
      <c r="J59" s="517"/>
      <c r="K59" s="517"/>
      <c r="L59" s="517"/>
      <c r="M59" s="519"/>
      <c r="N59" s="514"/>
      <c r="O59" s="512"/>
      <c r="P59" s="513"/>
      <c r="Q59" s="512">
        <f>IF(NOT(ISERROR(MATCH(P59,_xlfn.ANCHORARRAY(F70),0))),O72&amp;"Por favor no seleccionar los criterios de impacto",P59)</f>
        <v>0</v>
      </c>
      <c r="R59" s="514"/>
      <c r="S59" s="512"/>
      <c r="T59" s="511"/>
      <c r="U59" s="199">
        <v>5</v>
      </c>
      <c r="V59" s="199"/>
      <c r="W59" s="199"/>
      <c r="X59" s="199"/>
      <c r="Y59" s="224" t="str">
        <f t="shared" si="1"/>
        <v xml:space="preserve">  </v>
      </c>
      <c r="Z59" s="176" t="str">
        <f t="shared" si="10"/>
        <v/>
      </c>
      <c r="AA59" s="177"/>
      <c r="AB59" s="177"/>
      <c r="AC59" s="178" t="str">
        <f t="shared" si="3"/>
        <v/>
      </c>
      <c r="AD59" s="177"/>
      <c r="AE59" s="177"/>
      <c r="AF59" s="177"/>
      <c r="AG59" s="179" t="str">
        <f t="shared" si="11"/>
        <v/>
      </c>
      <c r="AH59" s="180" t="str">
        <f t="shared" si="4"/>
        <v/>
      </c>
      <c r="AI59" s="178" t="str">
        <f t="shared" si="5"/>
        <v/>
      </c>
      <c r="AJ59" s="180" t="str">
        <f t="shared" si="6"/>
        <v/>
      </c>
      <c r="AK59" s="178" t="str">
        <f t="shared" si="12"/>
        <v/>
      </c>
      <c r="AL59" s="181" t="str">
        <f t="shared" ref="AL59:AL60" si="13">IFERROR(IF(OR(AND(AH59="Muy Baja",AJ59="Leve"),AND(AH59="Muy Baja",AJ59="Menor"),AND(AH59="Baja",AJ59="Leve")),"Bajo",IF(OR(AND(AH59="Muy baja",AJ59="Moderado"),AND(AH59="Baja",AJ59="Menor"),AND(AH59="Baja",AJ59="Moderado"),AND(AH59="Media",AJ59="Leve"),AND(AH59="Media",AJ59="Menor"),AND(AH59="Media",AJ59="Moderado"),AND(AH59="Alta",AJ59="Leve"),AND(AH59="Alta",AJ59="Menor")),"Moderado",IF(OR(AND(AH59="Muy Baja",AJ59="Mayor"),AND(AH59="Baja",AJ59="Mayor"),AND(AH59="Media",AJ59="Mayor"),AND(AH59="Alta",AJ59="Moderado"),AND(AH59="Alta",AJ59="Mayor"),AND(AH59="Muy Alta",AJ59="Leve"),AND(AH59="Muy Alta",AJ59="Menor"),AND(AH59="Muy Alta",AJ59="Moderado"),AND(AH59="Muy Alta",AJ59="Mayor")),"Alto",IF(OR(AND(AH59="Muy Baja",AJ59="Catastrófico"),AND(AH59="Baja",AJ59="Catastrófico"),AND(AH59="Media",AJ59="Catastrófico"),AND(AH59="Alta",AJ59="Catastrófico"),AND(AH59="Muy Alta",AJ59="Catastrófico")),"Extremo","")))),"")</f>
        <v/>
      </c>
      <c r="AM59" s="182"/>
      <c r="AN59" s="175"/>
      <c r="AO59" s="183"/>
      <c r="AP59" s="183"/>
      <c r="AQ59" s="184"/>
      <c r="AR59" s="519"/>
      <c r="AS59" s="519"/>
      <c r="AT59" s="519"/>
    </row>
    <row r="60" spans="1:46" x14ac:dyDescent="0.2">
      <c r="A60" s="523"/>
      <c r="B60" s="515"/>
      <c r="C60" s="515"/>
      <c r="D60" s="515"/>
      <c r="E60" s="515"/>
      <c r="F60" s="520"/>
      <c r="G60" s="518"/>
      <c r="H60" s="518"/>
      <c r="I60" s="518"/>
      <c r="J60" s="518"/>
      <c r="K60" s="518"/>
      <c r="L60" s="518"/>
      <c r="M60" s="519"/>
      <c r="N60" s="514"/>
      <c r="O60" s="512"/>
      <c r="P60" s="513"/>
      <c r="Q60" s="512">
        <f>IF(NOT(ISERROR(MATCH(P60,_xlfn.ANCHORARRAY(F71),0))),P73&amp;"Por favor no seleccionar los criterios de impacto",P60)</f>
        <v>0</v>
      </c>
      <c r="R60" s="514"/>
      <c r="S60" s="512"/>
      <c r="T60" s="511"/>
      <c r="U60" s="199">
        <v>6</v>
      </c>
      <c r="V60" s="199"/>
      <c r="W60" s="199"/>
      <c r="X60" s="199"/>
      <c r="Y60" s="224" t="str">
        <f t="shared" si="1"/>
        <v xml:space="preserve">  </v>
      </c>
      <c r="Z60" s="176" t="str">
        <f t="shared" si="10"/>
        <v/>
      </c>
      <c r="AA60" s="177"/>
      <c r="AB60" s="177"/>
      <c r="AC60" s="178" t="str">
        <f t="shared" si="3"/>
        <v/>
      </c>
      <c r="AD60" s="177"/>
      <c r="AE60" s="177"/>
      <c r="AF60" s="177"/>
      <c r="AG60" s="179" t="str">
        <f t="shared" si="11"/>
        <v/>
      </c>
      <c r="AH60" s="180" t="str">
        <f t="shared" si="4"/>
        <v/>
      </c>
      <c r="AI60" s="178" t="str">
        <f t="shared" si="5"/>
        <v/>
      </c>
      <c r="AJ60" s="180" t="str">
        <f t="shared" si="6"/>
        <v/>
      </c>
      <c r="AK60" s="178" t="str">
        <f t="shared" si="12"/>
        <v/>
      </c>
      <c r="AL60" s="181" t="str">
        <f t="shared" si="13"/>
        <v/>
      </c>
      <c r="AM60" s="182"/>
      <c r="AN60" s="175"/>
      <c r="AO60" s="183"/>
      <c r="AP60" s="183"/>
      <c r="AQ60" s="184"/>
      <c r="AR60" s="519"/>
      <c r="AS60" s="519"/>
      <c r="AT60" s="519"/>
    </row>
    <row r="61" spans="1:46" x14ac:dyDescent="0.2">
      <c r="A61" s="523">
        <v>9</v>
      </c>
      <c r="B61" s="515"/>
      <c r="C61" s="515"/>
      <c r="D61" s="515"/>
      <c r="E61" s="515"/>
      <c r="F61" s="520" t="str">
        <f t="shared" ref="F61" si="14">+CONCATENATE(B61," ",C61," ",D61)</f>
        <v xml:space="preserve">  </v>
      </c>
      <c r="G61" s="516"/>
      <c r="H61" s="206"/>
      <c r="I61" s="206"/>
      <c r="J61" s="206"/>
      <c r="K61" s="516"/>
      <c r="L61" s="516"/>
      <c r="M61" s="519"/>
      <c r="N61" s="514" t="str">
        <f>IF(M61&lt;=0,"",IF(M61&lt;=2,"Muy Baja",IF(M61&lt;=24,"Baja",IF(M61&lt;=500,"Media",IF(M61&lt;=5000,"Alta","Muy Alta")))))</f>
        <v/>
      </c>
      <c r="O61" s="512" t="str">
        <f>IF(N61="","",IF(N61="Muy Baja",0.2,IF(N61="Baja",0.4,IF(N61="Media",0.6,IF(N61="Alta",0.8,IF(N61="Muy Alta",1,))))))</f>
        <v/>
      </c>
      <c r="P61" s="513"/>
      <c r="Q61" s="512">
        <f>IF(NOT(ISERROR(MATCH(P61,'Tabla Impacto'!$B$245:$B$247,0))),'Tabla Impacto'!$F$224&amp;"Por favor no seleccionar los criterios de impacto(Afectación Económica o presupuestal y Pérdida Reputacional)",P61)</f>
        <v>0</v>
      </c>
      <c r="R61" s="514" t="str">
        <f>IF(OR(Q61='Tabla Impacto'!$C$12,Q61='Tabla Impacto'!$D$12),"Leve",IF(OR(Q61='Tabla Impacto'!$C$13,Q61='Tabla Impacto'!$D$13),"Menor",IF(OR(Q61='Tabla Impacto'!$C$14,Q61='Tabla Impacto'!$D$14),"Moderado",IF(OR(Q61='Tabla Impacto'!$C$15,Q61='Tabla Impacto'!$D$15),"Mayor",IF(OR(Q61='Tabla Impacto'!$C$16,Q61='Tabla Impacto'!$D$16),"Catastrófico","")))))</f>
        <v/>
      </c>
      <c r="S61" s="512" t="str">
        <f>IF(R61="","",IF(R61="Leve",0.2,IF(R61="Menor",0.4,IF(R61="Moderado",0.6,IF(R61="Mayor",0.8,IF(R61="Catastrófico",1,))))))</f>
        <v/>
      </c>
      <c r="T61" s="511" t="str">
        <f>IF(OR(AND(N61="Muy Baja",R61="Leve"),AND(N61="Muy Baja",R61="Menor"),AND(N61="Baja",R61="Leve")),"Bajo",IF(OR(AND(N61="Muy baja",R61="Moderado"),AND(N61="Baja",R61="Menor"),AND(N61="Baja",R61="Moderado"),AND(N61="Media",R61="Leve"),AND(N61="Media",R61="Menor"),AND(N61="Media",R61="Moderado"),AND(N61="Alta",R61="Leve"),AND(N61="Alta",R61="Menor")),"Moderado",IF(OR(AND(N61="Muy Baja",R61="Mayor"),AND(N61="Baja",R61="Mayor"),AND(N61="Media",R61="Mayor"),AND(N61="Alta",R61="Moderado"),AND(N61="Alta",R61="Mayor"),AND(N61="Muy Alta",R61="Leve"),AND(N61="Muy Alta",R61="Menor"),AND(N61="Muy Alta",R61="Moderado"),AND(N61="Muy Alta",R61="Mayor")),"Alto",IF(OR(AND(N61="Muy Baja",R61="Catastrófico"),AND(N61="Baja",R61="Catastrófico"),AND(N61="Media",R61="Catastrófico"),AND(N61="Alta",R61="Catastrófico"),AND(N61="Muy Alta",R61="Catastrófico")),"Extremo",""))))</f>
        <v/>
      </c>
      <c r="U61" s="199">
        <v>1</v>
      </c>
      <c r="V61" s="199"/>
      <c r="W61" s="199"/>
      <c r="X61" s="199"/>
      <c r="Y61" s="224" t="str">
        <f t="shared" si="1"/>
        <v xml:space="preserve">  </v>
      </c>
      <c r="Z61" s="176" t="str">
        <f>IF(OR(AA61="Preventivo",AA61="Detectivo"),"Probabilidad",IF(AA61="Correctivo","Impacto",""))</f>
        <v/>
      </c>
      <c r="AA61" s="177"/>
      <c r="AB61" s="177"/>
      <c r="AC61" s="178" t="str">
        <f>IF(AND(AA61="Preventivo",AB61="Automático"),"50%",IF(AND(AA61="Preventivo",AB61="Manual"),"40%",IF(AND(AA61="Detectivo",AB61="Automático"),"40%",IF(AND(AA61="Detectivo",AB61="Manual"),"30%",IF(AND(AA61="Correctivo",AB61="Automático"),"35%",IF(AND(AA61="Correctivo",AB61="Manual"),"25%",""))))))</f>
        <v/>
      </c>
      <c r="AD61" s="177"/>
      <c r="AE61" s="177"/>
      <c r="AF61" s="177"/>
      <c r="AG61" s="179" t="str">
        <f>IFERROR(IF(Z61="Probabilidad",(O61-(+O61*AC61)),IF(Z61="Impacto",O61,"")),"")</f>
        <v/>
      </c>
      <c r="AH61" s="180" t="str">
        <f>IFERROR(IF(AG61="","",IF(AG61&lt;=0.2,"Muy Baja",IF(AG61&lt;=0.4,"Baja",IF(AG61&lt;=0.6,"Media",IF(AG61&lt;=0.8,"Alta","Muy Alta"))))),"")</f>
        <v/>
      </c>
      <c r="AI61" s="178" t="str">
        <f>+AG61</f>
        <v/>
      </c>
      <c r="AJ61" s="180" t="str">
        <f>IFERROR(IF(AK61="","",IF(AK61&lt;=0.2,"Leve",IF(AK61&lt;=0.4,"Menor",IF(AK61&lt;=0.6,"Moderado",IF(AK61&lt;=0.8,"Mayor","Catastrófico"))))),"")</f>
        <v/>
      </c>
      <c r="AK61" s="178" t="str">
        <f t="shared" ref="AK61" si="15">IFERROR(IF(Z61="Impacto",(S61-(+S61*AC61)),IF(Z61="Probabilidad",S61,"")),"")</f>
        <v/>
      </c>
      <c r="AL61" s="181" t="str">
        <f>IFERROR(IF(OR(AND(AH61="Muy Baja",AJ61="Leve"),AND(AH61="Muy Baja",AJ61="Menor"),AND(AH61="Baja",AJ61="Leve")),"Bajo",IF(OR(AND(AH61="Muy baja",AJ61="Moderado"),AND(AH61="Baja",AJ61="Menor"),AND(AH61="Baja",AJ61="Moderado"),AND(AH61="Media",AJ61="Leve"),AND(AH61="Media",AJ61="Menor"),AND(AH61="Media",AJ61="Moderado"),AND(AH61="Alta",AJ61="Leve"),AND(AH61="Alta",AJ61="Menor")),"Moderado",IF(OR(AND(AH61="Muy Baja",AJ61="Mayor"),AND(AH61="Baja",AJ61="Mayor"),AND(AH61="Media",AJ61="Mayor"),AND(AH61="Alta",AJ61="Moderado"),AND(AH61="Alta",AJ61="Mayor"),AND(AH61="Muy Alta",AJ61="Leve"),AND(AH61="Muy Alta",AJ61="Menor"),AND(AH61="Muy Alta",AJ61="Moderado"),AND(AH61="Muy Alta",AJ61="Mayor")),"Alto",IF(OR(AND(AH61="Muy Baja",AJ61="Catastrófico"),AND(AH61="Baja",AJ61="Catastrófico"),AND(AH61="Media",AJ61="Catastrófico"),AND(AH61="Alta",AJ61="Catastrófico"),AND(AH61="Muy Alta",AJ61="Catastrófico")),"Extremo","")))),"")</f>
        <v/>
      </c>
      <c r="AM61" s="182"/>
      <c r="AN61" s="175"/>
      <c r="AO61" s="183"/>
      <c r="AP61" s="183"/>
      <c r="AQ61" s="184"/>
      <c r="AR61" s="519"/>
      <c r="AS61" s="519"/>
      <c r="AT61" s="519"/>
    </row>
    <row r="62" spans="1:46" x14ac:dyDescent="0.2">
      <c r="A62" s="523"/>
      <c r="B62" s="515"/>
      <c r="C62" s="515"/>
      <c r="D62" s="515"/>
      <c r="E62" s="515"/>
      <c r="F62" s="520"/>
      <c r="G62" s="517"/>
      <c r="H62" s="207"/>
      <c r="I62" s="207"/>
      <c r="J62" s="207"/>
      <c r="K62" s="517"/>
      <c r="L62" s="517"/>
      <c r="M62" s="519"/>
      <c r="N62" s="514"/>
      <c r="O62" s="512"/>
      <c r="P62" s="513"/>
      <c r="Q62" s="512">
        <f>IF(NOT(ISERROR(MATCH(P62,_xlfn.ANCHORARRAY(#REF!),0))),P75&amp;"Por favor no seleccionar los criterios de impacto",P62)</f>
        <v>0</v>
      </c>
      <c r="R62" s="514"/>
      <c r="S62" s="512"/>
      <c r="T62" s="511"/>
      <c r="U62" s="199">
        <v>2</v>
      </c>
      <c r="V62" s="199"/>
      <c r="W62" s="199"/>
      <c r="X62" s="199"/>
      <c r="Y62" s="224" t="str">
        <f t="shared" si="1"/>
        <v xml:space="preserve">  </v>
      </c>
      <c r="Z62" s="176" t="str">
        <f>IF(OR(AA62="Preventivo",AA62="Detectivo"),"Probabilidad",IF(AA62="Correctivo","Impacto",""))</f>
        <v/>
      </c>
      <c r="AA62" s="177"/>
      <c r="AB62" s="177"/>
      <c r="AC62" s="178" t="str">
        <f t="shared" ref="AC62:AC66" si="16">IF(AND(AA62="Preventivo",AB62="Automático"),"50%",IF(AND(AA62="Preventivo",AB62="Manual"),"40%",IF(AND(AA62="Detectivo",AB62="Automático"),"40%",IF(AND(AA62="Detectivo",AB62="Manual"),"30%",IF(AND(AA62="Correctivo",AB62="Automático"),"35%",IF(AND(AA62="Correctivo",AB62="Manual"),"25%",""))))))</f>
        <v/>
      </c>
      <c r="AD62" s="177"/>
      <c r="AE62" s="177"/>
      <c r="AF62" s="177"/>
      <c r="AG62" s="179" t="str">
        <f>IFERROR(IF(AND(Z61="Probabilidad",Z62="Probabilidad"),(AI61-(+AI61*AC62)),IF(Z62="Probabilidad",(O61-(+O61*AC62)),IF(Z62="Impacto",AI61,""))),"")</f>
        <v/>
      </c>
      <c r="AH62" s="180" t="str">
        <f t="shared" si="4"/>
        <v/>
      </c>
      <c r="AI62" s="178" t="str">
        <f t="shared" ref="AI62:AI66" si="17">+AG62</f>
        <v/>
      </c>
      <c r="AJ62" s="180" t="str">
        <f t="shared" si="6"/>
        <v/>
      </c>
      <c r="AK62" s="178" t="str">
        <f t="shared" ref="AK62" si="18">IFERROR(IF(AND(Z61="Impacto",Z62="Impacto"),(AK61-(+AK61*AC62)),IF(Z62="Impacto",($S$13-(+$S$13*AC62)),IF(Z62="Probabilidad",AK61,""))),"")</f>
        <v/>
      </c>
      <c r="AL62" s="181" t="str">
        <f t="shared" ref="AL62:AL63" si="19">IFERROR(IF(OR(AND(AH62="Muy Baja",AJ62="Leve"),AND(AH62="Muy Baja",AJ62="Menor"),AND(AH62="Baja",AJ62="Leve")),"Bajo",IF(OR(AND(AH62="Muy baja",AJ62="Moderado"),AND(AH62="Baja",AJ62="Menor"),AND(AH62="Baja",AJ62="Moderado"),AND(AH62="Media",AJ62="Leve"),AND(AH62="Media",AJ62="Menor"),AND(AH62="Media",AJ62="Moderado"),AND(AH62="Alta",AJ62="Leve"),AND(AH62="Alta",AJ62="Menor")),"Moderado",IF(OR(AND(AH62="Muy Baja",AJ62="Mayor"),AND(AH62="Baja",AJ62="Mayor"),AND(AH62="Media",AJ62="Mayor"),AND(AH62="Alta",AJ62="Moderado"),AND(AH62="Alta",AJ62="Mayor"),AND(AH62="Muy Alta",AJ62="Leve"),AND(AH62="Muy Alta",AJ62="Menor"),AND(AH62="Muy Alta",AJ62="Moderado"),AND(AH62="Muy Alta",AJ62="Mayor")),"Alto",IF(OR(AND(AH62="Muy Baja",AJ62="Catastrófico"),AND(AH62="Baja",AJ62="Catastrófico"),AND(AH62="Media",AJ62="Catastrófico"),AND(AH62="Alta",AJ62="Catastrófico"),AND(AH62="Muy Alta",AJ62="Catastrófico")),"Extremo","")))),"")</f>
        <v/>
      </c>
      <c r="AM62" s="182"/>
      <c r="AN62" s="175"/>
      <c r="AO62" s="183"/>
      <c r="AP62" s="183"/>
      <c r="AQ62" s="184"/>
      <c r="AR62" s="519"/>
      <c r="AS62" s="519"/>
      <c r="AT62" s="519"/>
    </row>
    <row r="63" spans="1:46" x14ac:dyDescent="0.2">
      <c r="A63" s="523"/>
      <c r="B63" s="515"/>
      <c r="C63" s="515"/>
      <c r="D63" s="515"/>
      <c r="E63" s="515"/>
      <c r="F63" s="520"/>
      <c r="G63" s="517"/>
      <c r="H63" s="207"/>
      <c r="I63" s="207"/>
      <c r="J63" s="207"/>
      <c r="K63" s="517"/>
      <c r="L63" s="517"/>
      <c r="M63" s="519"/>
      <c r="N63" s="514"/>
      <c r="O63" s="512"/>
      <c r="P63" s="513"/>
      <c r="Q63" s="512">
        <f>IF(NOT(ISERROR(MATCH(P63,_xlfn.ANCHORARRAY(#REF!),0))),P76&amp;"Por favor no seleccionar los criterios de impacto",P63)</f>
        <v>0</v>
      </c>
      <c r="R63" s="514"/>
      <c r="S63" s="512"/>
      <c r="T63" s="511"/>
      <c r="U63" s="199">
        <v>3</v>
      </c>
      <c r="V63" s="199"/>
      <c r="W63" s="199"/>
      <c r="X63" s="199"/>
      <c r="Y63" s="224" t="str">
        <f t="shared" si="1"/>
        <v xml:space="preserve">  </v>
      </c>
      <c r="Z63" s="176" t="str">
        <f>IF(OR(AA63="Preventivo",AA63="Detectivo"),"Probabilidad",IF(AA63="Correctivo","Impacto",""))</f>
        <v/>
      </c>
      <c r="AA63" s="177"/>
      <c r="AB63" s="177"/>
      <c r="AC63" s="178" t="str">
        <f t="shared" si="16"/>
        <v/>
      </c>
      <c r="AD63" s="177"/>
      <c r="AE63" s="177"/>
      <c r="AF63" s="177"/>
      <c r="AG63" s="179" t="str">
        <f>IFERROR(IF(AND(Z62="Probabilidad",Z63="Probabilidad"),(AI62-(+AI62*AC63)),IF(AND(Z62="Impacto",Z63="Probabilidad"),(AI61-(+AI61*AC63)),IF(Z63="Impacto",AI62,""))),"")</f>
        <v/>
      </c>
      <c r="AH63" s="180" t="str">
        <f t="shared" si="4"/>
        <v/>
      </c>
      <c r="AI63" s="178" t="str">
        <f t="shared" si="17"/>
        <v/>
      </c>
      <c r="AJ63" s="180" t="str">
        <f t="shared" si="6"/>
        <v/>
      </c>
      <c r="AK63" s="178" t="str">
        <f t="shared" ref="AK63" si="20">IFERROR(IF(AND(Z62="Impacto",Z63="Impacto"),(AK62-(+AK62*AC63)),IF(AND(Z62="Probabilidad",Z63="Impacto"),(AK61-(+AK61*AC63)),IF(Z63="Probabilidad",AK62,""))),"")</f>
        <v/>
      </c>
      <c r="AL63" s="181" t="str">
        <f t="shared" si="19"/>
        <v/>
      </c>
      <c r="AM63" s="182"/>
      <c r="AN63" s="175"/>
      <c r="AO63" s="183"/>
      <c r="AP63" s="183"/>
      <c r="AQ63" s="184"/>
      <c r="AR63" s="519"/>
      <c r="AS63" s="519"/>
      <c r="AT63" s="519"/>
    </row>
    <row r="64" spans="1:46" x14ac:dyDescent="0.2">
      <c r="A64" s="523"/>
      <c r="B64" s="515"/>
      <c r="C64" s="515"/>
      <c r="D64" s="515"/>
      <c r="E64" s="515"/>
      <c r="F64" s="520"/>
      <c r="G64" s="517"/>
      <c r="H64" s="207"/>
      <c r="I64" s="207"/>
      <c r="J64" s="207"/>
      <c r="K64" s="517"/>
      <c r="L64" s="517"/>
      <c r="M64" s="519"/>
      <c r="N64" s="514"/>
      <c r="O64" s="512"/>
      <c r="P64" s="513"/>
      <c r="Q64" s="512">
        <f>IF(NOT(ISERROR(MATCH(P64,_xlfn.ANCHORARRAY(#REF!),0))),P77&amp;"Por favor no seleccionar los criterios de impacto",P64)</f>
        <v>0</v>
      </c>
      <c r="R64" s="514"/>
      <c r="S64" s="512"/>
      <c r="T64" s="511"/>
      <c r="U64" s="199">
        <v>4</v>
      </c>
      <c r="V64" s="199"/>
      <c r="W64" s="199"/>
      <c r="X64" s="199"/>
      <c r="Y64" s="224" t="str">
        <f t="shared" si="1"/>
        <v xml:space="preserve">  </v>
      </c>
      <c r="Z64" s="176" t="str">
        <f t="shared" ref="Z64:Z66" si="21">IF(OR(AA64="Preventivo",AA64="Detectivo"),"Probabilidad",IF(AA64="Correctivo","Impacto",""))</f>
        <v/>
      </c>
      <c r="AA64" s="177"/>
      <c r="AB64" s="177"/>
      <c r="AC64" s="178" t="str">
        <f t="shared" si="16"/>
        <v/>
      </c>
      <c r="AD64" s="177"/>
      <c r="AE64" s="177"/>
      <c r="AF64" s="177"/>
      <c r="AG64" s="179" t="str">
        <f t="shared" ref="AG64:AG66" si="22">IFERROR(IF(AND(Z63="Probabilidad",Z64="Probabilidad"),(AI63-(+AI63*AC64)),IF(AND(Z63="Impacto",Z64="Probabilidad"),(AI62-(+AI62*AC64)),IF(Z64="Impacto",AI63,""))),"")</f>
        <v/>
      </c>
      <c r="AH64" s="180" t="str">
        <f t="shared" si="4"/>
        <v/>
      </c>
      <c r="AI64" s="178" t="str">
        <f t="shared" si="17"/>
        <v/>
      </c>
      <c r="AJ64" s="180" t="str">
        <f t="shared" si="6"/>
        <v/>
      </c>
      <c r="AK64" s="178" t="str">
        <f t="shared" si="12"/>
        <v/>
      </c>
      <c r="AL64" s="181" t="str">
        <f>IFERROR(IF(OR(AND(AH64="Muy Baja",AJ64="Leve"),AND(AH64="Muy Baja",AJ64="Menor"),AND(AH64="Baja",AJ64="Leve")),"Bajo",IF(OR(AND(AH64="Muy baja",AJ64="Moderado"),AND(AH64="Baja",AJ64="Menor"),AND(AH64="Baja",AJ64="Moderado"),AND(AH64="Media",AJ64="Leve"),AND(AH64="Media",AJ64="Menor"),AND(AH64="Media",AJ64="Moderado"),AND(AH64="Alta",AJ64="Leve"),AND(AH64="Alta",AJ64="Menor")),"Moderado",IF(OR(AND(AH64="Muy Baja",AJ64="Mayor"),AND(AH64="Baja",AJ64="Mayor"),AND(AH64="Media",AJ64="Mayor"),AND(AH64="Alta",AJ64="Moderado"),AND(AH64="Alta",AJ64="Mayor"),AND(AH64="Muy Alta",AJ64="Leve"),AND(AH64="Muy Alta",AJ64="Menor"),AND(AH64="Muy Alta",AJ64="Moderado"),AND(AH64="Muy Alta",AJ64="Mayor")),"Alto",IF(OR(AND(AH64="Muy Baja",AJ64="Catastrófico"),AND(AH64="Baja",AJ64="Catastrófico"),AND(AH64="Media",AJ64="Catastrófico"),AND(AH64="Alta",AJ64="Catastrófico"),AND(AH64="Muy Alta",AJ64="Catastrófico")),"Extremo","")))),"")</f>
        <v/>
      </c>
      <c r="AM64" s="182"/>
      <c r="AN64" s="175"/>
      <c r="AO64" s="183"/>
      <c r="AP64" s="183"/>
      <c r="AQ64" s="184"/>
      <c r="AR64" s="519"/>
      <c r="AS64" s="519"/>
      <c r="AT64" s="519"/>
    </row>
    <row r="65" spans="1:46" x14ac:dyDescent="0.2">
      <c r="A65" s="523"/>
      <c r="B65" s="515"/>
      <c r="C65" s="515"/>
      <c r="D65" s="515"/>
      <c r="E65" s="515"/>
      <c r="F65" s="520"/>
      <c r="G65" s="517"/>
      <c r="H65" s="207"/>
      <c r="I65" s="207"/>
      <c r="J65" s="207"/>
      <c r="K65" s="517"/>
      <c r="L65" s="517"/>
      <c r="M65" s="519"/>
      <c r="N65" s="514"/>
      <c r="O65" s="512"/>
      <c r="P65" s="513"/>
      <c r="Q65" s="512">
        <f>IF(NOT(ISERROR(MATCH(P65,_xlfn.ANCHORARRAY(#REF!),0))),P78&amp;"Por favor no seleccionar los criterios de impacto",P65)</f>
        <v>0</v>
      </c>
      <c r="R65" s="514"/>
      <c r="S65" s="512"/>
      <c r="T65" s="511"/>
      <c r="U65" s="199">
        <v>5</v>
      </c>
      <c r="V65" s="199"/>
      <c r="W65" s="199"/>
      <c r="X65" s="199"/>
      <c r="Y65" s="224" t="str">
        <f t="shared" si="1"/>
        <v xml:space="preserve">  </v>
      </c>
      <c r="Z65" s="176" t="str">
        <f t="shared" si="21"/>
        <v/>
      </c>
      <c r="AA65" s="177"/>
      <c r="AB65" s="177"/>
      <c r="AC65" s="178" t="str">
        <f t="shared" si="16"/>
        <v/>
      </c>
      <c r="AD65" s="177"/>
      <c r="AE65" s="177"/>
      <c r="AF65" s="177"/>
      <c r="AG65" s="179" t="str">
        <f t="shared" si="22"/>
        <v/>
      </c>
      <c r="AH65" s="180" t="str">
        <f t="shared" si="4"/>
        <v/>
      </c>
      <c r="AI65" s="178" t="str">
        <f t="shared" si="17"/>
        <v/>
      </c>
      <c r="AJ65" s="180" t="str">
        <f t="shared" si="6"/>
        <v/>
      </c>
      <c r="AK65" s="178" t="str">
        <f t="shared" si="12"/>
        <v/>
      </c>
      <c r="AL65" s="181" t="str">
        <f t="shared" ref="AL65:AL66" si="23">IFERROR(IF(OR(AND(AH65="Muy Baja",AJ65="Leve"),AND(AH65="Muy Baja",AJ65="Menor"),AND(AH65="Baja",AJ65="Leve")),"Bajo",IF(OR(AND(AH65="Muy baja",AJ65="Moderado"),AND(AH65="Baja",AJ65="Menor"),AND(AH65="Baja",AJ65="Moderado"),AND(AH65="Media",AJ65="Leve"),AND(AH65="Media",AJ65="Menor"),AND(AH65="Media",AJ65="Moderado"),AND(AH65="Alta",AJ65="Leve"),AND(AH65="Alta",AJ65="Menor")),"Moderado",IF(OR(AND(AH65="Muy Baja",AJ65="Mayor"),AND(AH65="Baja",AJ65="Mayor"),AND(AH65="Media",AJ65="Mayor"),AND(AH65="Alta",AJ65="Moderado"),AND(AH65="Alta",AJ65="Mayor"),AND(AH65="Muy Alta",AJ65="Leve"),AND(AH65="Muy Alta",AJ65="Menor"),AND(AH65="Muy Alta",AJ65="Moderado"),AND(AH65="Muy Alta",AJ65="Mayor")),"Alto",IF(OR(AND(AH65="Muy Baja",AJ65="Catastrófico"),AND(AH65="Baja",AJ65="Catastrófico"),AND(AH65="Media",AJ65="Catastrófico"),AND(AH65="Alta",AJ65="Catastrófico"),AND(AH65="Muy Alta",AJ65="Catastrófico")),"Extremo","")))),"")</f>
        <v/>
      </c>
      <c r="AM65" s="182"/>
      <c r="AN65" s="175"/>
      <c r="AO65" s="183"/>
      <c r="AP65" s="183"/>
      <c r="AQ65" s="184"/>
      <c r="AR65" s="519"/>
      <c r="AS65" s="519"/>
      <c r="AT65" s="519"/>
    </row>
    <row r="66" spans="1:46" x14ac:dyDescent="0.2">
      <c r="A66" s="523"/>
      <c r="B66" s="515"/>
      <c r="C66" s="515"/>
      <c r="D66" s="515"/>
      <c r="E66" s="515"/>
      <c r="F66" s="520"/>
      <c r="G66" s="518"/>
      <c r="H66" s="208"/>
      <c r="I66" s="208"/>
      <c r="J66" s="208"/>
      <c r="K66" s="518"/>
      <c r="L66" s="518"/>
      <c r="M66" s="519"/>
      <c r="N66" s="514"/>
      <c r="O66" s="512"/>
      <c r="P66" s="513"/>
      <c r="Q66" s="512">
        <f>IF(NOT(ISERROR(MATCH(P66,_xlfn.ANCHORARRAY(#REF!),0))),P79&amp;"Por favor no seleccionar los criterios de impacto",P66)</f>
        <v>0</v>
      </c>
      <c r="R66" s="514"/>
      <c r="S66" s="512"/>
      <c r="T66" s="511"/>
      <c r="U66" s="199">
        <v>6</v>
      </c>
      <c r="V66" s="199"/>
      <c r="W66" s="199"/>
      <c r="X66" s="199"/>
      <c r="Y66" s="224" t="str">
        <f t="shared" si="1"/>
        <v xml:space="preserve">  </v>
      </c>
      <c r="Z66" s="176" t="str">
        <f t="shared" si="21"/>
        <v/>
      </c>
      <c r="AA66" s="177"/>
      <c r="AB66" s="177"/>
      <c r="AC66" s="178" t="str">
        <f t="shared" si="16"/>
        <v/>
      </c>
      <c r="AD66" s="177"/>
      <c r="AE66" s="177"/>
      <c r="AF66" s="177"/>
      <c r="AG66" s="179" t="str">
        <f t="shared" si="22"/>
        <v/>
      </c>
      <c r="AH66" s="180" t="str">
        <f t="shared" si="4"/>
        <v/>
      </c>
      <c r="AI66" s="178" t="str">
        <f t="shared" si="17"/>
        <v/>
      </c>
      <c r="AJ66" s="180" t="str">
        <f t="shared" si="6"/>
        <v/>
      </c>
      <c r="AK66" s="178" t="str">
        <f t="shared" si="12"/>
        <v/>
      </c>
      <c r="AL66" s="181" t="str">
        <f t="shared" si="23"/>
        <v/>
      </c>
      <c r="AM66" s="182"/>
      <c r="AN66" s="175"/>
      <c r="AO66" s="183"/>
      <c r="AP66" s="183"/>
      <c r="AQ66" s="184"/>
      <c r="AR66" s="519"/>
      <c r="AS66" s="519"/>
      <c r="AT66" s="519"/>
    </row>
    <row r="67" spans="1:46" x14ac:dyDescent="0.2">
      <c r="A67" s="523">
        <v>10</v>
      </c>
      <c r="B67" s="515"/>
      <c r="C67" s="515"/>
      <c r="D67" s="515"/>
      <c r="E67" s="515"/>
      <c r="F67" s="520" t="str">
        <f t="shared" ref="F67" si="24">+CONCATENATE(B67," ",C67," ",D67)</f>
        <v xml:space="preserve">  </v>
      </c>
      <c r="G67" s="516"/>
      <c r="H67" s="206"/>
      <c r="I67" s="206"/>
      <c r="J67" s="206"/>
      <c r="K67" s="516"/>
      <c r="L67" s="516"/>
      <c r="M67" s="519"/>
      <c r="N67" s="514" t="str">
        <f>IF(M67&lt;=0,"",IF(M67&lt;=2,"Muy Baja",IF(M67&lt;=24,"Baja",IF(M67&lt;=500,"Media",IF(M67&lt;=5000,"Alta","Muy Alta")))))</f>
        <v/>
      </c>
      <c r="O67" s="512" t="str">
        <f>IF(N67="","",IF(N67="Muy Baja",0.2,IF(N67="Baja",0.4,IF(N67="Media",0.6,IF(N67="Alta",0.8,IF(N67="Muy Alta",1,))))))</f>
        <v/>
      </c>
      <c r="P67" s="513"/>
      <c r="Q67" s="512">
        <f>IF(NOT(ISERROR(MATCH(P67,'Tabla Impacto'!$B$245:$B$247,0))),'Tabla Impacto'!$F$224&amp;"Por favor no seleccionar los criterios de impacto(Afectación Económica o presupuestal y Pérdida Reputacional)",P67)</f>
        <v>0</v>
      </c>
      <c r="R67" s="514" t="str">
        <f>IF(OR(Q67='Tabla Impacto'!$C$12,Q67='Tabla Impacto'!$D$12),"Leve",IF(OR(Q67='Tabla Impacto'!$C$13,Q67='Tabla Impacto'!$D$13),"Menor",IF(OR(Q67='Tabla Impacto'!$C$14,Q67='Tabla Impacto'!$D$14),"Moderado",IF(OR(Q67='Tabla Impacto'!$C$15,Q67='Tabla Impacto'!$D$15),"Mayor",IF(OR(Q67='Tabla Impacto'!$C$16,Q67='Tabla Impacto'!$D$16),"Catastrófico","")))))</f>
        <v/>
      </c>
      <c r="S67" s="512" t="str">
        <f>IF(R67="","",IF(R67="Leve",0.2,IF(R67="Menor",0.4,IF(R67="Moderado",0.6,IF(R67="Mayor",0.8,IF(R67="Catastrófico",1,))))))</f>
        <v/>
      </c>
      <c r="T67" s="511" t="str">
        <f>IF(OR(AND(N67="Muy Baja",R67="Leve"),AND(N67="Muy Baja",R67="Menor"),AND(N67="Baja",R67="Leve")),"Bajo",IF(OR(AND(N67="Muy baja",R67="Moderado"),AND(N67="Baja",R67="Menor"),AND(N67="Baja",R67="Moderado"),AND(N67="Media",R67="Leve"),AND(N67="Media",R67="Menor"),AND(N67="Media",R67="Moderado"),AND(N67="Alta",R67="Leve"),AND(N67="Alta",R67="Menor")),"Moderado",IF(OR(AND(N67="Muy Baja",R67="Mayor"),AND(N67="Baja",R67="Mayor"),AND(N67="Media",R67="Mayor"),AND(N67="Alta",R67="Moderado"),AND(N67="Alta",R67="Mayor"),AND(N67="Muy Alta",R67="Leve"),AND(N67="Muy Alta",R67="Menor"),AND(N67="Muy Alta",R67="Moderado"),AND(N67="Muy Alta",R67="Mayor")),"Alto",IF(OR(AND(N67="Muy Baja",R67="Catastrófico"),AND(N67="Baja",R67="Catastrófico"),AND(N67="Media",R67="Catastrófico"),AND(N67="Alta",R67="Catastrófico"),AND(N67="Muy Alta",R67="Catastrófico")),"Extremo",""))))</f>
        <v/>
      </c>
      <c r="U67" s="199">
        <v>1</v>
      </c>
      <c r="V67" s="199"/>
      <c r="W67" s="199"/>
      <c r="X67" s="199"/>
      <c r="Y67" s="224" t="str">
        <f t="shared" si="1"/>
        <v xml:space="preserve">  </v>
      </c>
      <c r="Z67" s="176" t="str">
        <f>IF(OR(AA67="Preventivo",AA67="Detectivo"),"Probabilidad",IF(AA67="Correctivo","Impacto",""))</f>
        <v/>
      </c>
      <c r="AA67" s="177"/>
      <c r="AB67" s="177"/>
      <c r="AC67" s="178" t="str">
        <f>IF(AND(AA67="Preventivo",AB67="Automático"),"50%",IF(AND(AA67="Preventivo",AB67="Manual"),"40%",IF(AND(AA67="Detectivo",AB67="Automático"),"40%",IF(AND(AA67="Detectivo",AB67="Manual"),"30%",IF(AND(AA67="Correctivo",AB67="Automático"),"35%",IF(AND(AA67="Correctivo",AB67="Manual"),"25%",""))))))</f>
        <v/>
      </c>
      <c r="AD67" s="177"/>
      <c r="AE67" s="177"/>
      <c r="AF67" s="177"/>
      <c r="AG67" s="179" t="str">
        <f>IFERROR(IF(Z67="Probabilidad",(O67-(+O67*AC67)),IF(Z67="Impacto",O67,"")),"")</f>
        <v/>
      </c>
      <c r="AH67" s="180" t="str">
        <f>IFERROR(IF(AG67="","",IF(AG67&lt;=0.2,"Muy Baja",IF(AG67&lt;=0.4,"Baja",IF(AG67&lt;=0.6,"Media",IF(AG67&lt;=0.8,"Alta","Muy Alta"))))),"")</f>
        <v/>
      </c>
      <c r="AI67" s="178" t="str">
        <f>+AG67</f>
        <v/>
      </c>
      <c r="AJ67" s="180" t="str">
        <f>IFERROR(IF(AK67="","",IF(AK67&lt;=0.2,"Leve",IF(AK67&lt;=0.4,"Menor",IF(AK67&lt;=0.6,"Moderado",IF(AK67&lt;=0.8,"Mayor","Catastrófico"))))),"")</f>
        <v/>
      </c>
      <c r="AK67" s="178" t="str">
        <f t="shared" ref="AK67" si="25">IFERROR(IF(Z67="Impacto",(S67-(+S67*AC67)),IF(Z67="Probabilidad",S67,"")),"")</f>
        <v/>
      </c>
      <c r="AL67" s="181" t="str">
        <f>IFERROR(IF(OR(AND(AH67="Muy Baja",AJ67="Leve"),AND(AH67="Muy Baja",AJ67="Menor"),AND(AH67="Baja",AJ67="Leve")),"Bajo",IF(OR(AND(AH67="Muy baja",AJ67="Moderado"),AND(AH67="Baja",AJ67="Menor"),AND(AH67="Baja",AJ67="Moderado"),AND(AH67="Media",AJ67="Leve"),AND(AH67="Media",AJ67="Menor"),AND(AH67="Media",AJ67="Moderado"),AND(AH67="Alta",AJ67="Leve"),AND(AH67="Alta",AJ67="Menor")),"Moderado",IF(OR(AND(AH67="Muy Baja",AJ67="Mayor"),AND(AH67="Baja",AJ67="Mayor"),AND(AH67="Media",AJ67="Mayor"),AND(AH67="Alta",AJ67="Moderado"),AND(AH67="Alta",AJ67="Mayor"),AND(AH67="Muy Alta",AJ67="Leve"),AND(AH67="Muy Alta",AJ67="Menor"),AND(AH67="Muy Alta",AJ67="Moderado"),AND(AH67="Muy Alta",AJ67="Mayor")),"Alto",IF(OR(AND(AH67="Muy Baja",AJ67="Catastrófico"),AND(AH67="Baja",AJ67="Catastrófico"),AND(AH67="Media",AJ67="Catastrófico"),AND(AH67="Alta",AJ67="Catastrófico"),AND(AH67="Muy Alta",AJ67="Catastrófico")),"Extremo","")))),"")</f>
        <v/>
      </c>
      <c r="AM67" s="182"/>
      <c r="AN67" s="175"/>
      <c r="AO67" s="183"/>
      <c r="AP67" s="183"/>
      <c r="AQ67" s="184"/>
      <c r="AR67" s="519"/>
      <c r="AS67" s="519"/>
      <c r="AT67" s="519"/>
    </row>
    <row r="68" spans="1:46" x14ac:dyDescent="0.2">
      <c r="A68" s="523"/>
      <c r="B68" s="515"/>
      <c r="C68" s="515"/>
      <c r="D68" s="515"/>
      <c r="E68" s="515"/>
      <c r="F68" s="520"/>
      <c r="G68" s="517"/>
      <c r="H68" s="207"/>
      <c r="I68" s="207"/>
      <c r="J68" s="207"/>
      <c r="K68" s="517"/>
      <c r="L68" s="517"/>
      <c r="M68" s="519"/>
      <c r="N68" s="514"/>
      <c r="O68" s="512"/>
      <c r="P68" s="513"/>
      <c r="Q68" s="512">
        <f>IF(NOT(ISERROR(MATCH(P68,_xlfn.ANCHORARRAY(#REF!),0))),P81&amp;"Por favor no seleccionar los criterios de impacto",P68)</f>
        <v>0</v>
      </c>
      <c r="R68" s="514"/>
      <c r="S68" s="512"/>
      <c r="T68" s="511"/>
      <c r="U68" s="199">
        <v>2</v>
      </c>
      <c r="V68" s="199"/>
      <c r="W68" s="199"/>
      <c r="X68" s="199"/>
      <c r="Y68" s="224" t="str">
        <f t="shared" si="1"/>
        <v xml:space="preserve">  </v>
      </c>
      <c r="Z68" s="176" t="str">
        <f>IF(OR(AA68="Preventivo",AA68="Detectivo"),"Probabilidad",IF(AA68="Correctivo","Impacto",""))</f>
        <v/>
      </c>
      <c r="AA68" s="177"/>
      <c r="AB68" s="177"/>
      <c r="AC68" s="178" t="str">
        <f t="shared" ref="AC68:AC72" si="26">IF(AND(AA68="Preventivo",AB68="Automático"),"50%",IF(AND(AA68="Preventivo",AB68="Manual"),"40%",IF(AND(AA68="Detectivo",AB68="Automático"),"40%",IF(AND(AA68="Detectivo",AB68="Manual"),"30%",IF(AND(AA68="Correctivo",AB68="Automático"),"35%",IF(AND(AA68="Correctivo",AB68="Manual"),"25%",""))))))</f>
        <v/>
      </c>
      <c r="AD68" s="177"/>
      <c r="AE68" s="177"/>
      <c r="AF68" s="177"/>
      <c r="AG68" s="179" t="str">
        <f>IFERROR(IF(AND(Z67="Probabilidad",Z68="Probabilidad"),(AI67-(+AI67*AC68)),IF(Z68="Probabilidad",(O67-(+O67*AC68)),IF(Z68="Impacto",AI67,""))),"")</f>
        <v/>
      </c>
      <c r="AH68" s="180" t="str">
        <f t="shared" si="4"/>
        <v/>
      </c>
      <c r="AI68" s="178" t="str">
        <f t="shared" ref="AI68:AI72" si="27">+AG68</f>
        <v/>
      </c>
      <c r="AJ68" s="180" t="str">
        <f t="shared" si="6"/>
        <v/>
      </c>
      <c r="AK68" s="178" t="str">
        <f t="shared" ref="AK68" si="28">IFERROR(IF(AND(Z67="Impacto",Z68="Impacto"),(AK67-(+AK67*AC68)),IF(Z68="Impacto",($S$13-(+$S$13*AC68)),IF(Z68="Probabilidad",AK67,""))),"")</f>
        <v/>
      </c>
      <c r="AL68" s="181" t="str">
        <f t="shared" ref="AL68:AL69" si="29">IFERROR(IF(OR(AND(AH68="Muy Baja",AJ68="Leve"),AND(AH68="Muy Baja",AJ68="Menor"),AND(AH68="Baja",AJ68="Leve")),"Bajo",IF(OR(AND(AH68="Muy baja",AJ68="Moderado"),AND(AH68="Baja",AJ68="Menor"),AND(AH68="Baja",AJ68="Moderado"),AND(AH68="Media",AJ68="Leve"),AND(AH68="Media",AJ68="Menor"),AND(AH68="Media",AJ68="Moderado"),AND(AH68="Alta",AJ68="Leve"),AND(AH68="Alta",AJ68="Menor")),"Moderado",IF(OR(AND(AH68="Muy Baja",AJ68="Mayor"),AND(AH68="Baja",AJ68="Mayor"),AND(AH68="Media",AJ68="Mayor"),AND(AH68="Alta",AJ68="Moderado"),AND(AH68="Alta",AJ68="Mayor"),AND(AH68="Muy Alta",AJ68="Leve"),AND(AH68="Muy Alta",AJ68="Menor"),AND(AH68="Muy Alta",AJ68="Moderado"),AND(AH68="Muy Alta",AJ68="Mayor")),"Alto",IF(OR(AND(AH68="Muy Baja",AJ68="Catastrófico"),AND(AH68="Baja",AJ68="Catastrófico"),AND(AH68="Media",AJ68="Catastrófico"),AND(AH68="Alta",AJ68="Catastrófico"),AND(AH68="Muy Alta",AJ68="Catastrófico")),"Extremo","")))),"")</f>
        <v/>
      </c>
      <c r="AM68" s="182"/>
      <c r="AN68" s="175"/>
      <c r="AO68" s="183"/>
      <c r="AP68" s="183"/>
      <c r="AQ68" s="184"/>
      <c r="AR68" s="519"/>
      <c r="AS68" s="519"/>
      <c r="AT68" s="519"/>
    </row>
    <row r="69" spans="1:46" x14ac:dyDescent="0.2">
      <c r="A69" s="523"/>
      <c r="B69" s="515"/>
      <c r="C69" s="515"/>
      <c r="D69" s="515"/>
      <c r="E69" s="515"/>
      <c r="F69" s="520"/>
      <c r="G69" s="517"/>
      <c r="H69" s="207"/>
      <c r="I69" s="207"/>
      <c r="J69" s="207"/>
      <c r="K69" s="517"/>
      <c r="L69" s="517"/>
      <c r="M69" s="519"/>
      <c r="N69" s="514"/>
      <c r="O69" s="512"/>
      <c r="P69" s="513"/>
      <c r="Q69" s="512">
        <f>IF(NOT(ISERROR(MATCH(P69,_xlfn.ANCHORARRAY(#REF!),0))),P82&amp;"Por favor no seleccionar los criterios de impacto",P69)</f>
        <v>0</v>
      </c>
      <c r="R69" s="514"/>
      <c r="S69" s="512"/>
      <c r="T69" s="511"/>
      <c r="U69" s="199">
        <v>3</v>
      </c>
      <c r="V69" s="199"/>
      <c r="W69" s="199"/>
      <c r="X69" s="199"/>
      <c r="Y69" s="224" t="str">
        <f t="shared" si="1"/>
        <v xml:space="preserve">  </v>
      </c>
      <c r="Z69" s="176" t="str">
        <f>IF(OR(AA69="Preventivo",AA69="Detectivo"),"Probabilidad",IF(AA69="Correctivo","Impacto",""))</f>
        <v/>
      </c>
      <c r="AA69" s="177"/>
      <c r="AB69" s="177"/>
      <c r="AC69" s="178" t="str">
        <f t="shared" si="26"/>
        <v/>
      </c>
      <c r="AD69" s="177"/>
      <c r="AE69" s="177"/>
      <c r="AF69" s="177"/>
      <c r="AG69" s="179" t="str">
        <f>IFERROR(IF(AND(Z68="Probabilidad",Z69="Probabilidad"),(AI68-(+AI68*AC69)),IF(AND(Z68="Impacto",Z69="Probabilidad"),(AI67-(+AI67*AC69)),IF(Z69="Impacto",AI68,""))),"")</f>
        <v/>
      </c>
      <c r="AH69" s="180" t="str">
        <f t="shared" si="4"/>
        <v/>
      </c>
      <c r="AI69" s="178" t="str">
        <f t="shared" si="27"/>
        <v/>
      </c>
      <c r="AJ69" s="180" t="str">
        <f t="shared" si="6"/>
        <v/>
      </c>
      <c r="AK69" s="178" t="str">
        <f t="shared" ref="AK69" si="30">IFERROR(IF(AND(Z68="Impacto",Z69="Impacto"),(AK68-(+AK68*AC69)),IF(AND(Z68="Probabilidad",Z69="Impacto"),(AK67-(+AK67*AC69)),IF(Z69="Probabilidad",AK68,""))),"")</f>
        <v/>
      </c>
      <c r="AL69" s="181" t="str">
        <f t="shared" si="29"/>
        <v/>
      </c>
      <c r="AM69" s="182"/>
      <c r="AN69" s="175"/>
      <c r="AO69" s="183"/>
      <c r="AP69" s="183"/>
      <c r="AQ69" s="184"/>
      <c r="AR69" s="519"/>
      <c r="AS69" s="519"/>
      <c r="AT69" s="519"/>
    </row>
    <row r="70" spans="1:46" x14ac:dyDescent="0.2">
      <c r="A70" s="523"/>
      <c r="B70" s="515"/>
      <c r="C70" s="515"/>
      <c r="D70" s="515"/>
      <c r="E70" s="515"/>
      <c r="F70" s="520"/>
      <c r="G70" s="517"/>
      <c r="H70" s="207"/>
      <c r="I70" s="207"/>
      <c r="J70" s="207"/>
      <c r="K70" s="517"/>
      <c r="L70" s="517"/>
      <c r="M70" s="519"/>
      <c r="N70" s="514"/>
      <c r="O70" s="512"/>
      <c r="P70" s="513"/>
      <c r="Q70" s="512">
        <f>IF(NOT(ISERROR(MATCH(P70,_xlfn.ANCHORARRAY(#REF!),0))),P83&amp;"Por favor no seleccionar los criterios de impacto",P70)</f>
        <v>0</v>
      </c>
      <c r="R70" s="514"/>
      <c r="S70" s="512"/>
      <c r="T70" s="511"/>
      <c r="U70" s="199">
        <v>4</v>
      </c>
      <c r="V70" s="199"/>
      <c r="W70" s="199"/>
      <c r="X70" s="199"/>
      <c r="Y70" s="224" t="str">
        <f t="shared" si="1"/>
        <v xml:space="preserve">  </v>
      </c>
      <c r="Z70" s="176" t="str">
        <f t="shared" ref="Z70:Z72" si="31">IF(OR(AA70="Preventivo",AA70="Detectivo"),"Probabilidad",IF(AA70="Correctivo","Impacto",""))</f>
        <v/>
      </c>
      <c r="AA70" s="177"/>
      <c r="AB70" s="177"/>
      <c r="AC70" s="178" t="str">
        <f t="shared" si="26"/>
        <v/>
      </c>
      <c r="AD70" s="177"/>
      <c r="AE70" s="177"/>
      <c r="AF70" s="177"/>
      <c r="AG70" s="179" t="str">
        <f t="shared" ref="AG70:AG72" si="32">IFERROR(IF(AND(Z69="Probabilidad",Z70="Probabilidad"),(AI69-(+AI69*AC70)),IF(AND(Z69="Impacto",Z70="Probabilidad"),(AI68-(+AI68*AC70)),IF(Z70="Impacto",AI69,""))),"")</f>
        <v/>
      </c>
      <c r="AH70" s="180" t="str">
        <f t="shared" si="4"/>
        <v/>
      </c>
      <c r="AI70" s="178" t="str">
        <f t="shared" si="27"/>
        <v/>
      </c>
      <c r="AJ70" s="180" t="str">
        <f t="shared" si="6"/>
        <v/>
      </c>
      <c r="AK70" s="178" t="str">
        <f t="shared" si="12"/>
        <v/>
      </c>
      <c r="AL70" s="181" t="str">
        <f>IFERROR(IF(OR(AND(AH70="Muy Baja",AJ70="Leve"),AND(AH70="Muy Baja",AJ70="Menor"),AND(AH70="Baja",AJ70="Leve")),"Bajo",IF(OR(AND(AH70="Muy baja",AJ70="Moderado"),AND(AH70="Baja",AJ70="Menor"),AND(AH70="Baja",AJ70="Moderado"),AND(AH70="Media",AJ70="Leve"),AND(AH70="Media",AJ70="Menor"),AND(AH70="Media",AJ70="Moderado"),AND(AH70="Alta",AJ70="Leve"),AND(AH70="Alta",AJ70="Menor")),"Moderado",IF(OR(AND(AH70="Muy Baja",AJ70="Mayor"),AND(AH70="Baja",AJ70="Mayor"),AND(AH70="Media",AJ70="Mayor"),AND(AH70="Alta",AJ70="Moderado"),AND(AH70="Alta",AJ70="Mayor"),AND(AH70="Muy Alta",AJ70="Leve"),AND(AH70="Muy Alta",AJ70="Menor"),AND(AH70="Muy Alta",AJ70="Moderado"),AND(AH70="Muy Alta",AJ70="Mayor")),"Alto",IF(OR(AND(AH70="Muy Baja",AJ70="Catastrófico"),AND(AH70="Baja",AJ70="Catastrófico"),AND(AH70="Media",AJ70="Catastrófico"),AND(AH70="Alta",AJ70="Catastrófico"),AND(AH70="Muy Alta",AJ70="Catastrófico")),"Extremo","")))),"")</f>
        <v/>
      </c>
      <c r="AM70" s="182"/>
      <c r="AN70" s="175"/>
      <c r="AO70" s="183"/>
      <c r="AP70" s="183"/>
      <c r="AQ70" s="184"/>
      <c r="AR70" s="519"/>
      <c r="AS70" s="519"/>
      <c r="AT70" s="519"/>
    </row>
    <row r="71" spans="1:46" x14ac:dyDescent="0.2">
      <c r="A71" s="523"/>
      <c r="B71" s="515"/>
      <c r="C71" s="515"/>
      <c r="D71" s="515"/>
      <c r="E71" s="515"/>
      <c r="F71" s="520"/>
      <c r="G71" s="517"/>
      <c r="H71" s="207"/>
      <c r="I71" s="207"/>
      <c r="J71" s="207"/>
      <c r="K71" s="517"/>
      <c r="L71" s="517"/>
      <c r="M71" s="519"/>
      <c r="N71" s="514"/>
      <c r="O71" s="512"/>
      <c r="P71" s="513"/>
      <c r="Q71" s="512">
        <f>IF(NOT(ISERROR(MATCH(P71,_xlfn.ANCHORARRAY(#REF!),0))),P84&amp;"Por favor no seleccionar los criterios de impacto",P71)</f>
        <v>0</v>
      </c>
      <c r="R71" s="514"/>
      <c r="S71" s="512"/>
      <c r="T71" s="511"/>
      <c r="U71" s="199">
        <v>5</v>
      </c>
      <c r="V71" s="199"/>
      <c r="W71" s="199"/>
      <c r="X71" s="199"/>
      <c r="Y71" s="224" t="str">
        <f t="shared" si="1"/>
        <v xml:space="preserve">  </v>
      </c>
      <c r="Z71" s="176" t="str">
        <f t="shared" si="31"/>
        <v/>
      </c>
      <c r="AA71" s="177"/>
      <c r="AB71" s="177"/>
      <c r="AC71" s="178" t="str">
        <f t="shared" si="26"/>
        <v/>
      </c>
      <c r="AD71" s="177"/>
      <c r="AE71" s="177"/>
      <c r="AF71" s="177"/>
      <c r="AG71" s="179" t="str">
        <f t="shared" si="32"/>
        <v/>
      </c>
      <c r="AH71" s="180" t="str">
        <f t="shared" si="4"/>
        <v/>
      </c>
      <c r="AI71" s="178" t="str">
        <f t="shared" si="27"/>
        <v/>
      </c>
      <c r="AJ71" s="180" t="str">
        <f t="shared" si="6"/>
        <v/>
      </c>
      <c r="AK71" s="178" t="str">
        <f t="shared" si="12"/>
        <v/>
      </c>
      <c r="AL71" s="181" t="str">
        <f t="shared" ref="AL71:AL72" si="33">IFERROR(IF(OR(AND(AH71="Muy Baja",AJ71="Leve"),AND(AH71="Muy Baja",AJ71="Menor"),AND(AH71="Baja",AJ71="Leve")),"Bajo",IF(OR(AND(AH71="Muy baja",AJ71="Moderado"),AND(AH71="Baja",AJ71="Menor"),AND(AH71="Baja",AJ71="Moderado"),AND(AH71="Media",AJ71="Leve"),AND(AH71="Media",AJ71="Menor"),AND(AH71="Media",AJ71="Moderado"),AND(AH71="Alta",AJ71="Leve"),AND(AH71="Alta",AJ71="Menor")),"Moderado",IF(OR(AND(AH71="Muy Baja",AJ71="Mayor"),AND(AH71="Baja",AJ71="Mayor"),AND(AH71="Media",AJ71="Mayor"),AND(AH71="Alta",AJ71="Moderado"),AND(AH71="Alta",AJ71="Mayor"),AND(AH71="Muy Alta",AJ71="Leve"),AND(AH71="Muy Alta",AJ71="Menor"),AND(AH71="Muy Alta",AJ71="Moderado"),AND(AH71="Muy Alta",AJ71="Mayor")),"Alto",IF(OR(AND(AH71="Muy Baja",AJ71="Catastrófico"),AND(AH71="Baja",AJ71="Catastrófico"),AND(AH71="Media",AJ71="Catastrófico"),AND(AH71="Alta",AJ71="Catastrófico"),AND(AH71="Muy Alta",AJ71="Catastrófico")),"Extremo","")))),"")</f>
        <v/>
      </c>
      <c r="AM71" s="182"/>
      <c r="AN71" s="175"/>
      <c r="AO71" s="183"/>
      <c r="AP71" s="183"/>
      <c r="AQ71" s="184"/>
      <c r="AR71" s="519"/>
      <c r="AS71" s="519"/>
      <c r="AT71" s="519"/>
    </row>
    <row r="72" spans="1:46" x14ac:dyDescent="0.2">
      <c r="A72" s="523"/>
      <c r="B72" s="515"/>
      <c r="C72" s="515"/>
      <c r="D72" s="515"/>
      <c r="E72" s="515"/>
      <c r="F72" s="520"/>
      <c r="G72" s="518"/>
      <c r="H72" s="208"/>
      <c r="I72" s="208"/>
      <c r="J72" s="208"/>
      <c r="K72" s="518"/>
      <c r="L72" s="518"/>
      <c r="M72" s="519"/>
      <c r="N72" s="514"/>
      <c r="O72" s="512"/>
      <c r="P72" s="513"/>
      <c r="Q72" s="512">
        <f>IF(NOT(ISERROR(MATCH(P72,_xlfn.ANCHORARRAY(#REF!),0))),P85&amp;"Por favor no seleccionar los criterios de impacto",P72)</f>
        <v>0</v>
      </c>
      <c r="R72" s="514"/>
      <c r="S72" s="512"/>
      <c r="T72" s="511"/>
      <c r="U72" s="199">
        <v>6</v>
      </c>
      <c r="V72" s="199"/>
      <c r="W72" s="199"/>
      <c r="X72" s="199"/>
      <c r="Y72" s="224" t="str">
        <f t="shared" si="1"/>
        <v xml:space="preserve">  </v>
      </c>
      <c r="Z72" s="176" t="str">
        <f t="shared" si="31"/>
        <v/>
      </c>
      <c r="AA72" s="177"/>
      <c r="AB72" s="177"/>
      <c r="AC72" s="178" t="str">
        <f t="shared" si="26"/>
        <v/>
      </c>
      <c r="AD72" s="177"/>
      <c r="AE72" s="177"/>
      <c r="AF72" s="177"/>
      <c r="AG72" s="179" t="str">
        <f t="shared" si="32"/>
        <v/>
      </c>
      <c r="AH72" s="180" t="str">
        <f t="shared" si="4"/>
        <v/>
      </c>
      <c r="AI72" s="178" t="str">
        <f t="shared" si="27"/>
        <v/>
      </c>
      <c r="AJ72" s="180" t="str">
        <f t="shared" si="6"/>
        <v/>
      </c>
      <c r="AK72" s="178" t="str">
        <f t="shared" si="12"/>
        <v/>
      </c>
      <c r="AL72" s="181" t="str">
        <f t="shared" si="33"/>
        <v/>
      </c>
      <c r="AM72" s="182"/>
      <c r="AN72" s="175"/>
      <c r="AO72" s="183"/>
      <c r="AP72" s="183"/>
      <c r="AQ72" s="184"/>
      <c r="AR72" s="519"/>
      <c r="AS72" s="519"/>
      <c r="AT72" s="519"/>
    </row>
    <row r="73" spans="1:46" x14ac:dyDescent="0.2">
      <c r="A73" s="201"/>
      <c r="B73" s="521"/>
      <c r="C73" s="522"/>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row>
    <row r="75" spans="1:46" ht="15.75" x14ac:dyDescent="0.2">
      <c r="A75" s="185"/>
      <c r="B75" s="192"/>
      <c r="C75" s="185"/>
      <c r="D75" s="185"/>
      <c r="E75" s="185"/>
      <c r="F75" s="185"/>
      <c r="M75" s="185"/>
    </row>
    <row r="76" spans="1:46" s="241" customFormat="1" x14ac:dyDescent="0.2">
      <c r="A76" s="240"/>
      <c r="B76" s="240"/>
      <c r="C76" s="240"/>
      <c r="D76" s="240"/>
      <c r="E76" s="240"/>
      <c r="F76" s="240"/>
      <c r="M76" s="242"/>
      <c r="AN76" s="243"/>
    </row>
  </sheetData>
  <dataConsolidate/>
  <mergeCells count="288">
    <mergeCell ref="AS67:AS72"/>
    <mergeCell ref="AT67:AT72"/>
    <mergeCell ref="B73:AR73"/>
    <mergeCell ref="P67:P72"/>
    <mergeCell ref="Q67:Q72"/>
    <mergeCell ref="R67:R72"/>
    <mergeCell ref="S67:S72"/>
    <mergeCell ref="T67:T72"/>
    <mergeCell ref="AR67:AR72"/>
    <mergeCell ref="G67:G72"/>
    <mergeCell ref="K67:K72"/>
    <mergeCell ref="L67:L72"/>
    <mergeCell ref="M67:M72"/>
    <mergeCell ref="N67:N72"/>
    <mergeCell ref="O67:O72"/>
    <mergeCell ref="A67:A72"/>
    <mergeCell ref="B67:B72"/>
    <mergeCell ref="C67:C72"/>
    <mergeCell ref="D67:D72"/>
    <mergeCell ref="E67:E72"/>
    <mergeCell ref="F67:F72"/>
    <mergeCell ref="O61:O66"/>
    <mergeCell ref="P61:P66"/>
    <mergeCell ref="Q61:Q66"/>
    <mergeCell ref="E61:E66"/>
    <mergeCell ref="F61:F66"/>
    <mergeCell ref="G61:G66"/>
    <mergeCell ref="K61:K66"/>
    <mergeCell ref="L61:L66"/>
    <mergeCell ref="M61:M66"/>
    <mergeCell ref="N61:N66"/>
    <mergeCell ref="A61:A66"/>
    <mergeCell ref="B61:B66"/>
    <mergeCell ref="C61:C66"/>
    <mergeCell ref="D61:D66"/>
    <mergeCell ref="K55:K60"/>
    <mergeCell ref="AR61:AR66"/>
    <mergeCell ref="AS61:AS66"/>
    <mergeCell ref="AT61:AT66"/>
    <mergeCell ref="R61:R66"/>
    <mergeCell ref="S61:S66"/>
    <mergeCell ref="R55:R60"/>
    <mergeCell ref="S55:S60"/>
    <mergeCell ref="T55:T60"/>
    <mergeCell ref="AR55:AR60"/>
    <mergeCell ref="AS55:AS60"/>
    <mergeCell ref="AT55:AT60"/>
    <mergeCell ref="L55:L60"/>
    <mergeCell ref="M55:M60"/>
    <mergeCell ref="N55:N60"/>
    <mergeCell ref="O55:O60"/>
    <mergeCell ref="P55:P60"/>
    <mergeCell ref="Q55:Q60"/>
    <mergeCell ref="T61:T66"/>
    <mergeCell ref="A55:A60"/>
    <mergeCell ref="B55:B60"/>
    <mergeCell ref="C55:C60"/>
    <mergeCell ref="D55:D60"/>
    <mergeCell ref="E55:E60"/>
    <mergeCell ref="F55:F60"/>
    <mergeCell ref="R49:R54"/>
    <mergeCell ref="S49:S54"/>
    <mergeCell ref="T49:T54"/>
    <mergeCell ref="G49:G54"/>
    <mergeCell ref="H49:H54"/>
    <mergeCell ref="I49:I54"/>
    <mergeCell ref="J49:J54"/>
    <mergeCell ref="K49:K54"/>
    <mergeCell ref="A49:A54"/>
    <mergeCell ref="B49:B54"/>
    <mergeCell ref="C49:C54"/>
    <mergeCell ref="D49:D54"/>
    <mergeCell ref="E49:E54"/>
    <mergeCell ref="F49:F54"/>
    <mergeCell ref="G55:G60"/>
    <mergeCell ref="H55:H60"/>
    <mergeCell ref="I55:I60"/>
    <mergeCell ref="J55:J60"/>
    <mergeCell ref="AR49:AR54"/>
    <mergeCell ref="AS49:AS54"/>
    <mergeCell ref="AT49:AT54"/>
    <mergeCell ref="L49:L54"/>
    <mergeCell ref="M49:M54"/>
    <mergeCell ref="N49:N54"/>
    <mergeCell ref="O49:O54"/>
    <mergeCell ref="P49:P54"/>
    <mergeCell ref="Q49:Q54"/>
    <mergeCell ref="R43:R48"/>
    <mergeCell ref="S43:S48"/>
    <mergeCell ref="T43:T48"/>
    <mergeCell ref="AR43:AR48"/>
    <mergeCell ref="AS43:AS48"/>
    <mergeCell ref="AT43:AT48"/>
    <mergeCell ref="L43:L48"/>
    <mergeCell ref="M43:M48"/>
    <mergeCell ref="N43:N48"/>
    <mergeCell ref="O43:O48"/>
    <mergeCell ref="P43:P48"/>
    <mergeCell ref="Q43:Q48"/>
    <mergeCell ref="G43:G48"/>
    <mergeCell ref="H43:H48"/>
    <mergeCell ref="I43:I48"/>
    <mergeCell ref="J43:J48"/>
    <mergeCell ref="K43:K48"/>
    <mergeCell ref="A43:A48"/>
    <mergeCell ref="B43:B48"/>
    <mergeCell ref="C43:C48"/>
    <mergeCell ref="D43:D48"/>
    <mergeCell ref="E43:E48"/>
    <mergeCell ref="F43:F48"/>
    <mergeCell ref="R37:R42"/>
    <mergeCell ref="S37:S42"/>
    <mergeCell ref="T37:T42"/>
    <mergeCell ref="AR37:AR42"/>
    <mergeCell ref="AS37:AS42"/>
    <mergeCell ref="AT37:AT42"/>
    <mergeCell ref="L37:L42"/>
    <mergeCell ref="M37:M42"/>
    <mergeCell ref="N37:N42"/>
    <mergeCell ref="O37:O42"/>
    <mergeCell ref="P37:P42"/>
    <mergeCell ref="Q37:Q42"/>
    <mergeCell ref="G37:G42"/>
    <mergeCell ref="H37:H42"/>
    <mergeCell ref="I37:I42"/>
    <mergeCell ref="J37:J42"/>
    <mergeCell ref="K37:K42"/>
    <mergeCell ref="A37:A42"/>
    <mergeCell ref="B37:B42"/>
    <mergeCell ref="C37:C42"/>
    <mergeCell ref="D37:D42"/>
    <mergeCell ref="E37:E42"/>
    <mergeCell ref="F37:F42"/>
    <mergeCell ref="R31:R36"/>
    <mergeCell ref="S31:S36"/>
    <mergeCell ref="T31:T36"/>
    <mergeCell ref="AR31:AR36"/>
    <mergeCell ref="AS31:AS36"/>
    <mergeCell ref="AT31:AT36"/>
    <mergeCell ref="L31:L36"/>
    <mergeCell ref="M31:M36"/>
    <mergeCell ref="N31:N36"/>
    <mergeCell ref="O31:O36"/>
    <mergeCell ref="P31:P36"/>
    <mergeCell ref="Q31:Q36"/>
    <mergeCell ref="G31:G36"/>
    <mergeCell ref="H31:H36"/>
    <mergeCell ref="I31:I36"/>
    <mergeCell ref="J31:J36"/>
    <mergeCell ref="K31:K36"/>
    <mergeCell ref="A31:A36"/>
    <mergeCell ref="B31:B36"/>
    <mergeCell ref="C31:C36"/>
    <mergeCell ref="D31:D36"/>
    <mergeCell ref="E31:E36"/>
    <mergeCell ref="F31:F36"/>
    <mergeCell ref="R25:R30"/>
    <mergeCell ref="S25:S30"/>
    <mergeCell ref="T25:T30"/>
    <mergeCell ref="AR25:AR30"/>
    <mergeCell ref="AS25:AS30"/>
    <mergeCell ref="AT25:AT30"/>
    <mergeCell ref="L25:L30"/>
    <mergeCell ref="M25:M30"/>
    <mergeCell ref="N25:N30"/>
    <mergeCell ref="O25:O30"/>
    <mergeCell ref="P25:P30"/>
    <mergeCell ref="Q25:Q30"/>
    <mergeCell ref="G25:G30"/>
    <mergeCell ref="H25:H30"/>
    <mergeCell ref="I25:I30"/>
    <mergeCell ref="J25:J30"/>
    <mergeCell ref="K25:K30"/>
    <mergeCell ref="A25:A30"/>
    <mergeCell ref="B25:B30"/>
    <mergeCell ref="C25:C30"/>
    <mergeCell ref="D25:D30"/>
    <mergeCell ref="E25:E30"/>
    <mergeCell ref="F25:F30"/>
    <mergeCell ref="S19:S24"/>
    <mergeCell ref="T19:T24"/>
    <mergeCell ref="AR19:AR24"/>
    <mergeCell ref="AS19:AS24"/>
    <mergeCell ref="AT19:AT24"/>
    <mergeCell ref="L19:L24"/>
    <mergeCell ref="M19:M24"/>
    <mergeCell ref="N19:N24"/>
    <mergeCell ref="O19:O24"/>
    <mergeCell ref="P19:P24"/>
    <mergeCell ref="Q19:Q24"/>
    <mergeCell ref="R19:R24"/>
    <mergeCell ref="G19:G24"/>
    <mergeCell ref="H19:H24"/>
    <mergeCell ref="I19:I24"/>
    <mergeCell ref="J19:J24"/>
    <mergeCell ref="K19:K24"/>
    <mergeCell ref="A19:A24"/>
    <mergeCell ref="B19:B24"/>
    <mergeCell ref="C19:C24"/>
    <mergeCell ref="D19:D24"/>
    <mergeCell ref="E19:E24"/>
    <mergeCell ref="F19:F24"/>
    <mergeCell ref="AR13:AR18"/>
    <mergeCell ref="AS13:AS18"/>
    <mergeCell ref="AT13:AT18"/>
    <mergeCell ref="L13:L18"/>
    <mergeCell ref="M13:M18"/>
    <mergeCell ref="N13:N18"/>
    <mergeCell ref="AQ11:AQ12"/>
    <mergeCell ref="AR11:AR12"/>
    <mergeCell ref="AS11:AS12"/>
    <mergeCell ref="AT11:AT12"/>
    <mergeCell ref="AN11:AN12"/>
    <mergeCell ref="AO11:AO12"/>
    <mergeCell ref="AP11:AP12"/>
    <mergeCell ref="N11:N12"/>
    <mergeCell ref="O11:O12"/>
    <mergeCell ref="P11:P12"/>
    <mergeCell ref="O13:O18"/>
    <mergeCell ref="P13:P18"/>
    <mergeCell ref="Q13:Q18"/>
    <mergeCell ref="AK11:AK12"/>
    <mergeCell ref="AL11:AL12"/>
    <mergeCell ref="AM11:AM12"/>
    <mergeCell ref="Z11:Z12"/>
    <mergeCell ref="AA11:AF11"/>
    <mergeCell ref="R13:R18"/>
    <mergeCell ref="S13:S18"/>
    <mergeCell ref="T13:T18"/>
    <mergeCell ref="G13:G18"/>
    <mergeCell ref="H13:H18"/>
    <mergeCell ref="A8:B8"/>
    <mergeCell ref="C8:S8"/>
    <mergeCell ref="AG11:AG12"/>
    <mergeCell ref="AH11:AH12"/>
    <mergeCell ref="Q11:Q12"/>
    <mergeCell ref="R11:R12"/>
    <mergeCell ref="S11:S12"/>
    <mergeCell ref="T11:T12"/>
    <mergeCell ref="U11:U12"/>
    <mergeCell ref="Y11:Y12"/>
    <mergeCell ref="I13:I18"/>
    <mergeCell ref="J13:J18"/>
    <mergeCell ref="K13:K18"/>
    <mergeCell ref="A13:A18"/>
    <mergeCell ref="B13:B18"/>
    <mergeCell ref="C13:C18"/>
    <mergeCell ref="D13:D18"/>
    <mergeCell ref="E13:E18"/>
    <mergeCell ref="F13:F18"/>
    <mergeCell ref="AB8:AT8"/>
    <mergeCell ref="A10:F10"/>
    <mergeCell ref="G10:J10"/>
    <mergeCell ref="K10:L11"/>
    <mergeCell ref="M10:T10"/>
    <mergeCell ref="U10:AG10"/>
    <mergeCell ref="AH10:AL10"/>
    <mergeCell ref="AM10:AQ10"/>
    <mergeCell ref="AR10:AT10"/>
    <mergeCell ref="A11:A12"/>
    <mergeCell ref="B11:B12"/>
    <mergeCell ref="C11:C12"/>
    <mergeCell ref="D11:D12"/>
    <mergeCell ref="E11:E12"/>
    <mergeCell ref="F11:F12"/>
    <mergeCell ref="G11:G12"/>
    <mergeCell ref="H11:H12"/>
    <mergeCell ref="I11:I12"/>
    <mergeCell ref="J11:J12"/>
    <mergeCell ref="M11:M12"/>
    <mergeCell ref="AI11:AI12"/>
    <mergeCell ref="AJ11:AJ12"/>
    <mergeCell ref="A6:B6"/>
    <mergeCell ref="C6:S6"/>
    <mergeCell ref="Y6:AA6"/>
    <mergeCell ref="AB6:AT6"/>
    <mergeCell ref="A7:B7"/>
    <mergeCell ref="C7:S7"/>
    <mergeCell ref="AB7:AT7"/>
    <mergeCell ref="A1:C4"/>
    <mergeCell ref="D1:S2"/>
    <mergeCell ref="Z1:AT2"/>
    <mergeCell ref="D3:H3"/>
    <mergeCell ref="I3:S3"/>
    <mergeCell ref="Z3:AN3"/>
    <mergeCell ref="AO3:AT3"/>
    <mergeCell ref="D4:S4"/>
    <mergeCell ref="Z4:AT4"/>
  </mergeCells>
  <conditionalFormatting sqref="N13 N19">
    <cfRule type="cellIs" dxfId="281" priority="105" operator="equal">
      <formula>"Muy Baja"</formula>
    </cfRule>
    <cfRule type="cellIs" dxfId="280" priority="104" operator="equal">
      <formula>"Baja"</formula>
    </cfRule>
    <cfRule type="cellIs" dxfId="279" priority="103" operator="equal">
      <formula>"Media"</formula>
    </cfRule>
    <cfRule type="cellIs" dxfId="278" priority="102" operator="equal">
      <formula>"Alta"</formula>
    </cfRule>
    <cfRule type="cellIs" dxfId="277" priority="101" operator="equal">
      <formula>"Muy Alta"</formula>
    </cfRule>
  </conditionalFormatting>
  <conditionalFormatting sqref="N25">
    <cfRule type="cellIs" dxfId="276" priority="84" operator="equal">
      <formula>"Alta"</formula>
    </cfRule>
    <cfRule type="cellIs" dxfId="275" priority="83" operator="equal">
      <formula>"Muy Alta"</formula>
    </cfRule>
    <cfRule type="cellIs" dxfId="274" priority="87" operator="equal">
      <formula>"Muy Baja"</formula>
    </cfRule>
    <cfRule type="cellIs" dxfId="273" priority="86" operator="equal">
      <formula>"Baja"</formula>
    </cfRule>
    <cfRule type="cellIs" dxfId="272" priority="85" operator="equal">
      <formula>"Media"</formula>
    </cfRule>
  </conditionalFormatting>
  <conditionalFormatting sqref="N31">
    <cfRule type="cellIs" dxfId="271" priority="78" operator="equal">
      <formula>"Muy Baja"</formula>
    </cfRule>
    <cfRule type="cellIs" dxfId="270" priority="77" operator="equal">
      <formula>"Baja"</formula>
    </cfRule>
    <cfRule type="cellIs" dxfId="269" priority="74" operator="equal">
      <formula>"Muy Alta"</formula>
    </cfRule>
    <cfRule type="cellIs" dxfId="268" priority="75" operator="equal">
      <formula>"Alta"</formula>
    </cfRule>
    <cfRule type="cellIs" dxfId="267" priority="76" operator="equal">
      <formula>"Media"</formula>
    </cfRule>
  </conditionalFormatting>
  <conditionalFormatting sqref="N37">
    <cfRule type="cellIs" dxfId="266" priority="65" operator="equal">
      <formula>"Muy Alta"</formula>
    </cfRule>
    <cfRule type="cellIs" dxfId="265" priority="67" operator="equal">
      <formula>"Media"</formula>
    </cfRule>
    <cfRule type="cellIs" dxfId="264" priority="66" operator="equal">
      <formula>"Alta"</formula>
    </cfRule>
    <cfRule type="cellIs" dxfId="263" priority="68" operator="equal">
      <formula>"Baja"</formula>
    </cfRule>
    <cfRule type="cellIs" dxfId="262" priority="69" operator="equal">
      <formula>"Muy Baja"</formula>
    </cfRule>
  </conditionalFormatting>
  <conditionalFormatting sqref="N43">
    <cfRule type="cellIs" dxfId="261" priority="56" operator="equal">
      <formula>"Muy Alta"</formula>
    </cfRule>
    <cfRule type="cellIs" dxfId="260" priority="58" operator="equal">
      <formula>"Media"</formula>
    </cfRule>
    <cfRule type="cellIs" dxfId="259" priority="60" operator="equal">
      <formula>"Muy Baja"</formula>
    </cfRule>
    <cfRule type="cellIs" dxfId="258" priority="59" operator="equal">
      <formula>"Baja"</formula>
    </cfRule>
    <cfRule type="cellIs" dxfId="257" priority="57" operator="equal">
      <formula>"Alta"</formula>
    </cfRule>
  </conditionalFormatting>
  <conditionalFormatting sqref="N49">
    <cfRule type="cellIs" dxfId="256" priority="47" operator="equal">
      <formula>"Muy Alta"</formula>
    </cfRule>
    <cfRule type="cellIs" dxfId="255" priority="48" operator="equal">
      <formula>"Alta"</formula>
    </cfRule>
    <cfRule type="cellIs" dxfId="254" priority="49" operator="equal">
      <formula>"Media"</formula>
    </cfRule>
    <cfRule type="cellIs" dxfId="253" priority="50" operator="equal">
      <formula>"Baja"</formula>
    </cfRule>
    <cfRule type="cellIs" dxfId="252" priority="51" operator="equal">
      <formula>"Muy Baja"</formula>
    </cfRule>
  </conditionalFormatting>
  <conditionalFormatting sqref="N55">
    <cfRule type="cellIs" dxfId="251" priority="2" operator="equal">
      <formula>"Alta"</formula>
    </cfRule>
    <cfRule type="cellIs" dxfId="250" priority="3" operator="equal">
      <formula>"Media"</formula>
    </cfRule>
    <cfRule type="cellIs" dxfId="249" priority="4" operator="equal">
      <formula>"Baja"</formula>
    </cfRule>
    <cfRule type="cellIs" dxfId="248" priority="5" operator="equal">
      <formula>"Muy Baja"</formula>
    </cfRule>
    <cfRule type="cellIs" dxfId="247" priority="1" operator="equal">
      <formula>"Muy Alta"</formula>
    </cfRule>
  </conditionalFormatting>
  <conditionalFormatting sqref="N61">
    <cfRule type="cellIs" dxfId="246" priority="34" operator="equal">
      <formula>"Muy Alta"</formula>
    </cfRule>
    <cfRule type="cellIs" dxfId="245" priority="35" operator="equal">
      <formula>"Alta"</formula>
    </cfRule>
    <cfRule type="cellIs" dxfId="244" priority="36" operator="equal">
      <formula>"Media"</formula>
    </cfRule>
    <cfRule type="cellIs" dxfId="243" priority="37" operator="equal">
      <formula>"Baja"</formula>
    </cfRule>
    <cfRule type="cellIs" dxfId="242" priority="38" operator="equal">
      <formula>"Muy Baja"</formula>
    </cfRule>
  </conditionalFormatting>
  <conditionalFormatting sqref="N67">
    <cfRule type="cellIs" dxfId="241" priority="26" operator="equal">
      <formula>"Alta"</formula>
    </cfRule>
    <cfRule type="cellIs" dxfId="240" priority="27" operator="equal">
      <formula>"Media"</formula>
    </cfRule>
    <cfRule type="cellIs" dxfId="239" priority="25" operator="equal">
      <formula>"Muy Alta"</formula>
    </cfRule>
    <cfRule type="cellIs" dxfId="238" priority="28" operator="equal">
      <formula>"Baja"</formula>
    </cfRule>
    <cfRule type="cellIs" dxfId="237" priority="29" operator="equal">
      <formula>"Muy Baja"</formula>
    </cfRule>
  </conditionalFormatting>
  <conditionalFormatting sqref="Q13:Q72">
    <cfRule type="containsText" dxfId="236" priority="6" operator="containsText" text="❌">
      <formula>NOT(ISERROR(SEARCH("❌",Q13)))</formula>
    </cfRule>
  </conditionalFormatting>
  <conditionalFormatting sqref="R13 R19 R25 R31 R37 R43 R49 R55 R61 R67">
    <cfRule type="cellIs" dxfId="235" priority="96" operator="equal">
      <formula>"Catastrófico"</formula>
    </cfRule>
    <cfRule type="cellIs" dxfId="234" priority="97" operator="equal">
      <formula>"Mayor"</formula>
    </cfRule>
    <cfRule type="cellIs" dxfId="233" priority="98" operator="equal">
      <formula>"Moderado"</formula>
    </cfRule>
    <cfRule type="cellIs" dxfId="232" priority="99" operator="equal">
      <formula>"Menor"</formula>
    </cfRule>
    <cfRule type="cellIs" dxfId="231" priority="100" operator="equal">
      <formula>"Leve"</formula>
    </cfRule>
  </conditionalFormatting>
  <conditionalFormatting sqref="T13">
    <cfRule type="cellIs" dxfId="230" priority="95" operator="equal">
      <formula>"Bajo"</formula>
    </cfRule>
    <cfRule type="cellIs" dxfId="229" priority="92" operator="equal">
      <formula>"Extremo"</formula>
    </cfRule>
    <cfRule type="cellIs" dxfId="228" priority="93" operator="equal">
      <formula>"Alto"</formula>
    </cfRule>
    <cfRule type="cellIs" dxfId="227" priority="94" operator="equal">
      <formula>"Moderado"</formula>
    </cfRule>
  </conditionalFormatting>
  <conditionalFormatting sqref="T19">
    <cfRule type="cellIs" dxfId="226" priority="88" operator="equal">
      <formula>"Extremo"</formula>
    </cfRule>
    <cfRule type="cellIs" dxfId="225" priority="91" operator="equal">
      <formula>"Bajo"</formula>
    </cfRule>
    <cfRule type="cellIs" dxfId="224" priority="90" operator="equal">
      <formula>"Moderado"</formula>
    </cfRule>
    <cfRule type="cellIs" dxfId="223" priority="89" operator="equal">
      <formula>"Alto"</formula>
    </cfRule>
  </conditionalFormatting>
  <conditionalFormatting sqref="T25">
    <cfRule type="cellIs" dxfId="222" priority="82" operator="equal">
      <formula>"Bajo"</formula>
    </cfRule>
    <cfRule type="cellIs" dxfId="221" priority="80" operator="equal">
      <formula>"Alto"</formula>
    </cfRule>
    <cfRule type="cellIs" dxfId="220" priority="79" operator="equal">
      <formula>"Extremo"</formula>
    </cfRule>
    <cfRule type="cellIs" dxfId="219" priority="81" operator="equal">
      <formula>"Moderado"</formula>
    </cfRule>
  </conditionalFormatting>
  <conditionalFormatting sqref="T31">
    <cfRule type="cellIs" dxfId="218" priority="70" operator="equal">
      <formula>"Extremo"</formula>
    </cfRule>
    <cfRule type="cellIs" dxfId="217" priority="71" operator="equal">
      <formula>"Alto"</formula>
    </cfRule>
    <cfRule type="cellIs" dxfId="216" priority="72" operator="equal">
      <formula>"Moderado"</formula>
    </cfRule>
    <cfRule type="cellIs" dxfId="215" priority="73" operator="equal">
      <formula>"Bajo"</formula>
    </cfRule>
  </conditionalFormatting>
  <conditionalFormatting sqref="T37">
    <cfRule type="cellIs" dxfId="214" priority="62" operator="equal">
      <formula>"Alto"</formula>
    </cfRule>
    <cfRule type="cellIs" dxfId="213" priority="61" operator="equal">
      <formula>"Extremo"</formula>
    </cfRule>
    <cfRule type="cellIs" dxfId="212" priority="63" operator="equal">
      <formula>"Moderado"</formula>
    </cfRule>
    <cfRule type="cellIs" dxfId="211" priority="64" operator="equal">
      <formula>"Bajo"</formula>
    </cfRule>
  </conditionalFormatting>
  <conditionalFormatting sqref="T43">
    <cfRule type="cellIs" dxfId="210" priority="54" operator="equal">
      <formula>"Moderado"</formula>
    </cfRule>
    <cfRule type="cellIs" dxfId="209" priority="53" operator="equal">
      <formula>"Alto"</formula>
    </cfRule>
    <cfRule type="cellIs" dxfId="208" priority="55" operator="equal">
      <formula>"Bajo"</formula>
    </cfRule>
    <cfRule type="cellIs" dxfId="207" priority="52" operator="equal">
      <formula>"Extremo"</formula>
    </cfRule>
  </conditionalFormatting>
  <conditionalFormatting sqref="T49">
    <cfRule type="cellIs" dxfId="206" priority="46" operator="equal">
      <formula>"Bajo"</formula>
    </cfRule>
    <cfRule type="cellIs" dxfId="205" priority="45" operator="equal">
      <formula>"Moderado"</formula>
    </cfRule>
    <cfRule type="cellIs" dxfId="204" priority="44" operator="equal">
      <formula>"Alto"</formula>
    </cfRule>
    <cfRule type="cellIs" dxfId="203" priority="43" operator="equal">
      <formula>"Extremo"</formula>
    </cfRule>
  </conditionalFormatting>
  <conditionalFormatting sqref="T55">
    <cfRule type="cellIs" dxfId="202" priority="41" operator="equal">
      <formula>"Moderado"</formula>
    </cfRule>
    <cfRule type="cellIs" dxfId="201" priority="39" operator="equal">
      <formula>"Extremo"</formula>
    </cfRule>
    <cfRule type="cellIs" dxfId="200" priority="42" operator="equal">
      <formula>"Bajo"</formula>
    </cfRule>
    <cfRule type="cellIs" dxfId="199" priority="40" operator="equal">
      <formula>"Alto"</formula>
    </cfRule>
  </conditionalFormatting>
  <conditionalFormatting sqref="T61">
    <cfRule type="cellIs" dxfId="198" priority="30" operator="equal">
      <formula>"Extremo"</formula>
    </cfRule>
    <cfRule type="cellIs" dxfId="197" priority="32" operator="equal">
      <formula>"Moderado"</formula>
    </cfRule>
    <cfRule type="cellIs" dxfId="196" priority="33" operator="equal">
      <formula>"Bajo"</formula>
    </cfRule>
    <cfRule type="cellIs" dxfId="195" priority="31" operator="equal">
      <formula>"Alto"</formula>
    </cfRule>
  </conditionalFormatting>
  <conditionalFormatting sqref="T67">
    <cfRule type="cellIs" dxfId="194" priority="21" operator="equal">
      <formula>"Extremo"</formula>
    </cfRule>
    <cfRule type="cellIs" dxfId="193" priority="24" operator="equal">
      <formula>"Bajo"</formula>
    </cfRule>
    <cfRule type="cellIs" dxfId="192" priority="23" operator="equal">
      <formula>"Moderado"</formula>
    </cfRule>
    <cfRule type="cellIs" dxfId="191" priority="22" operator="equal">
      <formula>"Alto"</formula>
    </cfRule>
  </conditionalFormatting>
  <conditionalFormatting sqref="AH13:AH72">
    <cfRule type="cellIs" dxfId="190" priority="20" operator="equal">
      <formula>"Muy Baja"</formula>
    </cfRule>
    <cfRule type="cellIs" dxfId="189" priority="19" operator="equal">
      <formula>"Baja"</formula>
    </cfRule>
    <cfRule type="cellIs" dxfId="188" priority="18" operator="equal">
      <formula>"Media"</formula>
    </cfRule>
    <cfRule type="cellIs" dxfId="187" priority="17" operator="equal">
      <formula>"Alta"</formula>
    </cfRule>
    <cfRule type="cellIs" dxfId="186" priority="16" operator="equal">
      <formula>"Muy Alta"</formula>
    </cfRule>
  </conditionalFormatting>
  <conditionalFormatting sqref="AJ13:AJ72">
    <cfRule type="cellIs" dxfId="185" priority="14" operator="equal">
      <formula>"Menor"</formula>
    </cfRule>
    <cfRule type="cellIs" dxfId="184" priority="15" operator="equal">
      <formula>"Leve"</formula>
    </cfRule>
    <cfRule type="cellIs" dxfId="183" priority="12" operator="equal">
      <formula>"Mayor"</formula>
    </cfRule>
    <cfRule type="cellIs" dxfId="182" priority="11" operator="equal">
      <formula>"Catastrófico"</formula>
    </cfRule>
    <cfRule type="cellIs" dxfId="181" priority="13" operator="equal">
      <formula>"Moderado"</formula>
    </cfRule>
  </conditionalFormatting>
  <conditionalFormatting sqref="AL13:AL72">
    <cfRule type="cellIs" dxfId="180" priority="7" operator="equal">
      <formula>"Extremo"</formula>
    </cfRule>
    <cfRule type="cellIs" dxfId="179" priority="10" operator="equal">
      <formula>"Bajo"</formula>
    </cfRule>
    <cfRule type="cellIs" dxfId="178" priority="9" operator="equal">
      <formula>"Moderado"</formula>
    </cfRule>
    <cfRule type="cellIs" dxfId="177"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19" max="75"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4F89ED47-D32C-427F-8E99-9CA891484698}">
          <x14:formula1>
            <xm:f>'Intructivo control cambio'!$C$294:$C$308</xm:f>
          </x14:formula1>
          <xm:sqref>T6:X6</xm:sqref>
        </x14:dataValidation>
        <x14:dataValidation type="list" allowBlank="1" showInputMessage="1" showErrorMessage="1" xr:uid="{91D6C09F-5756-4DF2-9670-4460B3DD1FA4}">
          <x14:formula1>
            <xm:f>Listas!$H$4:$H$8</xm:f>
          </x14:formula1>
          <xm:sqref>W13:W72</xm:sqref>
        </x14:dataValidation>
        <x14:dataValidation type="list" allowBlank="1" showInputMessage="1" showErrorMessage="1" xr:uid="{B2CD19DD-96B1-4840-A369-184F29335A45}">
          <x14:formula1>
            <xm:f>Listas!$H$11:$H$21</xm:f>
          </x14:formula1>
          <xm:sqref>K13:K72</xm:sqref>
        </x14:dataValidation>
        <x14:dataValidation type="list" allowBlank="1" showInputMessage="1" showErrorMessage="1" xr:uid="{F05A2FCA-171D-4824-AAEC-B07B2971FD22}">
          <x14:formula1>
            <xm:f>Listas!$F$11:$F$12</xm:f>
          </x14:formula1>
          <xm:sqref>G13:G72</xm:sqref>
        </x14:dataValidation>
        <x14:dataValidation type="custom" allowBlank="1" showInputMessage="1" showErrorMessage="1" error="Recuerde que las acciones se generan bajo la medida de mitigar el riesgo" xr:uid="{35D64AC4-D1D0-4A92-B1FC-957E1DAC819E}">
          <x14:formula1>
            <xm:f>IF(OR(#REF!=Listas!$B$4,#REF!=Listas!$B$5,#REF!=Listas!$B$6),ISBLANK(#REF!),ISTEXT(#REF!))</xm:f>
          </x14:formula1>
          <xm:sqref>AR19:AT19 AR67:AT67 AR61:AT61 AR55:AT55 AR49:AT49 AR43:AT43 AR37:AT37 AR31:AT31 AR25:AT25</xm:sqref>
        </x14:dataValidation>
        <x14:dataValidation type="list" allowBlank="1" showInputMessage="1" showErrorMessage="1" xr:uid="{D585A615-DDB2-40B3-9EA0-ED712D3C777C}">
          <x14:formula1>
            <xm:f>'Tabla Impacto'!$F$211:$F$222</xm:f>
          </x14:formula1>
          <xm:sqref>P13:P72</xm:sqref>
        </x14:dataValidation>
        <x14:dataValidation type="list" allowBlank="1" showInputMessage="1" showErrorMessage="1" xr:uid="{F84AD5A6-9F23-422A-AE91-867B32A5C234}">
          <x14:formula1>
            <xm:f>Listas!$E$7:$E$9</xm:f>
          </x14:formula1>
          <xm:sqref>B13:B72</xm:sqref>
        </x14:dataValidation>
        <x14:dataValidation type="list" allowBlank="1" showInputMessage="1" showErrorMessage="1" xr:uid="{1AAA207B-FAD4-446C-BC82-75F9C2EEED62}">
          <x14:formula1>
            <xm:f>'Tabla Valoración controles'!$D$13:$D$14</xm:f>
          </x14:formula1>
          <xm:sqref>AF13:AF72</xm:sqref>
        </x14:dataValidation>
        <x14:dataValidation type="list" allowBlank="1" showInputMessage="1" showErrorMessage="1" xr:uid="{1A32E702-377A-43EA-988E-3646FC2F755E}">
          <x14:formula1>
            <xm:f>'Tabla Valoración controles'!$D$11:$D$12</xm:f>
          </x14:formula1>
          <xm:sqref>AE13:AE72</xm:sqref>
        </x14:dataValidation>
        <x14:dataValidation type="list" allowBlank="1" showInputMessage="1" showErrorMessage="1" xr:uid="{6552CFAF-3A0E-4D8F-AB4E-8896F0A6EAC1}">
          <x14:formula1>
            <xm:f>'Tabla Valoración controles'!$D$9:$D$10</xm:f>
          </x14:formula1>
          <xm:sqref>AD13:AD72</xm:sqref>
        </x14:dataValidation>
        <x14:dataValidation type="list" allowBlank="1" showInputMessage="1" showErrorMessage="1" xr:uid="{44ADF195-ED38-413C-8E2A-9B0BD559F4A6}">
          <x14:formula1>
            <xm:f>'Tabla Valoración controles'!$D$7:$D$8</xm:f>
          </x14:formula1>
          <xm:sqref>AB13:AB72</xm:sqref>
        </x14:dataValidation>
        <x14:dataValidation type="list" allowBlank="1" showInputMessage="1" showErrorMessage="1" xr:uid="{1E01FC24-5229-4BC8-838F-77B8512A939D}">
          <x14:formula1>
            <xm:f>'Tabla Valoración controles'!$D$4:$D$6</xm:f>
          </x14:formula1>
          <xm:sqref>AA13:AA72</xm:sqref>
        </x14:dataValidation>
        <x14:dataValidation type="list" allowBlank="1" showInputMessage="1" showErrorMessage="1" xr:uid="{A1AAB46E-0F77-4CF1-8860-0551AEEA6167}">
          <x14:formula1>
            <xm:f>'Intructivo control cambio'!$C$294:$C$318</xm:f>
          </x14:formula1>
          <xm:sqref>C6:S6</xm:sqref>
        </x14:dataValidation>
        <x14:dataValidation type="list" allowBlank="1" showInputMessage="1" showErrorMessage="1" xr:uid="{0831845D-0979-49B0-99E3-084CE82099F5}">
          <x14:formula1>
            <xm:f>Listas!$L$4:$L$9</xm:f>
          </x14:formula1>
          <xm:sqref>L13:L18</xm:sqref>
        </x14:dataValidation>
        <x14:dataValidation type="list" allowBlank="1" showInputMessage="1" showErrorMessage="1" xr:uid="{60A84E2A-25EF-41AE-9C2E-C2356C9E6FDF}">
          <x14:formula1>
            <xm:f>Listas!$L$5:$L$9</xm:f>
          </x14:formula1>
          <xm:sqref>L19:L72</xm:sqref>
        </x14:dataValidation>
        <x14:dataValidation type="list" allowBlank="1" showInputMessage="1" showErrorMessage="1" xr:uid="{9203C801-1FB2-4902-8286-8390B340A2D1}">
          <x14:formula1>
            <xm:f>Listas!$B$4:$B$7</xm:f>
          </x14:formula1>
          <xm:sqref>AM13:AM72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B9A3-DAB5-4CEE-AF8C-077ED4DD2F13}">
  <sheetPr>
    <tabColor theme="5" tint="0.59999389629810485"/>
  </sheetPr>
  <dimension ref="A1:JO52"/>
  <sheetViews>
    <sheetView tabSelected="1" topLeftCell="K12" zoomScale="70" zoomScaleNormal="70" zoomScaleSheetLayoutView="50" zoomScalePageLayoutView="60" workbookViewId="0">
      <selection activeCell="Y13" sqref="Y13"/>
    </sheetView>
  </sheetViews>
  <sheetFormatPr baseColWidth="10" defaultColWidth="11.42578125" defaultRowHeight="15" x14ac:dyDescent="0.2"/>
  <cols>
    <col min="1" max="1" width="6.5703125" style="203" customWidth="1"/>
    <col min="2" max="2" width="22.7109375" style="203" customWidth="1"/>
    <col min="3" max="3" width="39.140625" style="203" customWidth="1"/>
    <col min="4" max="4" width="45.7109375" style="409" customWidth="1"/>
    <col min="5" max="5" width="20" style="203" customWidth="1"/>
    <col min="6" max="6" width="51.140625" style="203" customWidth="1"/>
    <col min="7" max="7" width="21" style="185" customWidth="1"/>
    <col min="8" max="8" width="17.7109375" style="185" customWidth="1"/>
    <col min="9" max="10" width="18.85546875" style="185" customWidth="1"/>
    <col min="11" max="11" width="24.28515625" style="185" customWidth="1"/>
    <col min="12" max="12" width="19.42578125" style="185" customWidth="1"/>
    <col min="13" max="13" width="20.5703125" style="185" customWidth="1"/>
    <col min="14" max="14" width="16.7109375" style="204" customWidth="1"/>
    <col min="15" max="15" width="16.7109375" style="185" customWidth="1"/>
    <col min="16" max="16" width="20.42578125" style="185" hidden="1" customWidth="1"/>
    <col min="17" max="17" width="20.42578125" style="185" customWidth="1"/>
    <col min="18" max="18" width="35.85546875" style="185" hidden="1" customWidth="1"/>
    <col min="19" max="19" width="19" style="185" customWidth="1"/>
    <col min="20" max="20" width="17.5703125" style="185" hidden="1" customWidth="1"/>
    <col min="21" max="21" width="15" style="185" customWidth="1"/>
    <col min="22" max="22" width="5.140625" style="185" customWidth="1"/>
    <col min="23" max="23" width="18" style="185" customWidth="1"/>
    <col min="24" max="24" width="11.7109375" style="185" customWidth="1"/>
    <col min="25" max="26" width="42.7109375" style="185" customWidth="1"/>
    <col min="27" max="27" width="19.7109375" style="185" hidden="1" customWidth="1"/>
    <col min="28" max="28" width="5.85546875" style="185" customWidth="1"/>
    <col min="29" max="29" width="6.85546875" style="185" customWidth="1"/>
    <col min="30" max="30" width="5" style="185" hidden="1" customWidth="1"/>
    <col min="31" max="31" width="5.5703125" style="185" customWidth="1"/>
    <col min="32" max="32" width="7.140625" style="185" customWidth="1"/>
    <col min="33" max="33" width="6.7109375" style="185" customWidth="1"/>
    <col min="34" max="34" width="7.5703125" style="185" hidden="1" customWidth="1"/>
    <col min="35" max="35" width="8.5703125" style="185" customWidth="1"/>
    <col min="36" max="40" width="10.85546875" style="185" customWidth="1"/>
    <col min="41" max="41" width="33.28515625" style="202" customWidth="1"/>
    <col min="42" max="42" width="23" style="185" customWidth="1"/>
    <col min="43" max="43" width="18.85546875" style="185" customWidth="1"/>
    <col min="44" max="44" width="23.7109375" style="185" customWidth="1"/>
    <col min="45" max="45" width="22.42578125" style="185" customWidth="1"/>
    <col min="46" max="46" width="16.42578125" style="185" customWidth="1"/>
    <col min="47" max="47" width="20.5703125" style="185" customWidth="1"/>
    <col min="48" max="16384" width="11.42578125" style="185"/>
  </cols>
  <sheetData>
    <row r="1" spans="1:275" s="187" customFormat="1" ht="20.25" x14ac:dyDescent="0.3">
      <c r="A1" s="476"/>
      <c r="B1" s="477"/>
      <c r="C1" s="478"/>
      <c r="D1" s="465" t="s">
        <v>421</v>
      </c>
      <c r="E1" s="466"/>
      <c r="F1" s="466"/>
      <c r="G1" s="466"/>
      <c r="H1" s="466"/>
      <c r="I1" s="466"/>
      <c r="J1" s="466"/>
      <c r="K1" s="466"/>
      <c r="L1" s="466"/>
      <c r="M1" s="466"/>
      <c r="N1" s="466"/>
      <c r="O1" s="466"/>
      <c r="P1" s="466"/>
      <c r="Q1" s="466"/>
      <c r="R1" s="466"/>
      <c r="S1" s="466"/>
      <c r="T1" s="467"/>
      <c r="U1" s="234"/>
      <c r="V1" s="234"/>
      <c r="W1" s="234"/>
      <c r="X1" s="234"/>
      <c r="Y1" s="234"/>
      <c r="Z1" s="234"/>
      <c r="AA1" s="492"/>
      <c r="AB1" s="492"/>
      <c r="AC1" s="492"/>
      <c r="AD1" s="492"/>
      <c r="AE1" s="492"/>
      <c r="AF1" s="492"/>
      <c r="AG1" s="492"/>
      <c r="AH1" s="492"/>
      <c r="AI1" s="492"/>
      <c r="AJ1" s="492"/>
      <c r="AK1" s="492"/>
      <c r="AL1" s="492"/>
      <c r="AM1" s="492"/>
      <c r="AN1" s="492"/>
      <c r="AO1" s="492"/>
      <c r="AP1" s="492"/>
      <c r="AQ1" s="492"/>
      <c r="AR1" s="492"/>
      <c r="AS1" s="492"/>
      <c r="AT1" s="492"/>
      <c r="AU1" s="492"/>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479"/>
      <c r="B2" s="480"/>
      <c r="C2" s="481"/>
      <c r="D2" s="468"/>
      <c r="E2" s="469"/>
      <c r="F2" s="469"/>
      <c r="G2" s="469"/>
      <c r="H2" s="469"/>
      <c r="I2" s="469"/>
      <c r="J2" s="469"/>
      <c r="K2" s="469"/>
      <c r="L2" s="469"/>
      <c r="M2" s="469"/>
      <c r="N2" s="469"/>
      <c r="O2" s="469"/>
      <c r="P2" s="469"/>
      <c r="Q2" s="469"/>
      <c r="R2" s="469"/>
      <c r="S2" s="469"/>
      <c r="T2" s="470"/>
      <c r="U2" s="234"/>
      <c r="V2" s="234"/>
      <c r="W2" s="234"/>
      <c r="X2" s="234"/>
      <c r="Y2" s="234"/>
      <c r="Z2" s="234"/>
      <c r="AA2" s="492"/>
      <c r="AB2" s="492"/>
      <c r="AC2" s="492"/>
      <c r="AD2" s="492"/>
      <c r="AE2" s="492"/>
      <c r="AF2" s="492"/>
      <c r="AG2" s="492"/>
      <c r="AH2" s="492"/>
      <c r="AI2" s="492"/>
      <c r="AJ2" s="492"/>
      <c r="AK2" s="492"/>
      <c r="AL2" s="492"/>
      <c r="AM2" s="492"/>
      <c r="AN2" s="492"/>
      <c r="AO2" s="492"/>
      <c r="AP2" s="492"/>
      <c r="AQ2" s="492"/>
      <c r="AR2" s="492"/>
      <c r="AS2" s="492"/>
      <c r="AT2" s="492"/>
      <c r="AU2" s="492"/>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479"/>
      <c r="B3" s="480"/>
      <c r="C3" s="481"/>
      <c r="D3" s="471" t="s">
        <v>422</v>
      </c>
      <c r="E3" s="472"/>
      <c r="F3" s="472"/>
      <c r="G3" s="472"/>
      <c r="H3" s="472"/>
      <c r="I3" s="473"/>
      <c r="J3" s="471" t="s">
        <v>423</v>
      </c>
      <c r="K3" s="472"/>
      <c r="L3" s="472"/>
      <c r="M3" s="472"/>
      <c r="N3" s="472"/>
      <c r="O3" s="472"/>
      <c r="P3" s="472"/>
      <c r="Q3" s="472"/>
      <c r="R3" s="472"/>
      <c r="S3" s="472"/>
      <c r="T3" s="473"/>
      <c r="U3" s="235"/>
      <c r="V3" s="235"/>
      <c r="W3" s="235"/>
      <c r="X3" s="235"/>
      <c r="Y3" s="235"/>
      <c r="Z3" s="234"/>
      <c r="AA3" s="493"/>
      <c r="AB3" s="493"/>
      <c r="AC3" s="493"/>
      <c r="AD3" s="493"/>
      <c r="AE3" s="493"/>
      <c r="AF3" s="493"/>
      <c r="AG3" s="493"/>
      <c r="AH3" s="493"/>
      <c r="AI3" s="493"/>
      <c r="AJ3" s="493"/>
      <c r="AK3" s="493"/>
      <c r="AL3" s="493"/>
      <c r="AM3" s="493"/>
      <c r="AN3" s="493"/>
      <c r="AO3" s="493"/>
      <c r="AP3" s="493"/>
      <c r="AQ3" s="493"/>
      <c r="AR3" s="493"/>
      <c r="AS3" s="493"/>
      <c r="AT3" s="493"/>
      <c r="AU3" s="493"/>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482"/>
      <c r="B4" s="483"/>
      <c r="C4" s="484"/>
      <c r="D4" s="471" t="s">
        <v>424</v>
      </c>
      <c r="E4" s="472"/>
      <c r="F4" s="472"/>
      <c r="G4" s="472"/>
      <c r="H4" s="472"/>
      <c r="I4" s="472"/>
      <c r="J4" s="472"/>
      <c r="K4" s="472"/>
      <c r="L4" s="472"/>
      <c r="M4" s="472"/>
      <c r="N4" s="472"/>
      <c r="O4" s="472"/>
      <c r="P4" s="472"/>
      <c r="Q4" s="472"/>
      <c r="R4" s="472"/>
      <c r="S4" s="472"/>
      <c r="T4" s="473"/>
      <c r="U4" s="234"/>
      <c r="V4" s="234"/>
      <c r="W4" s="234"/>
      <c r="X4" s="234"/>
      <c r="Y4" s="234"/>
      <c r="Z4" s="234"/>
      <c r="AA4" s="493"/>
      <c r="AB4" s="493"/>
      <c r="AC4" s="493"/>
      <c r="AD4" s="493"/>
      <c r="AE4" s="493"/>
      <c r="AF4" s="493"/>
      <c r="AG4" s="493"/>
      <c r="AH4" s="493"/>
      <c r="AI4" s="493"/>
      <c r="AJ4" s="493"/>
      <c r="AK4" s="493"/>
      <c r="AL4" s="493"/>
      <c r="AM4" s="493"/>
      <c r="AN4" s="493"/>
      <c r="AO4" s="493"/>
      <c r="AP4" s="493"/>
      <c r="AQ4" s="493"/>
      <c r="AR4" s="493"/>
      <c r="AS4" s="493"/>
      <c r="AT4" s="493"/>
      <c r="AU4" s="493"/>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C5" s="188"/>
      <c r="D5" s="189"/>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494" t="s">
        <v>425</v>
      </c>
      <c r="B6" s="495"/>
      <c r="C6" s="501" t="s">
        <v>69</v>
      </c>
      <c r="D6" s="502"/>
      <c r="E6" s="502"/>
      <c r="F6" s="502"/>
      <c r="G6" s="502"/>
      <c r="H6" s="502"/>
      <c r="I6" s="502"/>
      <c r="J6" s="502"/>
      <c r="K6" s="502"/>
      <c r="L6" s="502"/>
      <c r="M6" s="502"/>
      <c r="N6" s="502"/>
      <c r="O6" s="502"/>
      <c r="P6" s="502"/>
      <c r="Q6" s="502"/>
      <c r="R6" s="502"/>
      <c r="S6" s="502"/>
      <c r="T6" s="502"/>
      <c r="U6" s="503"/>
      <c r="V6" s="237"/>
      <c r="W6" s="237"/>
      <c r="X6" s="237"/>
      <c r="Y6" s="237"/>
      <c r="Z6" s="500"/>
      <c r="AA6" s="500"/>
      <c r="AB6" s="500"/>
      <c r="AC6" s="491"/>
      <c r="AD6" s="491"/>
      <c r="AE6" s="491"/>
      <c r="AF6" s="491"/>
      <c r="AG6" s="491"/>
      <c r="AH6" s="491"/>
      <c r="AI6" s="491"/>
      <c r="AJ6" s="491"/>
      <c r="AK6" s="491"/>
      <c r="AL6" s="491"/>
      <c r="AM6" s="491"/>
      <c r="AN6" s="491"/>
      <c r="AO6" s="491"/>
      <c r="AP6" s="491"/>
      <c r="AQ6" s="491"/>
      <c r="AR6" s="491"/>
      <c r="AS6" s="491"/>
      <c r="AT6" s="491"/>
      <c r="AU6" s="491"/>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496" t="s">
        <v>427</v>
      </c>
      <c r="B7" s="497"/>
      <c r="C7" s="462" t="s">
        <v>748</v>
      </c>
      <c r="D7" s="463"/>
      <c r="E7" s="463"/>
      <c r="F7" s="463"/>
      <c r="G7" s="463"/>
      <c r="H7" s="463"/>
      <c r="I7" s="463"/>
      <c r="J7" s="463"/>
      <c r="K7" s="463"/>
      <c r="L7" s="463"/>
      <c r="M7" s="463"/>
      <c r="N7" s="463"/>
      <c r="O7" s="463"/>
      <c r="P7" s="463"/>
      <c r="Q7" s="463"/>
      <c r="R7" s="463"/>
      <c r="S7" s="463"/>
      <c r="T7" s="464"/>
      <c r="U7" s="238"/>
      <c r="V7" s="238"/>
      <c r="W7" s="238"/>
      <c r="X7" s="238"/>
      <c r="Y7" s="238"/>
      <c r="Z7" s="239"/>
      <c r="AA7" s="239"/>
      <c r="AB7" s="239"/>
      <c r="AC7" s="491"/>
      <c r="AD7" s="491"/>
      <c r="AE7" s="491"/>
      <c r="AF7" s="491"/>
      <c r="AG7" s="491"/>
      <c r="AH7" s="491"/>
      <c r="AI7" s="491"/>
      <c r="AJ7" s="491"/>
      <c r="AK7" s="491"/>
      <c r="AL7" s="491"/>
      <c r="AM7" s="491"/>
      <c r="AN7" s="491"/>
      <c r="AO7" s="491"/>
      <c r="AP7" s="491"/>
      <c r="AQ7" s="491"/>
      <c r="AR7" s="491"/>
      <c r="AS7" s="491"/>
      <c r="AT7" s="491"/>
      <c r="AU7" s="491"/>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27" customHeight="1" thickBot="1" x14ac:dyDescent="0.3">
      <c r="A8" s="498" t="s">
        <v>428</v>
      </c>
      <c r="B8" s="499"/>
      <c r="C8" s="462" t="s">
        <v>749</v>
      </c>
      <c r="D8" s="463"/>
      <c r="E8" s="463"/>
      <c r="F8" s="463"/>
      <c r="G8" s="463"/>
      <c r="H8" s="463"/>
      <c r="I8" s="463"/>
      <c r="J8" s="463"/>
      <c r="K8" s="463"/>
      <c r="L8" s="463"/>
      <c r="M8" s="463"/>
      <c r="N8" s="463"/>
      <c r="O8" s="463"/>
      <c r="P8" s="463"/>
      <c r="Q8" s="463"/>
      <c r="R8" s="463"/>
      <c r="S8" s="463"/>
      <c r="T8" s="464"/>
      <c r="U8" s="238"/>
      <c r="V8" s="238"/>
      <c r="W8" s="238"/>
      <c r="X8" s="238"/>
      <c r="Y8" s="238"/>
      <c r="Z8" s="239"/>
      <c r="AA8" s="239"/>
      <c r="AB8" s="239"/>
      <c r="AC8" s="491"/>
      <c r="AD8" s="491"/>
      <c r="AE8" s="491"/>
      <c r="AF8" s="491"/>
      <c r="AG8" s="491"/>
      <c r="AH8" s="491"/>
      <c r="AI8" s="491"/>
      <c r="AJ8" s="491"/>
      <c r="AK8" s="491"/>
      <c r="AL8" s="491"/>
      <c r="AM8" s="491"/>
      <c r="AN8" s="491"/>
      <c r="AO8" s="491"/>
      <c r="AP8" s="491"/>
      <c r="AQ8" s="491"/>
      <c r="AR8" s="491"/>
      <c r="AS8" s="491"/>
      <c r="AT8" s="491"/>
      <c r="AU8" s="491"/>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27.75" customHeight="1" x14ac:dyDescent="0.2">
      <c r="A10" s="697" t="s">
        <v>429</v>
      </c>
      <c r="B10" s="698"/>
      <c r="C10" s="698"/>
      <c r="D10" s="698"/>
      <c r="E10" s="698"/>
      <c r="F10" s="698"/>
      <c r="G10" s="699"/>
      <c r="H10" s="534" t="s">
        <v>430</v>
      </c>
      <c r="I10" s="535"/>
      <c r="J10" s="535"/>
      <c r="K10" s="536"/>
      <c r="L10" s="700" t="s">
        <v>431</v>
      </c>
      <c r="M10" s="701"/>
      <c r="N10" s="534" t="s">
        <v>432</v>
      </c>
      <c r="O10" s="535"/>
      <c r="P10" s="535"/>
      <c r="Q10" s="535"/>
      <c r="R10" s="535"/>
      <c r="S10" s="535"/>
      <c r="T10" s="535"/>
      <c r="U10" s="535"/>
      <c r="V10" s="698" t="s">
        <v>433</v>
      </c>
      <c r="W10" s="698"/>
      <c r="X10" s="698"/>
      <c r="Y10" s="698"/>
      <c r="Z10" s="698"/>
      <c r="AA10" s="698"/>
      <c r="AB10" s="698"/>
      <c r="AC10" s="698"/>
      <c r="AD10" s="698"/>
      <c r="AE10" s="698"/>
      <c r="AF10" s="698"/>
      <c r="AG10" s="698"/>
      <c r="AH10" s="699"/>
      <c r="AI10" s="537" t="s">
        <v>434</v>
      </c>
      <c r="AJ10" s="538"/>
      <c r="AK10" s="538"/>
      <c r="AL10" s="538"/>
      <c r="AM10" s="539"/>
      <c r="AN10" s="697" t="s">
        <v>435</v>
      </c>
      <c r="AO10" s="698"/>
      <c r="AP10" s="698"/>
      <c r="AQ10" s="698"/>
      <c r="AR10" s="699"/>
      <c r="AS10" s="534" t="s">
        <v>436</v>
      </c>
      <c r="AT10" s="535"/>
      <c r="AU10" s="536"/>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customHeight="1" x14ac:dyDescent="0.2">
      <c r="A11" s="702" t="s">
        <v>437</v>
      </c>
      <c r="B11" s="703" t="s">
        <v>508</v>
      </c>
      <c r="C11" s="703" t="s">
        <v>509</v>
      </c>
      <c r="D11" s="705" t="s">
        <v>510</v>
      </c>
      <c r="E11" s="703" t="s">
        <v>441</v>
      </c>
      <c r="F11" s="703" t="s">
        <v>442</v>
      </c>
      <c r="G11" s="703" t="s">
        <v>23</v>
      </c>
      <c r="H11" s="528" t="s">
        <v>139</v>
      </c>
      <c r="I11" s="528" t="s">
        <v>443</v>
      </c>
      <c r="J11" s="528" t="s">
        <v>444</v>
      </c>
      <c r="K11" s="528" t="s">
        <v>445</v>
      </c>
      <c r="L11" s="700"/>
      <c r="M11" s="701"/>
      <c r="N11" s="531" t="s">
        <v>446</v>
      </c>
      <c r="O11" s="531" t="s">
        <v>447</v>
      </c>
      <c r="P11" s="707" t="s">
        <v>448</v>
      </c>
      <c r="Q11" s="531" t="s">
        <v>511</v>
      </c>
      <c r="R11" s="531" t="s">
        <v>450</v>
      </c>
      <c r="S11" s="531" t="s">
        <v>451</v>
      </c>
      <c r="T11" s="707" t="s">
        <v>448</v>
      </c>
      <c r="U11" s="531" t="s">
        <v>452</v>
      </c>
      <c r="V11" s="708" t="s">
        <v>453</v>
      </c>
      <c r="W11" s="255"/>
      <c r="X11" s="255"/>
      <c r="Y11" s="255"/>
      <c r="Z11" s="703" t="s">
        <v>31</v>
      </c>
      <c r="AA11" s="703" t="s">
        <v>33</v>
      </c>
      <c r="AB11" s="703" t="s">
        <v>454</v>
      </c>
      <c r="AC11" s="703"/>
      <c r="AD11" s="703"/>
      <c r="AE11" s="703"/>
      <c r="AF11" s="703"/>
      <c r="AG11" s="703"/>
      <c r="AH11" s="708" t="s">
        <v>455</v>
      </c>
      <c r="AI11" s="533" t="s">
        <v>456</v>
      </c>
      <c r="AJ11" s="533" t="s">
        <v>448</v>
      </c>
      <c r="AK11" s="533" t="s">
        <v>457</v>
      </c>
      <c r="AL11" s="533" t="s">
        <v>448</v>
      </c>
      <c r="AM11" s="533" t="s">
        <v>458</v>
      </c>
      <c r="AN11" s="708" t="s">
        <v>49</v>
      </c>
      <c r="AO11" s="703" t="s">
        <v>459</v>
      </c>
      <c r="AP11" s="703" t="s">
        <v>460</v>
      </c>
      <c r="AQ11" s="703" t="s">
        <v>461</v>
      </c>
      <c r="AR11" s="703" t="s">
        <v>462</v>
      </c>
      <c r="AS11" s="531" t="s">
        <v>463</v>
      </c>
      <c r="AT11" s="531" t="s">
        <v>464</v>
      </c>
      <c r="AU11" s="531" t="s">
        <v>467</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116.25" customHeight="1" x14ac:dyDescent="0.25">
      <c r="A12" s="702"/>
      <c r="B12" s="704"/>
      <c r="C12" s="703"/>
      <c r="D12" s="706"/>
      <c r="E12" s="703"/>
      <c r="F12" s="704"/>
      <c r="G12" s="703"/>
      <c r="H12" s="529"/>
      <c r="I12" s="529"/>
      <c r="J12" s="529"/>
      <c r="K12" s="529"/>
      <c r="L12" s="254" t="s">
        <v>465</v>
      </c>
      <c r="M12" s="254" t="s">
        <v>466</v>
      </c>
      <c r="N12" s="531"/>
      <c r="O12" s="531"/>
      <c r="P12" s="707"/>
      <c r="Q12" s="531"/>
      <c r="R12" s="531"/>
      <c r="S12" s="707"/>
      <c r="T12" s="707"/>
      <c r="U12" s="531"/>
      <c r="V12" s="708"/>
      <c r="W12" s="253" t="s">
        <v>467</v>
      </c>
      <c r="X12" s="253" t="s">
        <v>463</v>
      </c>
      <c r="Y12" s="253" t="s">
        <v>468</v>
      </c>
      <c r="Z12" s="703"/>
      <c r="AA12" s="703"/>
      <c r="AB12" s="252" t="s">
        <v>469</v>
      </c>
      <c r="AC12" s="252" t="s">
        <v>470</v>
      </c>
      <c r="AD12" s="252" t="s">
        <v>471</v>
      </c>
      <c r="AE12" s="252" t="s">
        <v>472</v>
      </c>
      <c r="AF12" s="252" t="s">
        <v>473</v>
      </c>
      <c r="AG12" s="252" t="s">
        <v>474</v>
      </c>
      <c r="AH12" s="708"/>
      <c r="AI12" s="533"/>
      <c r="AJ12" s="533"/>
      <c r="AK12" s="533"/>
      <c r="AL12" s="533"/>
      <c r="AM12" s="533"/>
      <c r="AN12" s="708"/>
      <c r="AO12" s="703"/>
      <c r="AP12" s="703"/>
      <c r="AQ12" s="703"/>
      <c r="AR12" s="703"/>
      <c r="AS12" s="531"/>
      <c r="AT12" s="531"/>
      <c r="AU12" s="531"/>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ht="255" x14ac:dyDescent="0.25">
      <c r="A13" s="523">
        <v>1</v>
      </c>
      <c r="B13" s="515" t="s">
        <v>116</v>
      </c>
      <c r="C13" s="717" t="s">
        <v>767</v>
      </c>
      <c r="D13" s="718" t="s">
        <v>770</v>
      </c>
      <c r="E13" s="515" t="s">
        <v>733</v>
      </c>
      <c r="F13" s="721" t="str">
        <f>+CONCATENATE(B13," ",C13," ",D13)</f>
        <v>Posibilidad de omitir la revisión o control de los servidores públicos que participan en el proceso de despacho y asignación de materias primas o producto terminado en favor de un privado o tercero, debido a deficiencias en el control  de la entrega de materias primas o producto terminado asociado a las ordenes de produccion y /o despachos gestionadas para nuestro clientes internos y externos.</v>
      </c>
      <c r="G13" s="709" t="s">
        <v>168</v>
      </c>
      <c r="H13" s="710" t="s">
        <v>145</v>
      </c>
      <c r="I13" s="710" t="s">
        <v>734</v>
      </c>
      <c r="J13" s="710" t="s">
        <v>735</v>
      </c>
      <c r="K13" s="710" t="s">
        <v>736</v>
      </c>
      <c r="L13" s="710" t="s">
        <v>146</v>
      </c>
      <c r="M13" s="710" t="s">
        <v>125</v>
      </c>
      <c r="N13" s="713">
        <v>300</v>
      </c>
      <c r="O13" s="714" t="str">
        <f>IF(N13&lt;=0,"",IF(N13&lt;=2,"Muy Baja",IF(N13&lt;=24,"Baja",IF(N13&lt;=500,"Media",IF(N13&lt;=5000,"Alta","Muy Alta")))))</f>
        <v>Media</v>
      </c>
      <c r="P13" s="715">
        <f>IF(O13="","",IF(O13="Muy Baja",0.2,IF(O13="Baja",0.4,IF(O13="Media",0.6,IF(O13="Alta",0.8,IF(O13="Muy Alta",1,))))))</f>
        <v>0.6</v>
      </c>
      <c r="Q13" s="716" t="s">
        <v>476</v>
      </c>
      <c r="R13" s="715" t="str">
        <f>IF(NOT(ISERROR(MATCH(Q13,'Tabla Impacto'!$B$245:$B$247,0))),'Tabla Impacto'!$F$224&amp;"Por favor no seleccionar los criterios de impacto(Afectación Económica o presupuestal y Pérdida Reputacional)",Q13)</f>
        <v xml:space="preserve">     El riesgo afecta la imagen de la entidad con algunos usuarios de relevancia frente al logro de los objetivos</v>
      </c>
      <c r="S13" s="714" t="str">
        <f>IF(OR(R13='Tabla Impacto'!$C$12,R13='Tabla Impacto'!$D$12),"Leve",IF(OR(R13='Tabla Impacto'!$C$13,R13='Tabla Impacto'!$D$13),"Menor",IF(OR(R13='Tabla Impacto'!$C$14,R13='Tabla Impacto'!$D$14),"Moderado",IF(OR(R13='Tabla Impacto'!$C$15,R13='Tabla Impacto'!$D$15),"Mayor",IF(OR(R13='Tabla Impacto'!$C$16,R13='Tabla Impacto'!$D$16),"Catastrófico","")))))</f>
        <v>Moderado</v>
      </c>
      <c r="T13" s="715">
        <f>IF(S13="","",IF(S13="Leve",0.2,IF(S13="Menor",0.4,IF(S13="Moderado",0.6,IF(S13="Mayor",0.8,IF(S13="Catastrófico",1,))))))</f>
        <v>0.6</v>
      </c>
      <c r="U13" s="722"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199">
        <v>1</v>
      </c>
      <c r="W13" s="244" t="s">
        <v>737</v>
      </c>
      <c r="X13" s="244" t="s">
        <v>135</v>
      </c>
      <c r="Y13" s="414" t="s">
        <v>769</v>
      </c>
      <c r="Z13" s="413" t="str">
        <f>+CONCATENATE(W13," ",X13," ",Y13)</f>
        <v>El profesional lider de produccion Revisa la exactitud en PRO-DI-001 donde se registran las ordenes de producción y los documentos soporte de materias primas por pedido a corte mensual. Registrando la trazabilidad en el acta de la mesa de trabajo con el Gerente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AA13" s="176" t="str">
        <f t="shared" ref="AA13:AA18" si="0">IF(OR(AB13="Preventivo",AB13="Detectivo"),"Probabilidad",IF(AB13="Correctivo","Impacto",""))</f>
        <v>Probabilidad</v>
      </c>
      <c r="AB13" s="177" t="s">
        <v>482</v>
      </c>
      <c r="AC13" s="177" t="s">
        <v>478</v>
      </c>
      <c r="AD13" s="178" t="str">
        <f>IF(AND(AB13="Preventivo",AC13="Automático"),"50%",IF(AND(AB13="Preventivo",AC13="Manual"),"40%",IF(AND(AB13="Detectivo",AC13="Automático"),"40%",IF(AND(AB13="Detectivo",AC13="Manual"),"30%",IF(AND(AB13="Correctivo",AC13="Automático"),"35%",IF(AND(AB13="Correctivo",AC13="Manual"),"25%",""))))))</f>
        <v>30%</v>
      </c>
      <c r="AE13" s="177" t="s">
        <v>479</v>
      </c>
      <c r="AF13" s="177" t="s">
        <v>483</v>
      </c>
      <c r="AG13" s="177" t="s">
        <v>484</v>
      </c>
      <c r="AH13" s="179">
        <f>IFERROR(IF(AA13="Probabilidad",(P13-(+P13*AD13)),IF(AA13="Impacto",P13,"")),"")</f>
        <v>0.42</v>
      </c>
      <c r="AI13" s="180" t="str">
        <f>IFERROR(IF(AH13="","",IF(AH13&lt;=0.2,"Muy Baja",IF(AH13&lt;=0.4,"Baja",IF(AH13&lt;=0.6,"Media",IF(AH13&lt;=0.8,"Alta","Muy Alta"))))),"")</f>
        <v>Media</v>
      </c>
      <c r="AJ13" s="178">
        <f>+AH13</f>
        <v>0.42</v>
      </c>
      <c r="AK13" s="180" t="str">
        <f>IFERROR(IF(AL13="","",IF(AL13&lt;=0.2,"Leve",IF(AL13&lt;=0.4,"Menor",IF(AL13&lt;=0.6,"Moderado",IF(AL13&lt;=0.8,"Mayor","Catastrófico"))))),"")</f>
        <v>Moderado</v>
      </c>
      <c r="AL13" s="178">
        <f>IFERROR(IF(AA13="Impacto",(T13-(+T13*AD13)),IF(AA13="Probabilidad",T13,"")),"")</f>
        <v>0.6</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Moderado</v>
      </c>
      <c r="AN13" s="182" t="s">
        <v>126</v>
      </c>
      <c r="AO13" s="175" t="s">
        <v>739</v>
      </c>
      <c r="AP13" s="175" t="s">
        <v>746</v>
      </c>
      <c r="AQ13" s="175" t="s">
        <v>747</v>
      </c>
      <c r="AR13" s="411">
        <v>45657</v>
      </c>
      <c r="AS13" s="515" t="s">
        <v>741</v>
      </c>
      <c r="AT13" s="515" t="s">
        <v>742</v>
      </c>
      <c r="AU13" s="515" t="s">
        <v>743</v>
      </c>
    </row>
    <row r="14" spans="1:275" ht="300" x14ac:dyDescent="0.2">
      <c r="A14" s="523"/>
      <c r="B14" s="515"/>
      <c r="C14" s="717"/>
      <c r="D14" s="719"/>
      <c r="E14" s="515"/>
      <c r="F14" s="721"/>
      <c r="G14" s="709"/>
      <c r="H14" s="711"/>
      <c r="I14" s="711"/>
      <c r="J14" s="711"/>
      <c r="K14" s="711"/>
      <c r="L14" s="711"/>
      <c r="M14" s="711"/>
      <c r="N14" s="713"/>
      <c r="O14" s="714"/>
      <c r="P14" s="715"/>
      <c r="Q14" s="716"/>
      <c r="R14" s="715">
        <f>IF(NOT(ISERROR(MATCH(Q14,_xlfn.ANCHORARRAY(#REF!),0))),#REF!&amp;"Por favor no seleccionar los criterios de impacto",Q14)</f>
        <v>0</v>
      </c>
      <c r="S14" s="714"/>
      <c r="T14" s="715"/>
      <c r="U14" s="722"/>
      <c r="V14" s="199">
        <v>2</v>
      </c>
      <c r="W14" s="244" t="s">
        <v>738</v>
      </c>
      <c r="X14" s="199" t="s">
        <v>120</v>
      </c>
      <c r="Y14" s="414" t="s">
        <v>768</v>
      </c>
      <c r="Z14" s="413" t="str">
        <f t="shared" ref="Z14:Z36" si="1">+CONCATENATE(W14," ",X14," ",Y14)</f>
        <v>El gerente de produccion Verifica mensualmente los avances de ejecución reportados en los informes de supervisión de los contratos de suministro de materias primas de la Gerencia de producción, registrando la trazabilidad en el acta del Comité de seguimiento contractual y presupuestal Proyectos Misionales de la Subdirección de producción
De encontrar diferencias el Gerente de producción solicita las verificaciones correspondientes respecto a los informes de supervisión de los contratos de materias primas y la corroboración de báscula de entrada, para identificar el faltante y escalar al área correspondiente para iniciar la investigación.</v>
      </c>
      <c r="AA14" s="176" t="str">
        <f t="shared" si="0"/>
        <v>Probabilidad</v>
      </c>
      <c r="AB14" s="177" t="s">
        <v>482</v>
      </c>
      <c r="AC14" s="177" t="s">
        <v>478</v>
      </c>
      <c r="AD14" s="178" t="str">
        <f t="shared" ref="AD14:AD18" si="2">IF(AND(AB14="Preventivo",AC14="Automático"),"50%",IF(AND(AB14="Preventivo",AC14="Manual"),"40%",IF(AND(AB14="Detectivo",AC14="Automático"),"40%",IF(AND(AB14="Detectivo",AC14="Manual"),"30%",IF(AND(AB14="Correctivo",AC14="Automático"),"35%",IF(AND(AB14="Correctivo",AC14="Manual"),"25%",""))))))</f>
        <v>30%</v>
      </c>
      <c r="AE14" s="177" t="s">
        <v>479</v>
      </c>
      <c r="AF14" s="177" t="s">
        <v>483</v>
      </c>
      <c r="AG14" s="177" t="s">
        <v>484</v>
      </c>
      <c r="AH14" s="179">
        <f>IFERROR(IF(AND(AA13="Probabilidad",AA14="Probabilidad"),(AJ13-(+AJ13*AD14)),IF(AA14="Probabilidad",(P13-(+P13*AD14)),IF(AA14="Impacto",AJ13,""))),"")</f>
        <v>0.29399999999999998</v>
      </c>
      <c r="AI14" s="180" t="str">
        <f t="shared" ref="AI14:AI36" si="3">IFERROR(IF(AH14="","",IF(AH14&lt;=0.2,"Muy Baja",IF(AH14&lt;=0.4,"Baja",IF(AH14&lt;=0.6,"Media",IF(AH14&lt;=0.8,"Alta","Muy Alta"))))),"")</f>
        <v>Baja</v>
      </c>
      <c r="AJ14" s="178">
        <f t="shared" ref="AJ14:AJ18" si="4">+AH14</f>
        <v>0.29399999999999998</v>
      </c>
      <c r="AK14" s="180" t="str">
        <f t="shared" ref="AK14:AK36" si="5">IFERROR(IF(AL14="","",IF(AL14&lt;=0.2,"Leve",IF(AL14&lt;=0.4,"Menor",IF(AL14&lt;=0.6,"Moderado",IF(AL14&lt;=0.8,"Mayor","Catastrófico"))))),"")</f>
        <v>Moderado</v>
      </c>
      <c r="AL14" s="178">
        <f>IFERROR(IF(AND(AA13="Impacto",AA14="Impacto"),(AL13-(+AL13*AD14)),IF(AA14="Impacto",($T$13-(+$T$13*AD14)),IF(AA14="Probabilidad",AL13,""))),"")</f>
        <v>0.6</v>
      </c>
      <c r="AM14" s="181"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Moderado</v>
      </c>
      <c r="AN14" s="182" t="s">
        <v>126</v>
      </c>
      <c r="AO14" s="175" t="s">
        <v>740</v>
      </c>
      <c r="AP14" s="175" t="s">
        <v>745</v>
      </c>
      <c r="AQ14" s="175" t="s">
        <v>744</v>
      </c>
      <c r="AR14" s="411">
        <v>45657</v>
      </c>
      <c r="AS14" s="515"/>
      <c r="AT14" s="515"/>
      <c r="AU14" s="515"/>
    </row>
    <row r="15" spans="1:275" s="377" customFormat="1" x14ac:dyDescent="0.2">
      <c r="A15" s="523"/>
      <c r="B15" s="515"/>
      <c r="C15" s="717"/>
      <c r="D15" s="719"/>
      <c r="E15" s="515"/>
      <c r="F15" s="721"/>
      <c r="G15" s="709"/>
      <c r="H15" s="711"/>
      <c r="I15" s="711"/>
      <c r="J15" s="711"/>
      <c r="K15" s="711"/>
      <c r="L15" s="711"/>
      <c r="M15" s="711"/>
      <c r="N15" s="713"/>
      <c r="O15" s="714"/>
      <c r="P15" s="715"/>
      <c r="Q15" s="716"/>
      <c r="R15" s="715">
        <f>IF(NOT(ISERROR(MATCH(Q15,_xlfn.ANCHORARRAY(#REF!),0))),#REF!&amp;"Por favor no seleccionar los criterios de impacto",Q15)</f>
        <v>0</v>
      </c>
      <c r="S15" s="714"/>
      <c r="T15" s="715"/>
      <c r="U15" s="722"/>
      <c r="V15" s="367">
        <v>3</v>
      </c>
      <c r="W15" s="368"/>
      <c r="X15" s="367"/>
      <c r="Y15" s="367"/>
      <c r="Z15" s="365" t="str">
        <f t="shared" si="1"/>
        <v xml:space="preserve">  </v>
      </c>
      <c r="AA15" s="369" t="str">
        <f t="shared" si="0"/>
        <v/>
      </c>
      <c r="AB15" s="370"/>
      <c r="AC15" s="370"/>
      <c r="AD15" s="371" t="str">
        <f t="shared" si="2"/>
        <v/>
      </c>
      <c r="AE15" s="370"/>
      <c r="AF15" s="370"/>
      <c r="AG15" s="370"/>
      <c r="AH15" s="372" t="str">
        <f>IFERROR(IF(AND(AA14="Probabilidad",AA15="Probabilidad"),(AJ14-(+AJ14*AD15)),IF(AND(AA14="Impacto",AA15="Probabilidad"),(AJ13-(+AJ13*AD15)),IF(AA15="Impacto",AJ14,""))),"")</f>
        <v/>
      </c>
      <c r="AI15" s="373" t="str">
        <f t="shared" si="3"/>
        <v/>
      </c>
      <c r="AJ15" s="371" t="str">
        <f t="shared" si="4"/>
        <v/>
      </c>
      <c r="AK15" s="373" t="str">
        <f t="shared" si="5"/>
        <v/>
      </c>
      <c r="AL15" s="371" t="str">
        <f>IFERROR(IF(AND(AA14="Impacto",AA15="Impacto"),(AL14-(+AL14*AD15)),IF(AND(AA14="Probabilidad",AA15="Impacto"),(AL13-(+AL13*AD15)),IF(AA15="Probabilidad",AL14,""))),"")</f>
        <v/>
      </c>
      <c r="AM15" s="374" t="str">
        <f t="shared" si="6"/>
        <v/>
      </c>
      <c r="AN15" s="375"/>
      <c r="AO15" s="364"/>
      <c r="AP15" s="366"/>
      <c r="AQ15" s="366"/>
      <c r="AR15" s="376"/>
      <c r="AS15" s="515"/>
      <c r="AT15" s="515"/>
      <c r="AU15" s="515"/>
    </row>
    <row r="16" spans="1:275" s="377" customFormat="1" x14ac:dyDescent="0.2">
      <c r="A16" s="523"/>
      <c r="B16" s="515"/>
      <c r="C16" s="717"/>
      <c r="D16" s="719"/>
      <c r="E16" s="515"/>
      <c r="F16" s="721"/>
      <c r="G16" s="709"/>
      <c r="H16" s="711"/>
      <c r="I16" s="711"/>
      <c r="J16" s="711"/>
      <c r="K16" s="711"/>
      <c r="L16" s="711"/>
      <c r="M16" s="711"/>
      <c r="N16" s="713"/>
      <c r="O16" s="714"/>
      <c r="P16" s="715"/>
      <c r="Q16" s="716"/>
      <c r="R16" s="715">
        <f>IF(NOT(ISERROR(MATCH(Q16,_xlfn.ANCHORARRAY(#REF!),0))),#REF!&amp;"Por favor no seleccionar los criterios de impacto",Q16)</f>
        <v>0</v>
      </c>
      <c r="S16" s="714"/>
      <c r="T16" s="715"/>
      <c r="U16" s="722"/>
      <c r="V16" s="367">
        <v>4</v>
      </c>
      <c r="W16" s="368"/>
      <c r="X16" s="367"/>
      <c r="Y16" s="367"/>
      <c r="Z16" s="365" t="str">
        <f t="shared" si="1"/>
        <v xml:space="preserve">  </v>
      </c>
      <c r="AA16" s="369" t="str">
        <f t="shared" si="0"/>
        <v/>
      </c>
      <c r="AB16" s="370"/>
      <c r="AC16" s="370"/>
      <c r="AD16" s="371" t="str">
        <f t="shared" si="2"/>
        <v/>
      </c>
      <c r="AE16" s="370"/>
      <c r="AF16" s="370"/>
      <c r="AG16" s="370"/>
      <c r="AH16" s="372" t="str">
        <f t="shared" ref="AH16:AH18" si="7">IFERROR(IF(AND(AA15="Probabilidad",AA16="Probabilidad"),(AJ15-(+AJ15*AD16)),IF(AND(AA15="Impacto",AA16="Probabilidad"),(AJ14-(+AJ14*AD16)),IF(AA16="Impacto",AJ15,""))),"")</f>
        <v/>
      </c>
      <c r="AI16" s="373" t="str">
        <f t="shared" si="3"/>
        <v/>
      </c>
      <c r="AJ16" s="371" t="str">
        <f t="shared" si="4"/>
        <v/>
      </c>
      <c r="AK16" s="373" t="str">
        <f t="shared" si="5"/>
        <v/>
      </c>
      <c r="AL16" s="371" t="str">
        <f t="shared" ref="AL16:AL18" si="8">IFERROR(IF(AND(AA15="Impacto",AA16="Impacto"),(AL15-(+AL15*AD16)),IF(AND(AA15="Probabilidad",AA16="Impacto"),(AL14-(+AL14*AD16)),IF(AA16="Probabilidad",AL15,""))),"")</f>
        <v/>
      </c>
      <c r="AM16" s="374"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375"/>
      <c r="AO16" s="364"/>
      <c r="AP16" s="366"/>
      <c r="AQ16" s="366"/>
      <c r="AR16" s="376"/>
      <c r="AS16" s="515"/>
      <c r="AT16" s="515"/>
      <c r="AU16" s="515"/>
    </row>
    <row r="17" spans="1:47" s="377" customFormat="1" x14ac:dyDescent="0.2">
      <c r="A17" s="523"/>
      <c r="B17" s="515"/>
      <c r="C17" s="717"/>
      <c r="D17" s="719"/>
      <c r="E17" s="515"/>
      <c r="F17" s="721"/>
      <c r="G17" s="709"/>
      <c r="H17" s="711"/>
      <c r="I17" s="711"/>
      <c r="J17" s="711"/>
      <c r="K17" s="711"/>
      <c r="L17" s="711"/>
      <c r="M17" s="711"/>
      <c r="N17" s="713"/>
      <c r="O17" s="714"/>
      <c r="P17" s="715"/>
      <c r="Q17" s="716"/>
      <c r="R17" s="715">
        <f>IF(NOT(ISERROR(MATCH(Q17,_xlfn.ANCHORARRAY(#REF!),0))),#REF!&amp;"Por favor no seleccionar los criterios de impacto",Q17)</f>
        <v>0</v>
      </c>
      <c r="S17" s="714"/>
      <c r="T17" s="715"/>
      <c r="U17" s="722"/>
      <c r="V17" s="367">
        <v>5</v>
      </c>
      <c r="W17" s="368"/>
      <c r="X17" s="367"/>
      <c r="Y17" s="367"/>
      <c r="Z17" s="365" t="str">
        <f t="shared" si="1"/>
        <v xml:space="preserve">  </v>
      </c>
      <c r="AA17" s="369" t="str">
        <f t="shared" si="0"/>
        <v/>
      </c>
      <c r="AB17" s="370"/>
      <c r="AC17" s="370"/>
      <c r="AD17" s="371" t="str">
        <f t="shared" si="2"/>
        <v/>
      </c>
      <c r="AE17" s="370"/>
      <c r="AF17" s="370"/>
      <c r="AG17" s="370"/>
      <c r="AH17" s="372" t="str">
        <f t="shared" si="7"/>
        <v/>
      </c>
      <c r="AI17" s="373" t="str">
        <f t="shared" si="3"/>
        <v/>
      </c>
      <c r="AJ17" s="371" t="str">
        <f t="shared" si="4"/>
        <v/>
      </c>
      <c r="AK17" s="373" t="str">
        <f t="shared" si="5"/>
        <v/>
      </c>
      <c r="AL17" s="371" t="str">
        <f t="shared" si="8"/>
        <v/>
      </c>
      <c r="AM17" s="374" t="str">
        <f t="shared" si="6"/>
        <v/>
      </c>
      <c r="AN17" s="375"/>
      <c r="AO17" s="364"/>
      <c r="AP17" s="366"/>
      <c r="AQ17" s="366"/>
      <c r="AR17" s="376"/>
      <c r="AS17" s="515"/>
      <c r="AT17" s="515"/>
      <c r="AU17" s="515"/>
    </row>
    <row r="18" spans="1:47" s="377" customFormat="1" x14ac:dyDescent="0.2">
      <c r="A18" s="523"/>
      <c r="B18" s="515"/>
      <c r="C18" s="717"/>
      <c r="D18" s="720"/>
      <c r="E18" s="515"/>
      <c r="F18" s="721"/>
      <c r="G18" s="709"/>
      <c r="H18" s="712"/>
      <c r="I18" s="712"/>
      <c r="J18" s="712"/>
      <c r="K18" s="712"/>
      <c r="L18" s="712"/>
      <c r="M18" s="712"/>
      <c r="N18" s="713"/>
      <c r="O18" s="714"/>
      <c r="P18" s="715"/>
      <c r="Q18" s="716"/>
      <c r="R18" s="715">
        <f>IF(NOT(ISERROR(MATCH(Q18,_xlfn.ANCHORARRAY(#REF!),0))),#REF!&amp;"Por favor no seleccionar los criterios de impacto",Q18)</f>
        <v>0</v>
      </c>
      <c r="S18" s="714"/>
      <c r="T18" s="715"/>
      <c r="U18" s="722"/>
      <c r="V18" s="367">
        <v>6</v>
      </c>
      <c r="W18" s="368"/>
      <c r="X18" s="367"/>
      <c r="Y18" s="367"/>
      <c r="Z18" s="365" t="str">
        <f t="shared" si="1"/>
        <v xml:space="preserve">  </v>
      </c>
      <c r="AA18" s="369" t="str">
        <f t="shared" si="0"/>
        <v/>
      </c>
      <c r="AB18" s="370"/>
      <c r="AC18" s="370"/>
      <c r="AD18" s="371" t="str">
        <f t="shared" si="2"/>
        <v/>
      </c>
      <c r="AE18" s="370"/>
      <c r="AF18" s="370"/>
      <c r="AG18" s="370"/>
      <c r="AH18" s="372" t="str">
        <f t="shared" si="7"/>
        <v/>
      </c>
      <c r="AI18" s="373" t="str">
        <f t="shared" si="3"/>
        <v/>
      </c>
      <c r="AJ18" s="371" t="str">
        <f t="shared" si="4"/>
        <v/>
      </c>
      <c r="AK18" s="373" t="str">
        <f t="shared" si="5"/>
        <v/>
      </c>
      <c r="AL18" s="371" t="str">
        <f t="shared" si="8"/>
        <v/>
      </c>
      <c r="AM18" s="374" t="str">
        <f t="shared" si="6"/>
        <v/>
      </c>
      <c r="AN18" s="375"/>
      <c r="AO18" s="364"/>
      <c r="AP18" s="366"/>
      <c r="AQ18" s="366"/>
      <c r="AR18" s="376"/>
      <c r="AS18" s="515"/>
      <c r="AT18" s="515"/>
      <c r="AU18" s="515"/>
    </row>
    <row r="19" spans="1:47" x14ac:dyDescent="0.2">
      <c r="A19" s="523">
        <v>2</v>
      </c>
      <c r="B19" s="515"/>
      <c r="C19" s="515"/>
      <c r="D19" s="718"/>
      <c r="E19" s="515"/>
      <c r="F19" s="520" t="str">
        <f t="shared" ref="F19" si="9">+CONCATENATE(B19," ",C19)</f>
        <v xml:space="preserve"> </v>
      </c>
      <c r="G19" s="515"/>
      <c r="H19" s="516"/>
      <c r="I19" s="516"/>
      <c r="J19" s="516"/>
      <c r="K19" s="516"/>
      <c r="L19" s="516"/>
      <c r="M19" s="516"/>
      <c r="N19" s="519"/>
      <c r="O19" s="514" t="str">
        <f>IF(N19&lt;=0,"",IF(N19&lt;=2,"Muy Baja",IF(N19&lt;=24,"Baja",IF(N19&lt;=500,"Media",IF(N19&lt;=5000,"Alta","Muy Alta")))))</f>
        <v/>
      </c>
      <c r="P19" s="512" t="str">
        <f>IF(O19="","",IF(O19="Muy Baja",0.2,IF(O19="Baja",0.4,IF(O19="Media",0.6,IF(O19="Alta",0.8,IF(O19="Muy Alta",1,))))))</f>
        <v/>
      </c>
      <c r="Q19" s="513"/>
      <c r="R19" s="512">
        <f>IF(NOT(ISERROR(MATCH(Q19,'Tabla Impacto'!$B$245:$B$247,0))),'Tabla Impacto'!$F$224&amp;"Por favor no seleccionar los criterios de impacto(Afectación Económica o presupuestal y Pérdida Reputacional)",Q19)</f>
        <v>0</v>
      </c>
      <c r="S19" s="514" t="str">
        <f>IF(OR(R19='Tabla Impacto'!$C$12,R19='Tabla Impacto'!$D$12),"Leve",IF(OR(R19='Tabla Impacto'!$C$13,R19='Tabla Impacto'!$D$13),"Menor",IF(OR(R19='Tabla Impacto'!$C$14,R19='Tabla Impacto'!$D$14),"Moderado",IF(OR(R19='Tabla Impacto'!$C$15,R19='Tabla Impacto'!$D$15),"Mayor",IF(OR(R19='Tabla Impacto'!$C$16,R19='Tabla Impacto'!$D$16),"Catastrófico","")))))</f>
        <v/>
      </c>
      <c r="T19" s="512" t="str">
        <f>IF(S19="","",IF(S19="Leve",0.2,IF(S19="Menor",0.4,IF(S19="Moderado",0.6,IF(S19="Mayor",0.8,IF(S19="Catastrófico",1,))))))</f>
        <v/>
      </c>
      <c r="U19" s="511"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199">
        <v>1</v>
      </c>
      <c r="W19" s="199"/>
      <c r="X19" s="199"/>
      <c r="Y19" s="199"/>
      <c r="Z19" s="224" t="str">
        <f t="shared" si="1"/>
        <v xml:space="preserve">  </v>
      </c>
      <c r="AA19" s="176" t="str">
        <f>IF(OR(AB19="Preventivo",AB19="Detectivo"),"Probabilidad",IF(AB19="Correctivo","Impacto",""))</f>
        <v/>
      </c>
      <c r="AB19" s="177"/>
      <c r="AC19" s="177"/>
      <c r="AD19" s="178" t="str">
        <f>IF(AND(AB19="Preventivo",AC19="Automático"),"50%",IF(AND(AB19="Preventivo",AC19="Manual"),"40%",IF(AND(AB19="Detectivo",AC19="Automático"),"40%",IF(AND(AB19="Detectivo",AC19="Manual"),"30%",IF(AND(AB19="Correctivo",AC19="Automático"),"35%",IF(AND(AB19="Correctivo",AC19="Manual"),"25%",""))))))</f>
        <v/>
      </c>
      <c r="AE19" s="177"/>
      <c r="AF19" s="177"/>
      <c r="AG19" s="177"/>
      <c r="AH19" s="179" t="str">
        <f>IFERROR(IF(AA19="Probabilidad",(P19-(+P19*AD19)),IF(AA19="Impacto",P19,"")),"")</f>
        <v/>
      </c>
      <c r="AI19" s="180" t="str">
        <f>IFERROR(IF(AH19="","",IF(AH19&lt;=0.2,"Muy Baja",IF(AH19&lt;=0.4,"Baja",IF(AH19&lt;=0.6,"Media",IF(AH19&lt;=0.8,"Alta","Muy Alta"))))),"")</f>
        <v/>
      </c>
      <c r="AJ19" s="178" t="str">
        <f>+AH19</f>
        <v/>
      </c>
      <c r="AK19" s="180" t="str">
        <f>IFERROR(IF(AL19="","",IF(AL19&lt;=0.2,"Leve",IF(AL19&lt;=0.4,"Menor",IF(AL19&lt;=0.6,"Moderado",IF(AL19&lt;=0.8,"Mayor","Catastrófico"))))),"")</f>
        <v/>
      </c>
      <c r="AL19" s="178" t="str">
        <f t="shared" ref="AL19" si="10">IFERROR(IF(AA19="Impacto",(T19-(+T19*AD19)),IF(AA19="Probabilidad",T19,"")),"")</f>
        <v/>
      </c>
      <c r="AM19" s="181"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82"/>
      <c r="AO19" s="175"/>
      <c r="AP19" s="183"/>
      <c r="AQ19" s="183"/>
      <c r="AR19" s="184"/>
      <c r="AS19" s="519"/>
      <c r="AT19" s="519"/>
      <c r="AU19" s="519"/>
    </row>
    <row r="20" spans="1:47" x14ac:dyDescent="0.2">
      <c r="A20" s="523"/>
      <c r="B20" s="515"/>
      <c r="C20" s="515"/>
      <c r="D20" s="719"/>
      <c r="E20" s="515"/>
      <c r="F20" s="520"/>
      <c r="G20" s="515"/>
      <c r="H20" s="517"/>
      <c r="I20" s="517"/>
      <c r="J20" s="517"/>
      <c r="K20" s="517"/>
      <c r="L20" s="517"/>
      <c r="M20" s="517"/>
      <c r="N20" s="519"/>
      <c r="O20" s="514"/>
      <c r="P20" s="512"/>
      <c r="Q20" s="513"/>
      <c r="R20" s="512">
        <f>IF(NOT(ISERROR(MATCH(Q20,_xlfn.ANCHORARRAY(F31),0))),P33&amp;"Por favor no seleccionar los criterios de impacto",Q20)</f>
        <v>0</v>
      </c>
      <c r="S20" s="514"/>
      <c r="T20" s="512"/>
      <c r="U20" s="511"/>
      <c r="V20" s="199">
        <v>2</v>
      </c>
      <c r="W20" s="199"/>
      <c r="X20" s="199"/>
      <c r="Y20" s="199"/>
      <c r="Z20" s="224" t="str">
        <f t="shared" si="1"/>
        <v xml:space="preserve">  </v>
      </c>
      <c r="AA20" s="176" t="str">
        <f>IF(OR(AB20="Preventivo",AB20="Detectivo"),"Probabilidad",IF(AB20="Correctivo","Impacto",""))</f>
        <v/>
      </c>
      <c r="AB20" s="177"/>
      <c r="AC20" s="177"/>
      <c r="AD20" s="178" t="str">
        <f t="shared" ref="AD20:AD24" si="11">IF(AND(AB20="Preventivo",AC20="Automático"),"50%",IF(AND(AB20="Preventivo",AC20="Manual"),"40%",IF(AND(AB20="Detectivo",AC20="Automático"),"40%",IF(AND(AB20="Detectivo",AC20="Manual"),"30%",IF(AND(AB20="Correctivo",AC20="Automático"),"35%",IF(AND(AB20="Correctivo",AC20="Manual"),"25%",""))))))</f>
        <v/>
      </c>
      <c r="AE20" s="177"/>
      <c r="AF20" s="177"/>
      <c r="AG20" s="177"/>
      <c r="AH20" s="179" t="str">
        <f>IFERROR(IF(AND(AA19="Probabilidad",AA20="Probabilidad"),(AJ19-(+AJ19*AD20)),IF(AA20="Probabilidad",(P19-(+P19*AD20)),IF(AA20="Impacto",AJ19,""))),"")</f>
        <v/>
      </c>
      <c r="AI20" s="180" t="str">
        <f t="shared" si="3"/>
        <v/>
      </c>
      <c r="AJ20" s="178" t="str">
        <f t="shared" ref="AJ20:AJ24" si="12">+AH20</f>
        <v/>
      </c>
      <c r="AK20" s="180" t="str">
        <f t="shared" si="5"/>
        <v/>
      </c>
      <c r="AL20" s="178" t="str">
        <f t="shared" ref="AL20" si="13">IFERROR(IF(AND(AA19="Impacto",AA20="Impacto"),(AL19-(+AL19*AD20)),IF(AA20="Impacto",($T$13-(+$T$13*AD20)),IF(AA20="Probabilidad",AL19,""))),"")</f>
        <v/>
      </c>
      <c r="AM20" s="181" t="str">
        <f t="shared" ref="AM20:AM21" si="14">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82"/>
      <c r="AO20" s="175"/>
      <c r="AP20" s="183"/>
      <c r="AQ20" s="183"/>
      <c r="AR20" s="184"/>
      <c r="AS20" s="519"/>
      <c r="AT20" s="519"/>
      <c r="AU20" s="519"/>
    </row>
    <row r="21" spans="1:47" x14ac:dyDescent="0.2">
      <c r="A21" s="523"/>
      <c r="B21" s="515"/>
      <c r="C21" s="515"/>
      <c r="D21" s="719"/>
      <c r="E21" s="515"/>
      <c r="F21" s="520"/>
      <c r="G21" s="515"/>
      <c r="H21" s="517"/>
      <c r="I21" s="517"/>
      <c r="J21" s="517"/>
      <c r="K21" s="517"/>
      <c r="L21" s="517"/>
      <c r="M21" s="517"/>
      <c r="N21" s="519"/>
      <c r="O21" s="514"/>
      <c r="P21" s="512"/>
      <c r="Q21" s="513"/>
      <c r="R21" s="512">
        <f>IF(NOT(ISERROR(MATCH(Q21,_xlfn.ANCHORARRAY(F32),0))),P34&amp;"Por favor no seleccionar los criterios de impacto",Q21)</f>
        <v>0</v>
      </c>
      <c r="S21" s="514"/>
      <c r="T21" s="512"/>
      <c r="U21" s="511"/>
      <c r="V21" s="199">
        <v>3</v>
      </c>
      <c r="W21" s="199"/>
      <c r="X21" s="199"/>
      <c r="Y21" s="199"/>
      <c r="Z21" s="224" t="str">
        <f t="shared" si="1"/>
        <v xml:space="preserve">  </v>
      </c>
      <c r="AA21" s="176" t="str">
        <f>IF(OR(AB21="Preventivo",AB21="Detectivo"),"Probabilidad",IF(AB21="Correctivo","Impacto",""))</f>
        <v/>
      </c>
      <c r="AB21" s="177"/>
      <c r="AC21" s="177"/>
      <c r="AD21" s="178" t="str">
        <f t="shared" si="11"/>
        <v/>
      </c>
      <c r="AE21" s="177"/>
      <c r="AF21" s="177"/>
      <c r="AG21" s="177"/>
      <c r="AH21" s="179" t="str">
        <f>IFERROR(IF(AND(AA20="Probabilidad",AA21="Probabilidad"),(AJ20-(+AJ20*AD21)),IF(AND(AA20="Impacto",AA21="Probabilidad"),(AJ19-(+AJ19*AD21)),IF(AA21="Impacto",AJ20,""))),"")</f>
        <v/>
      </c>
      <c r="AI21" s="180" t="str">
        <f t="shared" si="3"/>
        <v/>
      </c>
      <c r="AJ21" s="178" t="str">
        <f t="shared" si="12"/>
        <v/>
      </c>
      <c r="AK21" s="180" t="str">
        <f t="shared" si="5"/>
        <v/>
      </c>
      <c r="AL21" s="178" t="str">
        <f t="shared" ref="AL21" si="15">IFERROR(IF(AND(AA20="Impacto",AA21="Impacto"),(AL20-(+AL20*AD21)),IF(AND(AA20="Probabilidad",AA21="Impacto"),(AL19-(+AL19*AD21)),IF(AA21="Probabilidad",AL20,""))),"")</f>
        <v/>
      </c>
      <c r="AM21" s="181" t="str">
        <f t="shared" si="14"/>
        <v/>
      </c>
      <c r="AN21" s="182"/>
      <c r="AO21" s="175"/>
      <c r="AP21" s="183"/>
      <c r="AQ21" s="183"/>
      <c r="AR21" s="184"/>
      <c r="AS21" s="519"/>
      <c r="AT21" s="519"/>
      <c r="AU21" s="519"/>
    </row>
    <row r="22" spans="1:47" x14ac:dyDescent="0.2">
      <c r="A22" s="523"/>
      <c r="B22" s="515"/>
      <c r="C22" s="515"/>
      <c r="D22" s="719"/>
      <c r="E22" s="515"/>
      <c r="F22" s="520"/>
      <c r="G22" s="515"/>
      <c r="H22" s="517"/>
      <c r="I22" s="517"/>
      <c r="J22" s="517"/>
      <c r="K22" s="517"/>
      <c r="L22" s="517"/>
      <c r="M22" s="517"/>
      <c r="N22" s="519"/>
      <c r="O22" s="514"/>
      <c r="P22" s="512"/>
      <c r="Q22" s="513"/>
      <c r="R22" s="512">
        <f>IF(NOT(ISERROR(MATCH(Q22,_xlfn.ANCHORARRAY(F33),0))),P35&amp;"Por favor no seleccionar los criterios de impacto",Q22)</f>
        <v>0</v>
      </c>
      <c r="S22" s="514"/>
      <c r="T22" s="512"/>
      <c r="U22" s="511"/>
      <c r="V22" s="199">
        <v>4</v>
      </c>
      <c r="W22" s="199"/>
      <c r="X22" s="199"/>
      <c r="Y22" s="199"/>
      <c r="Z22" s="224" t="str">
        <f t="shared" si="1"/>
        <v xml:space="preserve">  </v>
      </c>
      <c r="AA22" s="176" t="str">
        <f t="shared" ref="AA22:AA24" si="16">IF(OR(AB22="Preventivo",AB22="Detectivo"),"Probabilidad",IF(AB22="Correctivo","Impacto",""))</f>
        <v/>
      </c>
      <c r="AB22" s="177"/>
      <c r="AC22" s="177"/>
      <c r="AD22" s="178" t="str">
        <f t="shared" si="11"/>
        <v/>
      </c>
      <c r="AE22" s="177"/>
      <c r="AF22" s="177"/>
      <c r="AG22" s="177"/>
      <c r="AH22" s="179" t="str">
        <f t="shared" ref="AH22:AH24" si="17">IFERROR(IF(AND(AA21="Probabilidad",AA22="Probabilidad"),(AJ21-(+AJ21*AD22)),IF(AND(AA21="Impacto",AA22="Probabilidad"),(AJ20-(+AJ20*AD22)),IF(AA22="Impacto",AJ21,""))),"")</f>
        <v/>
      </c>
      <c r="AI22" s="180" t="str">
        <f t="shared" si="3"/>
        <v/>
      </c>
      <c r="AJ22" s="178" t="str">
        <f t="shared" si="12"/>
        <v/>
      </c>
      <c r="AK22" s="180" t="str">
        <f t="shared" si="5"/>
        <v/>
      </c>
      <c r="AL22" s="178" t="str">
        <f t="shared" ref="AL22:AL36" si="18">IFERROR(IF(AND(AA21="Impacto",AA22="Impacto"),(AL21-(+AL21*AD22)),IF(AND(AA21="Probabilidad",AA22="Impacto"),(AL20-(+AL20*AD22)),IF(AA22="Probabilidad",AL21,""))),"")</f>
        <v/>
      </c>
      <c r="AM22" s="181"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82"/>
      <c r="AO22" s="175"/>
      <c r="AP22" s="183"/>
      <c r="AQ22" s="183"/>
      <c r="AR22" s="184"/>
      <c r="AS22" s="519"/>
      <c r="AT22" s="519"/>
      <c r="AU22" s="519"/>
    </row>
    <row r="23" spans="1:47" x14ac:dyDescent="0.2">
      <c r="A23" s="523"/>
      <c r="B23" s="515"/>
      <c r="C23" s="515"/>
      <c r="D23" s="719"/>
      <c r="E23" s="515"/>
      <c r="F23" s="520"/>
      <c r="G23" s="515"/>
      <c r="H23" s="517"/>
      <c r="I23" s="517"/>
      <c r="J23" s="517"/>
      <c r="K23" s="517"/>
      <c r="L23" s="517"/>
      <c r="M23" s="517"/>
      <c r="N23" s="519"/>
      <c r="O23" s="514"/>
      <c r="P23" s="512"/>
      <c r="Q23" s="513"/>
      <c r="R23" s="512">
        <f>IF(NOT(ISERROR(MATCH(Q23,_xlfn.ANCHORARRAY(F34),0))),P36&amp;"Por favor no seleccionar los criterios de impacto",Q23)</f>
        <v>0</v>
      </c>
      <c r="S23" s="514"/>
      <c r="T23" s="512"/>
      <c r="U23" s="511"/>
      <c r="V23" s="199">
        <v>5</v>
      </c>
      <c r="W23" s="199"/>
      <c r="X23" s="199"/>
      <c r="Y23" s="199"/>
      <c r="Z23" s="224" t="str">
        <f t="shared" si="1"/>
        <v xml:space="preserve">  </v>
      </c>
      <c r="AA23" s="176" t="str">
        <f t="shared" si="16"/>
        <v/>
      </c>
      <c r="AB23" s="177"/>
      <c r="AC23" s="177"/>
      <c r="AD23" s="178" t="str">
        <f t="shared" si="11"/>
        <v/>
      </c>
      <c r="AE23" s="177"/>
      <c r="AF23" s="177"/>
      <c r="AG23" s="177"/>
      <c r="AH23" s="179" t="str">
        <f t="shared" si="17"/>
        <v/>
      </c>
      <c r="AI23" s="180" t="str">
        <f t="shared" si="3"/>
        <v/>
      </c>
      <c r="AJ23" s="178" t="str">
        <f t="shared" si="12"/>
        <v/>
      </c>
      <c r="AK23" s="180" t="str">
        <f t="shared" si="5"/>
        <v/>
      </c>
      <c r="AL23" s="178" t="str">
        <f t="shared" si="18"/>
        <v/>
      </c>
      <c r="AM23" s="181" t="str">
        <f t="shared" ref="AM23:AM24" si="19">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82"/>
      <c r="AO23" s="175"/>
      <c r="AP23" s="183"/>
      <c r="AQ23" s="183"/>
      <c r="AR23" s="184"/>
      <c r="AS23" s="519"/>
      <c r="AT23" s="519"/>
      <c r="AU23" s="519"/>
    </row>
    <row r="24" spans="1:47" x14ac:dyDescent="0.2">
      <c r="A24" s="523"/>
      <c r="B24" s="515"/>
      <c r="C24" s="515"/>
      <c r="D24" s="720"/>
      <c r="E24" s="515"/>
      <c r="F24" s="520"/>
      <c r="G24" s="515"/>
      <c r="H24" s="518"/>
      <c r="I24" s="518"/>
      <c r="J24" s="518"/>
      <c r="K24" s="518"/>
      <c r="L24" s="518"/>
      <c r="M24" s="518"/>
      <c r="N24" s="519"/>
      <c r="O24" s="514"/>
      <c r="P24" s="512"/>
      <c r="Q24" s="513"/>
      <c r="R24" s="512">
        <f>IF(NOT(ISERROR(MATCH(Q24,_xlfn.ANCHORARRAY(F35),0))),Q37&amp;"Por favor no seleccionar los criterios de impacto",Q24)</f>
        <v>0</v>
      </c>
      <c r="S24" s="514"/>
      <c r="T24" s="512"/>
      <c r="U24" s="511"/>
      <c r="V24" s="199">
        <v>6</v>
      </c>
      <c r="W24" s="199"/>
      <c r="X24" s="199"/>
      <c r="Y24" s="199"/>
      <c r="Z24" s="224" t="str">
        <f t="shared" si="1"/>
        <v xml:space="preserve">  </v>
      </c>
      <c r="AA24" s="176" t="str">
        <f t="shared" si="16"/>
        <v/>
      </c>
      <c r="AB24" s="177"/>
      <c r="AC24" s="177"/>
      <c r="AD24" s="178" t="str">
        <f t="shared" si="11"/>
        <v/>
      </c>
      <c r="AE24" s="177"/>
      <c r="AF24" s="177"/>
      <c r="AG24" s="177"/>
      <c r="AH24" s="179" t="str">
        <f t="shared" si="17"/>
        <v/>
      </c>
      <c r="AI24" s="180" t="str">
        <f t="shared" si="3"/>
        <v/>
      </c>
      <c r="AJ24" s="178" t="str">
        <f t="shared" si="12"/>
        <v/>
      </c>
      <c r="AK24" s="180" t="str">
        <f t="shared" si="5"/>
        <v/>
      </c>
      <c r="AL24" s="178" t="str">
        <f t="shared" si="18"/>
        <v/>
      </c>
      <c r="AM24" s="181" t="str">
        <f t="shared" si="19"/>
        <v/>
      </c>
      <c r="AN24" s="182"/>
      <c r="AO24" s="175"/>
      <c r="AP24" s="183"/>
      <c r="AQ24" s="183"/>
      <c r="AR24" s="184"/>
      <c r="AS24" s="519"/>
      <c r="AT24" s="519"/>
      <c r="AU24" s="519"/>
    </row>
    <row r="25" spans="1:47" x14ac:dyDescent="0.2">
      <c r="A25" s="523">
        <v>3</v>
      </c>
      <c r="B25" s="515"/>
      <c r="C25" s="515"/>
      <c r="D25" s="718"/>
      <c r="E25" s="515"/>
      <c r="F25" s="520" t="str">
        <f t="shared" ref="F25" si="20">+CONCATENATE(B25," ",C25)</f>
        <v xml:space="preserve"> </v>
      </c>
      <c r="G25" s="515"/>
      <c r="H25" s="516"/>
      <c r="I25" s="206"/>
      <c r="J25" s="206"/>
      <c r="K25" s="206"/>
      <c r="L25" s="516"/>
      <c r="M25" s="516"/>
      <c r="N25" s="519"/>
      <c r="O25" s="514" t="str">
        <f>IF(N25&lt;=0,"",IF(N25&lt;=2,"Muy Baja",IF(N25&lt;=24,"Baja",IF(N25&lt;=500,"Media",IF(N25&lt;=5000,"Alta","Muy Alta")))))</f>
        <v/>
      </c>
      <c r="P25" s="512" t="str">
        <f>IF(O25="","",IF(O25="Muy Baja",0.2,IF(O25="Baja",0.4,IF(O25="Media",0.6,IF(O25="Alta",0.8,IF(O25="Muy Alta",1,))))))</f>
        <v/>
      </c>
      <c r="Q25" s="513"/>
      <c r="R25" s="512">
        <f>IF(NOT(ISERROR(MATCH(Q25,'Tabla Impacto'!$B$245:$B$247,0))),'Tabla Impacto'!$F$224&amp;"Por favor no seleccionar los criterios de impacto(Afectación Económica o presupuestal y Pérdida Reputacional)",Q25)</f>
        <v>0</v>
      </c>
      <c r="S25" s="514" t="str">
        <f>IF(OR(R25='Tabla Impacto'!$C$12,R25='Tabla Impacto'!$D$12),"Leve",IF(OR(R25='Tabla Impacto'!$C$13,R25='Tabla Impacto'!$D$13),"Menor",IF(OR(R25='Tabla Impacto'!$C$14,R25='Tabla Impacto'!$D$14),"Moderado",IF(OR(R25='Tabla Impacto'!$C$15,R25='Tabla Impacto'!$D$15),"Mayor",IF(OR(R25='Tabla Impacto'!$C$16,R25='Tabla Impacto'!$D$16),"Catastrófico","")))))</f>
        <v/>
      </c>
      <c r="T25" s="512" t="str">
        <f>IF(S25="","",IF(S25="Leve",0.2,IF(S25="Menor",0.4,IF(S25="Moderado",0.6,IF(S25="Mayor",0.8,IF(S25="Catastrófico",1,))))))</f>
        <v/>
      </c>
      <c r="U25" s="511"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9">
        <v>1</v>
      </c>
      <c r="W25" s="199"/>
      <c r="X25" s="199"/>
      <c r="Y25" s="199"/>
      <c r="Z25" s="224" t="str">
        <f t="shared" si="1"/>
        <v xml:space="preserve">  </v>
      </c>
      <c r="AA25" s="176" t="str">
        <f>IF(OR(AB25="Preventivo",AB25="Detectivo"),"Probabilidad",IF(AB25="Correctivo","Impacto",""))</f>
        <v/>
      </c>
      <c r="AB25" s="177"/>
      <c r="AC25" s="177"/>
      <c r="AD25" s="178" t="str">
        <f>IF(AND(AB25="Preventivo",AC25="Automático"),"50%",IF(AND(AB25="Preventivo",AC25="Manual"),"40%",IF(AND(AB25="Detectivo",AC25="Automático"),"40%",IF(AND(AB25="Detectivo",AC25="Manual"),"30%",IF(AND(AB25="Correctivo",AC25="Automático"),"35%",IF(AND(AB25="Correctivo",AC25="Manual"),"25%",""))))))</f>
        <v/>
      </c>
      <c r="AE25" s="177"/>
      <c r="AF25" s="177"/>
      <c r="AG25" s="177"/>
      <c r="AH25" s="179" t="str">
        <f>IFERROR(IF(AA25="Probabilidad",(P25-(+P25*AD25)),IF(AA25="Impacto",P25,"")),"")</f>
        <v/>
      </c>
      <c r="AI25" s="180" t="str">
        <f>IFERROR(IF(AH25="","",IF(AH25&lt;=0.2,"Muy Baja",IF(AH25&lt;=0.4,"Baja",IF(AH25&lt;=0.6,"Media",IF(AH25&lt;=0.8,"Alta","Muy Alta"))))),"")</f>
        <v/>
      </c>
      <c r="AJ25" s="178" t="str">
        <f>+AH25</f>
        <v/>
      </c>
      <c r="AK25" s="180" t="str">
        <f>IFERROR(IF(AL25="","",IF(AL25&lt;=0.2,"Leve",IF(AL25&lt;=0.4,"Menor",IF(AL25&lt;=0.6,"Moderado",IF(AL25&lt;=0.8,"Mayor","Catastrófico"))))),"")</f>
        <v/>
      </c>
      <c r="AL25" s="178" t="str">
        <f t="shared" ref="AL25" si="21">IFERROR(IF(AA25="Impacto",(T25-(+T25*AD25)),IF(AA25="Probabilidad",T25,"")),"")</f>
        <v/>
      </c>
      <c r="AM25" s="181"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82"/>
      <c r="AO25" s="175"/>
      <c r="AP25" s="183"/>
      <c r="AQ25" s="183"/>
      <c r="AR25" s="184"/>
      <c r="AS25" s="519"/>
      <c r="AT25" s="519"/>
      <c r="AU25" s="519"/>
    </row>
    <row r="26" spans="1:47" x14ac:dyDescent="0.2">
      <c r="A26" s="523"/>
      <c r="B26" s="515"/>
      <c r="C26" s="515"/>
      <c r="D26" s="719"/>
      <c r="E26" s="515"/>
      <c r="F26" s="520"/>
      <c r="G26" s="515"/>
      <c r="H26" s="517"/>
      <c r="I26" s="207"/>
      <c r="J26" s="207"/>
      <c r="K26" s="207"/>
      <c r="L26" s="517"/>
      <c r="M26" s="517"/>
      <c r="N26" s="519"/>
      <c r="O26" s="514"/>
      <c r="P26" s="512"/>
      <c r="Q26" s="513"/>
      <c r="R26" s="512">
        <f>IF(NOT(ISERROR(MATCH(Q26,_xlfn.ANCHORARRAY(G37),0))),Q39&amp;"Por favor no seleccionar los criterios de impacto",Q26)</f>
        <v>0</v>
      </c>
      <c r="S26" s="514"/>
      <c r="T26" s="512"/>
      <c r="U26" s="511"/>
      <c r="V26" s="199">
        <v>2</v>
      </c>
      <c r="W26" s="199"/>
      <c r="X26" s="199"/>
      <c r="Y26" s="199"/>
      <c r="Z26" s="224" t="str">
        <f t="shared" si="1"/>
        <v xml:space="preserve">  </v>
      </c>
      <c r="AA26" s="176" t="str">
        <f>IF(OR(AB26="Preventivo",AB26="Detectivo"),"Probabilidad",IF(AB26="Correctivo","Impacto",""))</f>
        <v/>
      </c>
      <c r="AB26" s="177"/>
      <c r="AC26" s="177"/>
      <c r="AD26" s="178" t="str">
        <f t="shared" ref="AD26:AD30" si="22">IF(AND(AB26="Preventivo",AC26="Automático"),"50%",IF(AND(AB26="Preventivo",AC26="Manual"),"40%",IF(AND(AB26="Detectivo",AC26="Automático"),"40%",IF(AND(AB26="Detectivo",AC26="Manual"),"30%",IF(AND(AB26="Correctivo",AC26="Automático"),"35%",IF(AND(AB26="Correctivo",AC26="Manual"),"25%",""))))))</f>
        <v/>
      </c>
      <c r="AE26" s="177"/>
      <c r="AF26" s="177"/>
      <c r="AG26" s="177"/>
      <c r="AH26" s="179" t="str">
        <f>IFERROR(IF(AND(AA25="Probabilidad",AA26="Probabilidad"),(AJ25-(+AJ25*AD26)),IF(AA26="Probabilidad",(P25-(+P25*AD26)),IF(AA26="Impacto",AJ25,""))),"")</f>
        <v/>
      </c>
      <c r="AI26" s="180" t="str">
        <f t="shared" si="3"/>
        <v/>
      </c>
      <c r="AJ26" s="178" t="str">
        <f t="shared" ref="AJ26:AJ30" si="23">+AH26</f>
        <v/>
      </c>
      <c r="AK26" s="180" t="str">
        <f t="shared" si="5"/>
        <v/>
      </c>
      <c r="AL26" s="178" t="str">
        <f t="shared" ref="AL26" si="24">IFERROR(IF(AND(AA25="Impacto",AA26="Impacto"),(AL25-(+AL25*AD26)),IF(AA26="Impacto",($T$13-(+$T$13*AD26)),IF(AA26="Probabilidad",AL25,""))),"")</f>
        <v/>
      </c>
      <c r="AM26" s="181" t="str">
        <f t="shared" ref="AM26:AM27" si="25">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82"/>
      <c r="AO26" s="175"/>
      <c r="AP26" s="183"/>
      <c r="AQ26" s="183"/>
      <c r="AR26" s="184"/>
      <c r="AS26" s="519"/>
      <c r="AT26" s="519"/>
      <c r="AU26" s="519"/>
    </row>
    <row r="27" spans="1:47" x14ac:dyDescent="0.2">
      <c r="A27" s="523"/>
      <c r="B27" s="515"/>
      <c r="C27" s="515"/>
      <c r="D27" s="719"/>
      <c r="E27" s="515"/>
      <c r="F27" s="520"/>
      <c r="G27" s="515"/>
      <c r="H27" s="517"/>
      <c r="I27" s="207"/>
      <c r="J27" s="207"/>
      <c r="K27" s="207"/>
      <c r="L27" s="517"/>
      <c r="M27" s="517"/>
      <c r="N27" s="519"/>
      <c r="O27" s="514"/>
      <c r="P27" s="512"/>
      <c r="Q27" s="513"/>
      <c r="R27" s="512">
        <f>IF(NOT(ISERROR(MATCH(Q27,_xlfn.ANCHORARRAY(G38),0))),Q40&amp;"Por favor no seleccionar los criterios de impacto",Q27)</f>
        <v>0</v>
      </c>
      <c r="S27" s="514"/>
      <c r="T27" s="512"/>
      <c r="U27" s="511"/>
      <c r="V27" s="199">
        <v>3</v>
      </c>
      <c r="W27" s="199"/>
      <c r="X27" s="199"/>
      <c r="Y27" s="199"/>
      <c r="Z27" s="224" t="str">
        <f t="shared" si="1"/>
        <v xml:space="preserve">  </v>
      </c>
      <c r="AA27" s="176" t="str">
        <f>IF(OR(AB27="Preventivo",AB27="Detectivo"),"Probabilidad",IF(AB27="Correctivo","Impacto",""))</f>
        <v/>
      </c>
      <c r="AB27" s="177"/>
      <c r="AC27" s="177"/>
      <c r="AD27" s="178" t="str">
        <f t="shared" si="22"/>
        <v/>
      </c>
      <c r="AE27" s="177"/>
      <c r="AF27" s="177"/>
      <c r="AG27" s="177"/>
      <c r="AH27" s="179" t="str">
        <f>IFERROR(IF(AND(AA26="Probabilidad",AA27="Probabilidad"),(AJ26-(+AJ26*AD27)),IF(AND(AA26="Impacto",AA27="Probabilidad"),(AJ25-(+AJ25*AD27)),IF(AA27="Impacto",AJ26,""))),"")</f>
        <v/>
      </c>
      <c r="AI27" s="180" t="str">
        <f t="shared" si="3"/>
        <v/>
      </c>
      <c r="AJ27" s="178" t="str">
        <f t="shared" si="23"/>
        <v/>
      </c>
      <c r="AK27" s="180" t="str">
        <f t="shared" si="5"/>
        <v/>
      </c>
      <c r="AL27" s="178" t="str">
        <f t="shared" ref="AL27" si="26">IFERROR(IF(AND(AA26="Impacto",AA27="Impacto"),(AL26-(+AL26*AD27)),IF(AND(AA26="Probabilidad",AA27="Impacto"),(AL25-(+AL25*AD27)),IF(AA27="Probabilidad",AL26,""))),"")</f>
        <v/>
      </c>
      <c r="AM27" s="181" t="str">
        <f t="shared" si="25"/>
        <v/>
      </c>
      <c r="AN27" s="182"/>
      <c r="AO27" s="175"/>
      <c r="AP27" s="183"/>
      <c r="AQ27" s="183"/>
      <c r="AR27" s="184"/>
      <c r="AS27" s="519"/>
      <c r="AT27" s="519"/>
      <c r="AU27" s="519"/>
    </row>
    <row r="28" spans="1:47" x14ac:dyDescent="0.2">
      <c r="A28" s="523"/>
      <c r="B28" s="515"/>
      <c r="C28" s="515"/>
      <c r="D28" s="719"/>
      <c r="E28" s="515"/>
      <c r="F28" s="520"/>
      <c r="G28" s="515"/>
      <c r="H28" s="517"/>
      <c r="I28" s="207"/>
      <c r="J28" s="207"/>
      <c r="K28" s="207"/>
      <c r="L28" s="517"/>
      <c r="M28" s="517"/>
      <c r="N28" s="519"/>
      <c r="O28" s="514"/>
      <c r="P28" s="512"/>
      <c r="Q28" s="513"/>
      <c r="R28" s="512">
        <f>IF(NOT(ISERROR(MATCH(Q28,_xlfn.ANCHORARRAY(G39),0))),Q41&amp;"Por favor no seleccionar los criterios de impacto",Q28)</f>
        <v>0</v>
      </c>
      <c r="S28" s="514"/>
      <c r="T28" s="512"/>
      <c r="U28" s="511"/>
      <c r="V28" s="199">
        <v>4</v>
      </c>
      <c r="W28" s="199"/>
      <c r="X28" s="199"/>
      <c r="Y28" s="199"/>
      <c r="Z28" s="224" t="str">
        <f t="shared" si="1"/>
        <v xml:space="preserve">  </v>
      </c>
      <c r="AA28" s="176" t="str">
        <f t="shared" ref="AA28:AA30" si="27">IF(OR(AB28="Preventivo",AB28="Detectivo"),"Probabilidad",IF(AB28="Correctivo","Impacto",""))</f>
        <v/>
      </c>
      <c r="AB28" s="177"/>
      <c r="AC28" s="177"/>
      <c r="AD28" s="178" t="str">
        <f t="shared" si="22"/>
        <v/>
      </c>
      <c r="AE28" s="177"/>
      <c r="AF28" s="177"/>
      <c r="AG28" s="177"/>
      <c r="AH28" s="179" t="str">
        <f t="shared" ref="AH28:AH30" si="28">IFERROR(IF(AND(AA27="Probabilidad",AA28="Probabilidad"),(AJ27-(+AJ27*AD28)),IF(AND(AA27="Impacto",AA28="Probabilidad"),(AJ26-(+AJ26*AD28)),IF(AA28="Impacto",AJ27,""))),"")</f>
        <v/>
      </c>
      <c r="AI28" s="180" t="str">
        <f t="shared" si="3"/>
        <v/>
      </c>
      <c r="AJ28" s="178" t="str">
        <f t="shared" si="23"/>
        <v/>
      </c>
      <c r="AK28" s="180" t="str">
        <f t="shared" si="5"/>
        <v/>
      </c>
      <c r="AL28" s="178" t="str">
        <f t="shared" si="18"/>
        <v/>
      </c>
      <c r="AM28" s="181"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82"/>
      <c r="AO28" s="175"/>
      <c r="AP28" s="183"/>
      <c r="AQ28" s="183"/>
      <c r="AR28" s="184"/>
      <c r="AS28" s="519"/>
      <c r="AT28" s="519"/>
      <c r="AU28" s="519"/>
    </row>
    <row r="29" spans="1:47" x14ac:dyDescent="0.2">
      <c r="A29" s="523"/>
      <c r="B29" s="515"/>
      <c r="C29" s="515"/>
      <c r="D29" s="719"/>
      <c r="E29" s="515"/>
      <c r="F29" s="520"/>
      <c r="G29" s="515"/>
      <c r="H29" s="517"/>
      <c r="I29" s="207"/>
      <c r="J29" s="207"/>
      <c r="K29" s="207"/>
      <c r="L29" s="517"/>
      <c r="M29" s="517"/>
      <c r="N29" s="519"/>
      <c r="O29" s="514"/>
      <c r="P29" s="512"/>
      <c r="Q29" s="513"/>
      <c r="R29" s="512">
        <f>IF(NOT(ISERROR(MATCH(Q29,_xlfn.ANCHORARRAY(G40),0))),Q42&amp;"Por favor no seleccionar los criterios de impacto",Q29)</f>
        <v>0</v>
      </c>
      <c r="S29" s="514"/>
      <c r="T29" s="512"/>
      <c r="U29" s="511"/>
      <c r="V29" s="199">
        <v>5</v>
      </c>
      <c r="W29" s="199"/>
      <c r="X29" s="199"/>
      <c r="Y29" s="199"/>
      <c r="Z29" s="224" t="str">
        <f t="shared" si="1"/>
        <v xml:space="preserve">  </v>
      </c>
      <c r="AA29" s="176" t="str">
        <f t="shared" si="27"/>
        <v/>
      </c>
      <c r="AB29" s="177"/>
      <c r="AC29" s="177"/>
      <c r="AD29" s="178" t="str">
        <f t="shared" si="22"/>
        <v/>
      </c>
      <c r="AE29" s="177"/>
      <c r="AF29" s="177"/>
      <c r="AG29" s="177"/>
      <c r="AH29" s="179" t="str">
        <f t="shared" si="28"/>
        <v/>
      </c>
      <c r="AI29" s="180" t="str">
        <f t="shared" si="3"/>
        <v/>
      </c>
      <c r="AJ29" s="178" t="str">
        <f t="shared" si="23"/>
        <v/>
      </c>
      <c r="AK29" s="180" t="str">
        <f t="shared" si="5"/>
        <v/>
      </c>
      <c r="AL29" s="178" t="str">
        <f t="shared" si="18"/>
        <v/>
      </c>
      <c r="AM29" s="181" t="str">
        <f t="shared" ref="AM29:AM30" si="29">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82"/>
      <c r="AO29" s="175"/>
      <c r="AP29" s="183"/>
      <c r="AQ29" s="183"/>
      <c r="AR29" s="184"/>
      <c r="AS29" s="519"/>
      <c r="AT29" s="519"/>
      <c r="AU29" s="519"/>
    </row>
    <row r="30" spans="1:47" x14ac:dyDescent="0.2">
      <c r="A30" s="523"/>
      <c r="B30" s="515"/>
      <c r="C30" s="515"/>
      <c r="D30" s="720"/>
      <c r="E30" s="515"/>
      <c r="F30" s="520"/>
      <c r="G30" s="515"/>
      <c r="H30" s="518"/>
      <c r="I30" s="208"/>
      <c r="J30" s="208"/>
      <c r="K30" s="208"/>
      <c r="L30" s="518"/>
      <c r="M30" s="518"/>
      <c r="N30" s="519"/>
      <c r="O30" s="514"/>
      <c r="P30" s="512"/>
      <c r="Q30" s="513"/>
      <c r="R30" s="512">
        <f>IF(NOT(ISERROR(MATCH(Q30,_xlfn.ANCHORARRAY(G41),0))),Q43&amp;"Por favor no seleccionar los criterios de impacto",Q30)</f>
        <v>0</v>
      </c>
      <c r="S30" s="514"/>
      <c r="T30" s="512"/>
      <c r="U30" s="511"/>
      <c r="V30" s="199">
        <v>6</v>
      </c>
      <c r="W30" s="199"/>
      <c r="X30" s="199"/>
      <c r="Y30" s="199"/>
      <c r="Z30" s="224" t="str">
        <f t="shared" si="1"/>
        <v xml:space="preserve">  </v>
      </c>
      <c r="AA30" s="176" t="str">
        <f t="shared" si="27"/>
        <v/>
      </c>
      <c r="AB30" s="177"/>
      <c r="AC30" s="177"/>
      <c r="AD30" s="178" t="str">
        <f t="shared" si="22"/>
        <v/>
      </c>
      <c r="AE30" s="177"/>
      <c r="AF30" s="177"/>
      <c r="AG30" s="177"/>
      <c r="AH30" s="179" t="str">
        <f t="shared" si="28"/>
        <v/>
      </c>
      <c r="AI30" s="180" t="str">
        <f t="shared" si="3"/>
        <v/>
      </c>
      <c r="AJ30" s="178" t="str">
        <f t="shared" si="23"/>
        <v/>
      </c>
      <c r="AK30" s="180" t="str">
        <f t="shared" si="5"/>
        <v/>
      </c>
      <c r="AL30" s="178" t="str">
        <f t="shared" si="18"/>
        <v/>
      </c>
      <c r="AM30" s="181" t="str">
        <f t="shared" si="29"/>
        <v/>
      </c>
      <c r="AN30" s="182"/>
      <c r="AO30" s="175"/>
      <c r="AP30" s="183"/>
      <c r="AQ30" s="183"/>
      <c r="AR30" s="184"/>
      <c r="AS30" s="519"/>
      <c r="AT30" s="519"/>
      <c r="AU30" s="519"/>
    </row>
    <row r="31" spans="1:47" x14ac:dyDescent="0.2">
      <c r="A31" s="523">
        <v>4</v>
      </c>
      <c r="B31" s="515"/>
      <c r="C31" s="515"/>
      <c r="D31" s="718"/>
      <c r="E31" s="515"/>
      <c r="F31" s="520" t="str">
        <f t="shared" ref="F31" si="30">+CONCATENATE(B31," ",C31)</f>
        <v xml:space="preserve"> </v>
      </c>
      <c r="G31" s="515"/>
      <c r="H31" s="516"/>
      <c r="I31" s="206"/>
      <c r="J31" s="206"/>
      <c r="K31" s="206"/>
      <c r="L31" s="516"/>
      <c r="M31" s="516"/>
      <c r="N31" s="519"/>
      <c r="O31" s="514" t="str">
        <f>IF(N31&lt;=0,"",IF(N31&lt;=2,"Muy Baja",IF(N31&lt;=24,"Baja",IF(N31&lt;=500,"Media",IF(N31&lt;=5000,"Alta","Muy Alta")))))</f>
        <v/>
      </c>
      <c r="P31" s="512" t="str">
        <f>IF(O31="","",IF(O31="Muy Baja",0.2,IF(O31="Baja",0.4,IF(O31="Media",0.6,IF(O31="Alta",0.8,IF(O31="Muy Alta",1,))))))</f>
        <v/>
      </c>
      <c r="Q31" s="513"/>
      <c r="R31" s="512">
        <f>IF(NOT(ISERROR(MATCH(Q31,'Tabla Impacto'!$B$245:$B$247,0))),'Tabla Impacto'!$F$224&amp;"Por favor no seleccionar los criterios de impacto(Afectación Económica o presupuestal y Pérdida Reputacional)",Q31)</f>
        <v>0</v>
      </c>
      <c r="S31" s="514" t="str">
        <f>IF(OR(R31='Tabla Impacto'!$C$12,R31='Tabla Impacto'!$D$12),"Leve",IF(OR(R31='Tabla Impacto'!$C$13,R31='Tabla Impacto'!$D$13),"Menor",IF(OR(R31='Tabla Impacto'!$C$14,R31='Tabla Impacto'!$D$14),"Moderado",IF(OR(R31='Tabla Impacto'!$C$15,R31='Tabla Impacto'!$D$15),"Mayor",IF(OR(R31='Tabla Impacto'!$C$16,R31='Tabla Impacto'!$D$16),"Catastrófico","")))))</f>
        <v/>
      </c>
      <c r="T31" s="512" t="str">
        <f>IF(S31="","",IF(S31="Leve",0.2,IF(S31="Menor",0.4,IF(S31="Moderado",0.6,IF(S31="Mayor",0.8,IF(S31="Catastrófico",1,))))))</f>
        <v/>
      </c>
      <c r="U31" s="511"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1"/>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31">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519"/>
      <c r="AT31" s="519"/>
      <c r="AU31" s="519"/>
    </row>
    <row r="32" spans="1:47" x14ac:dyDescent="0.2">
      <c r="A32" s="523"/>
      <c r="B32" s="515"/>
      <c r="C32" s="515"/>
      <c r="D32" s="719"/>
      <c r="E32" s="515"/>
      <c r="F32" s="520"/>
      <c r="G32" s="515"/>
      <c r="H32" s="517"/>
      <c r="I32" s="207"/>
      <c r="J32" s="207"/>
      <c r="K32" s="207"/>
      <c r="L32" s="517"/>
      <c r="M32" s="517"/>
      <c r="N32" s="519"/>
      <c r="O32" s="514"/>
      <c r="P32" s="512"/>
      <c r="Q32" s="513"/>
      <c r="R32" s="512">
        <f>IF(NOT(ISERROR(MATCH(Q32,_xlfn.ANCHORARRAY(G43),0))),Q45&amp;"Por favor no seleccionar los criterios de impacto",Q32)</f>
        <v>0</v>
      </c>
      <c r="S32" s="514"/>
      <c r="T32" s="512"/>
      <c r="U32" s="511"/>
      <c r="V32" s="199">
        <v>2</v>
      </c>
      <c r="W32" s="199"/>
      <c r="X32" s="199"/>
      <c r="Y32" s="199"/>
      <c r="Z32" s="224" t="str">
        <f t="shared" si="1"/>
        <v xml:space="preserve">  </v>
      </c>
      <c r="AA32" s="176" t="str">
        <f>IF(OR(AB32="Preventivo",AB32="Detectivo"),"Probabilidad",IF(AB32="Correctivo","Impacto",""))</f>
        <v/>
      </c>
      <c r="AB32" s="177"/>
      <c r="AC32" s="177"/>
      <c r="AD32" s="178" t="str">
        <f t="shared" ref="AD32:AD36" si="32">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3"/>
        <v/>
      </c>
      <c r="AJ32" s="178" t="str">
        <f t="shared" ref="AJ32:AJ36" si="33">+AH32</f>
        <v/>
      </c>
      <c r="AK32" s="180" t="str">
        <f t="shared" si="5"/>
        <v/>
      </c>
      <c r="AL32" s="178" t="str">
        <f t="shared" ref="AL32" si="34">IFERROR(IF(AND(AA31="Impacto",AA32="Impacto"),(AL31-(+AL31*AD32)),IF(AA32="Impacto",($T$13-(+$T$13*AD32)),IF(AA32="Probabilidad",AL31,""))),"")</f>
        <v/>
      </c>
      <c r="AM32" s="181" t="str">
        <f t="shared" ref="AM32:AM33" si="35">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519"/>
      <c r="AT32" s="519"/>
      <c r="AU32" s="519"/>
    </row>
    <row r="33" spans="1:47" x14ac:dyDescent="0.2">
      <c r="A33" s="523"/>
      <c r="B33" s="515"/>
      <c r="C33" s="515"/>
      <c r="D33" s="719"/>
      <c r="E33" s="515"/>
      <c r="F33" s="520"/>
      <c r="G33" s="515"/>
      <c r="H33" s="517"/>
      <c r="I33" s="207"/>
      <c r="J33" s="207"/>
      <c r="K33" s="207"/>
      <c r="L33" s="517"/>
      <c r="M33" s="517"/>
      <c r="N33" s="519"/>
      <c r="O33" s="514"/>
      <c r="P33" s="512"/>
      <c r="Q33" s="513"/>
      <c r="R33" s="512">
        <f>IF(NOT(ISERROR(MATCH(Q33,_xlfn.ANCHORARRAY(G44),0))),Q46&amp;"Por favor no seleccionar los criterios de impacto",Q33)</f>
        <v>0</v>
      </c>
      <c r="S33" s="514"/>
      <c r="T33" s="512"/>
      <c r="U33" s="511"/>
      <c r="V33" s="199">
        <v>3</v>
      </c>
      <c r="W33" s="199"/>
      <c r="X33" s="199"/>
      <c r="Y33" s="199"/>
      <c r="Z33" s="224" t="str">
        <f t="shared" si="1"/>
        <v xml:space="preserve">  </v>
      </c>
      <c r="AA33" s="176" t="str">
        <f>IF(OR(AB33="Preventivo",AB33="Detectivo"),"Probabilidad",IF(AB33="Correctivo","Impacto",""))</f>
        <v/>
      </c>
      <c r="AB33" s="177"/>
      <c r="AC33" s="177"/>
      <c r="AD33" s="178" t="str">
        <f t="shared" si="32"/>
        <v/>
      </c>
      <c r="AE33" s="177"/>
      <c r="AF33" s="177"/>
      <c r="AG33" s="177"/>
      <c r="AH33" s="179" t="str">
        <f>IFERROR(IF(AND(AA32="Probabilidad",AA33="Probabilidad"),(AJ32-(+AJ32*AD33)),IF(AND(AA32="Impacto",AA33="Probabilidad"),(AJ31-(+AJ31*AD33)),IF(AA33="Impacto",AJ32,""))),"")</f>
        <v/>
      </c>
      <c r="AI33" s="180" t="str">
        <f t="shared" si="3"/>
        <v/>
      </c>
      <c r="AJ33" s="178" t="str">
        <f t="shared" si="33"/>
        <v/>
      </c>
      <c r="AK33" s="180" t="str">
        <f t="shared" si="5"/>
        <v/>
      </c>
      <c r="AL33" s="178" t="str">
        <f t="shared" ref="AL33" si="36">IFERROR(IF(AND(AA32="Impacto",AA33="Impacto"),(AL32-(+AL32*AD33)),IF(AND(AA32="Probabilidad",AA33="Impacto"),(AL31-(+AL31*AD33)),IF(AA33="Probabilidad",AL32,""))),"")</f>
        <v/>
      </c>
      <c r="AM33" s="181" t="str">
        <f t="shared" si="35"/>
        <v/>
      </c>
      <c r="AN33" s="182"/>
      <c r="AO33" s="175"/>
      <c r="AP33" s="183"/>
      <c r="AQ33" s="183"/>
      <c r="AR33" s="184"/>
      <c r="AS33" s="519"/>
      <c r="AT33" s="519"/>
      <c r="AU33" s="519"/>
    </row>
    <row r="34" spans="1:47" x14ac:dyDescent="0.2">
      <c r="A34" s="523"/>
      <c r="B34" s="515"/>
      <c r="C34" s="515"/>
      <c r="D34" s="719"/>
      <c r="E34" s="515"/>
      <c r="F34" s="520"/>
      <c r="G34" s="515"/>
      <c r="H34" s="517"/>
      <c r="I34" s="207"/>
      <c r="J34" s="207"/>
      <c r="K34" s="207"/>
      <c r="L34" s="517"/>
      <c r="M34" s="517"/>
      <c r="N34" s="519"/>
      <c r="O34" s="514"/>
      <c r="P34" s="512"/>
      <c r="Q34" s="513"/>
      <c r="R34" s="512">
        <f>IF(NOT(ISERROR(MATCH(Q34,_xlfn.ANCHORARRAY(G45),0))),Q47&amp;"Por favor no seleccionar los criterios de impacto",Q34)</f>
        <v>0</v>
      </c>
      <c r="S34" s="514"/>
      <c r="T34" s="512"/>
      <c r="U34" s="511"/>
      <c r="V34" s="199">
        <v>4</v>
      </c>
      <c r="W34" s="199"/>
      <c r="X34" s="199"/>
      <c r="Y34" s="199"/>
      <c r="Z34" s="224" t="str">
        <f t="shared" si="1"/>
        <v xml:space="preserve">  </v>
      </c>
      <c r="AA34" s="176" t="str">
        <f t="shared" ref="AA34:AA36" si="37">IF(OR(AB34="Preventivo",AB34="Detectivo"),"Probabilidad",IF(AB34="Correctivo","Impacto",""))</f>
        <v/>
      </c>
      <c r="AB34" s="177"/>
      <c r="AC34" s="177"/>
      <c r="AD34" s="178" t="str">
        <f t="shared" si="32"/>
        <v/>
      </c>
      <c r="AE34" s="177"/>
      <c r="AF34" s="177"/>
      <c r="AG34" s="177"/>
      <c r="AH34" s="179" t="str">
        <f t="shared" ref="AH34:AH36" si="38">IFERROR(IF(AND(AA33="Probabilidad",AA34="Probabilidad"),(AJ33-(+AJ33*AD34)),IF(AND(AA33="Impacto",AA34="Probabilidad"),(AJ32-(+AJ32*AD34)),IF(AA34="Impacto",AJ33,""))),"")</f>
        <v/>
      </c>
      <c r="AI34" s="180" t="str">
        <f t="shared" si="3"/>
        <v/>
      </c>
      <c r="AJ34" s="178" t="str">
        <f t="shared" si="33"/>
        <v/>
      </c>
      <c r="AK34" s="180" t="str">
        <f t="shared" si="5"/>
        <v/>
      </c>
      <c r="AL34" s="178" t="str">
        <f t="shared" si="18"/>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519"/>
      <c r="AT34" s="519"/>
      <c r="AU34" s="519"/>
    </row>
    <row r="35" spans="1:47" x14ac:dyDescent="0.2">
      <c r="A35" s="523"/>
      <c r="B35" s="515"/>
      <c r="C35" s="515"/>
      <c r="D35" s="719"/>
      <c r="E35" s="515"/>
      <c r="F35" s="520"/>
      <c r="G35" s="515"/>
      <c r="H35" s="517"/>
      <c r="I35" s="207"/>
      <c r="J35" s="207"/>
      <c r="K35" s="207"/>
      <c r="L35" s="517"/>
      <c r="M35" s="517"/>
      <c r="N35" s="519"/>
      <c r="O35" s="514"/>
      <c r="P35" s="512"/>
      <c r="Q35" s="513"/>
      <c r="R35" s="512">
        <f>IF(NOT(ISERROR(MATCH(Q35,_xlfn.ANCHORARRAY(G46),0))),Q48&amp;"Por favor no seleccionar los criterios de impacto",Q35)</f>
        <v>0</v>
      </c>
      <c r="S35" s="514"/>
      <c r="T35" s="512"/>
      <c r="U35" s="511"/>
      <c r="V35" s="199">
        <v>5</v>
      </c>
      <c r="W35" s="199"/>
      <c r="X35" s="199"/>
      <c r="Y35" s="199"/>
      <c r="Z35" s="224" t="str">
        <f t="shared" si="1"/>
        <v xml:space="preserve">  </v>
      </c>
      <c r="AA35" s="176" t="str">
        <f t="shared" si="37"/>
        <v/>
      </c>
      <c r="AB35" s="177"/>
      <c r="AC35" s="177"/>
      <c r="AD35" s="178" t="str">
        <f t="shared" si="32"/>
        <v/>
      </c>
      <c r="AE35" s="177"/>
      <c r="AF35" s="177"/>
      <c r="AG35" s="177"/>
      <c r="AH35" s="179" t="str">
        <f t="shared" si="38"/>
        <v/>
      </c>
      <c r="AI35" s="180" t="str">
        <f t="shared" si="3"/>
        <v/>
      </c>
      <c r="AJ35" s="178" t="str">
        <f t="shared" si="33"/>
        <v/>
      </c>
      <c r="AK35" s="180" t="str">
        <f t="shared" si="5"/>
        <v/>
      </c>
      <c r="AL35" s="178" t="str">
        <f t="shared" si="18"/>
        <v/>
      </c>
      <c r="AM35" s="181" t="str">
        <f t="shared" ref="AM35:AM36" si="39">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519"/>
      <c r="AT35" s="519"/>
      <c r="AU35" s="519"/>
    </row>
    <row r="36" spans="1:47" x14ac:dyDescent="0.2">
      <c r="A36" s="523"/>
      <c r="B36" s="515"/>
      <c r="C36" s="515"/>
      <c r="D36" s="720"/>
      <c r="E36" s="515"/>
      <c r="F36" s="520"/>
      <c r="G36" s="515"/>
      <c r="H36" s="518"/>
      <c r="I36" s="208"/>
      <c r="J36" s="208"/>
      <c r="K36" s="208"/>
      <c r="L36" s="518"/>
      <c r="M36" s="518"/>
      <c r="N36" s="519"/>
      <c r="O36" s="514"/>
      <c r="P36" s="512"/>
      <c r="Q36" s="513"/>
      <c r="R36" s="512">
        <f>IF(NOT(ISERROR(MATCH(Q36,_xlfn.ANCHORARRAY(G47),0))),Q49&amp;"Por favor no seleccionar los criterios de impacto",Q36)</f>
        <v>0</v>
      </c>
      <c r="S36" s="514"/>
      <c r="T36" s="512"/>
      <c r="U36" s="511"/>
      <c r="V36" s="199">
        <v>6</v>
      </c>
      <c r="W36" s="199"/>
      <c r="X36" s="199"/>
      <c r="Y36" s="199"/>
      <c r="Z36" s="224" t="str">
        <f t="shared" si="1"/>
        <v xml:space="preserve">  </v>
      </c>
      <c r="AA36" s="176" t="str">
        <f t="shared" si="37"/>
        <v/>
      </c>
      <c r="AB36" s="177"/>
      <c r="AC36" s="177"/>
      <c r="AD36" s="178" t="str">
        <f t="shared" si="32"/>
        <v/>
      </c>
      <c r="AE36" s="177"/>
      <c r="AF36" s="177"/>
      <c r="AG36" s="177"/>
      <c r="AH36" s="179" t="str">
        <f t="shared" si="38"/>
        <v/>
      </c>
      <c r="AI36" s="180" t="str">
        <f t="shared" si="3"/>
        <v/>
      </c>
      <c r="AJ36" s="178" t="str">
        <f t="shared" si="33"/>
        <v/>
      </c>
      <c r="AK36" s="180" t="str">
        <f t="shared" si="5"/>
        <v/>
      </c>
      <c r="AL36" s="178" t="str">
        <f t="shared" si="18"/>
        <v/>
      </c>
      <c r="AM36" s="181" t="str">
        <f t="shared" si="39"/>
        <v/>
      </c>
      <c r="AN36" s="182"/>
      <c r="AO36" s="175"/>
      <c r="AP36" s="183"/>
      <c r="AQ36" s="183"/>
      <c r="AR36" s="184"/>
      <c r="AS36" s="519"/>
      <c r="AT36" s="519"/>
      <c r="AU36" s="519"/>
    </row>
    <row r="37" spans="1:47" x14ac:dyDescent="0.2">
      <c r="A37" s="201"/>
      <c r="B37" s="521"/>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row>
    <row r="39" spans="1:47" ht="15.75" x14ac:dyDescent="0.2">
      <c r="A39" s="185"/>
      <c r="B39" s="192"/>
      <c r="C39" s="185"/>
      <c r="D39" s="407"/>
      <c r="E39" s="185"/>
      <c r="F39" s="185"/>
      <c r="N39" s="185"/>
    </row>
    <row r="40" spans="1:47" s="241" customFormat="1" x14ac:dyDescent="0.2">
      <c r="A40" s="240"/>
      <c r="B40" s="240"/>
      <c r="C40" s="240"/>
      <c r="D40" s="408"/>
      <c r="E40" s="240"/>
      <c r="F40" s="240"/>
      <c r="N40" s="242"/>
      <c r="AO40" s="243"/>
    </row>
    <row r="51" spans="23:23" x14ac:dyDescent="0.2">
      <c r="W51" s="185">
        <f>35/2</f>
        <v>17.5</v>
      </c>
    </row>
    <row r="52" spans="23:23" x14ac:dyDescent="0.2">
      <c r="W52" s="185">
        <f>70/4</f>
        <v>17.5</v>
      </c>
    </row>
  </sheetData>
  <dataConsolidate/>
  <mergeCells count="155">
    <mergeCell ref="D25:D30"/>
    <mergeCell ref="A19:A24"/>
    <mergeCell ref="B19:B24"/>
    <mergeCell ref="AT31:AT36"/>
    <mergeCell ref="AU31:AU36"/>
    <mergeCell ref="B37:AS37"/>
    <mergeCell ref="Q31:Q36"/>
    <mergeCell ref="R31:R36"/>
    <mergeCell ref="S31:S36"/>
    <mergeCell ref="T31:T36"/>
    <mergeCell ref="U31:U36"/>
    <mergeCell ref="AS31:AS36"/>
    <mergeCell ref="H31:H36"/>
    <mergeCell ref="L31:L36"/>
    <mergeCell ref="M31:M36"/>
    <mergeCell ref="N31:N36"/>
    <mergeCell ref="O31:O36"/>
    <mergeCell ref="P31:P36"/>
    <mergeCell ref="A31:A36"/>
    <mergeCell ref="B31:B36"/>
    <mergeCell ref="C31:C36"/>
    <mergeCell ref="D31:D36"/>
    <mergeCell ref="F31:F36"/>
    <mergeCell ref="G31:G36"/>
    <mergeCell ref="P25:P30"/>
    <mergeCell ref="K19:K24"/>
    <mergeCell ref="L19:L24"/>
    <mergeCell ref="Q25:Q30"/>
    <mergeCell ref="R25:R30"/>
    <mergeCell ref="F25:F30"/>
    <mergeCell ref="E31:E36"/>
    <mergeCell ref="G25:G30"/>
    <mergeCell ref="H25:H30"/>
    <mergeCell ref="L25:L30"/>
    <mergeCell ref="M25:M30"/>
    <mergeCell ref="N25:N30"/>
    <mergeCell ref="O25:O30"/>
    <mergeCell ref="M19:M24"/>
    <mergeCell ref="N19:N24"/>
    <mergeCell ref="O19:O24"/>
    <mergeCell ref="P19:P24"/>
    <mergeCell ref="Q19:Q24"/>
    <mergeCell ref="R19:R24"/>
    <mergeCell ref="A25:A30"/>
    <mergeCell ref="B25:B30"/>
    <mergeCell ref="C25:C30"/>
    <mergeCell ref="AS25:AS30"/>
    <mergeCell ref="AT25:AT30"/>
    <mergeCell ref="AU25:AU30"/>
    <mergeCell ref="S25:S30"/>
    <mergeCell ref="S19:S24"/>
    <mergeCell ref="T19:T24"/>
    <mergeCell ref="U19:U24"/>
    <mergeCell ref="AS19:AS24"/>
    <mergeCell ref="AT19:AT24"/>
    <mergeCell ref="AU19:AU24"/>
    <mergeCell ref="T25:T30"/>
    <mergeCell ref="U25:U30"/>
    <mergeCell ref="C19:C24"/>
    <mergeCell ref="D19:D24"/>
    <mergeCell ref="F19:F24"/>
    <mergeCell ref="G19:G24"/>
    <mergeCell ref="H19:H24"/>
    <mergeCell ref="I19:I24"/>
    <mergeCell ref="J19:J24"/>
    <mergeCell ref="E19:E24"/>
    <mergeCell ref="E25:E30"/>
    <mergeCell ref="AS11:AS12"/>
    <mergeCell ref="AT11:AT12"/>
    <mergeCell ref="J11:J12"/>
    <mergeCell ref="K11:K12"/>
    <mergeCell ref="N11:N12"/>
    <mergeCell ref="O11:O12"/>
    <mergeCell ref="P11:P12"/>
    <mergeCell ref="Q11:Q12"/>
    <mergeCell ref="AL11:AL12"/>
    <mergeCell ref="AM11:AM12"/>
    <mergeCell ref="AN11:AN12"/>
    <mergeCell ref="AO11:AO12"/>
    <mergeCell ref="AA11:AA12"/>
    <mergeCell ref="AB11:AG11"/>
    <mergeCell ref="AH11:AH12"/>
    <mergeCell ref="AI11:AI12"/>
    <mergeCell ref="AU13:AU18"/>
    <mergeCell ref="M13:M18"/>
    <mergeCell ref="N13:N18"/>
    <mergeCell ref="O13:O18"/>
    <mergeCell ref="P13:P18"/>
    <mergeCell ref="Q13:Q18"/>
    <mergeCell ref="R13:R18"/>
    <mergeCell ref="A13:A18"/>
    <mergeCell ref="B13:B18"/>
    <mergeCell ref="C13:C18"/>
    <mergeCell ref="D13:D18"/>
    <mergeCell ref="F13:F18"/>
    <mergeCell ref="E13:E18"/>
    <mergeCell ref="J13:J18"/>
    <mergeCell ref="K13:K18"/>
    <mergeCell ref="L13:L18"/>
    <mergeCell ref="S13:S18"/>
    <mergeCell ref="T13:T18"/>
    <mergeCell ref="U13:U18"/>
    <mergeCell ref="AS13:AS18"/>
    <mergeCell ref="AT13:AT18"/>
    <mergeCell ref="AJ11:AJ12"/>
    <mergeCell ref="AK11:AK12"/>
    <mergeCell ref="R11:R12"/>
    <mergeCell ref="S11:S12"/>
    <mergeCell ref="T11:T12"/>
    <mergeCell ref="U11:U12"/>
    <mergeCell ref="V11:V12"/>
    <mergeCell ref="Z11:Z12"/>
    <mergeCell ref="G13:G18"/>
    <mergeCell ref="H13:H18"/>
    <mergeCell ref="I13:I18"/>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F11:F12"/>
    <mergeCell ref="G11:G12"/>
    <mergeCell ref="H11:H12"/>
    <mergeCell ref="I11:I12"/>
    <mergeCell ref="AU11:AU12"/>
    <mergeCell ref="AP11:AP12"/>
    <mergeCell ref="AQ11:AQ12"/>
    <mergeCell ref="E11:E12"/>
    <mergeCell ref="AR11:AR12"/>
    <mergeCell ref="A6:B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C6:U6"/>
  </mergeCells>
  <conditionalFormatting sqref="O13 AI13:AI36">
    <cfRule type="cellIs" dxfId="176" priority="104" operator="equal">
      <formula>"Baja"</formula>
    </cfRule>
    <cfRule type="cellIs" dxfId="175" priority="103" operator="equal">
      <formula>"Media"</formula>
    </cfRule>
    <cfRule type="cellIs" dxfId="174" priority="102" operator="equal">
      <formula>"Alta"</formula>
    </cfRule>
    <cfRule type="cellIs" dxfId="173" priority="101" operator="equal">
      <formula>"Muy Alta"</formula>
    </cfRule>
    <cfRule type="cellIs" dxfId="172" priority="105" operator="equal">
      <formula>"Muy Baja"</formula>
    </cfRule>
  </conditionalFormatting>
  <conditionalFormatting sqref="O19">
    <cfRule type="cellIs" dxfId="171" priority="1" operator="equal">
      <formula>"Muy Alta"</formula>
    </cfRule>
    <cfRule type="cellIs" dxfId="170" priority="2" operator="equal">
      <formula>"Alta"</formula>
    </cfRule>
    <cfRule type="cellIs" dxfId="169" priority="3" operator="equal">
      <formula>"Media"</formula>
    </cfRule>
    <cfRule type="cellIs" dxfId="168" priority="4" operator="equal">
      <formula>"Baja"</formula>
    </cfRule>
    <cfRule type="cellIs" dxfId="167" priority="5" operator="equal">
      <formula>"Muy Baja"</formula>
    </cfRule>
  </conditionalFormatting>
  <conditionalFormatting sqref="O25">
    <cfRule type="cellIs" dxfId="166" priority="36" operator="equal">
      <formula>"Media"</formula>
    </cfRule>
    <cfRule type="cellIs" dxfId="165" priority="38" operator="equal">
      <formula>"Muy Baja"</formula>
    </cfRule>
    <cfRule type="cellIs" dxfId="164" priority="37" operator="equal">
      <formula>"Baja"</formula>
    </cfRule>
    <cfRule type="cellIs" dxfId="163" priority="34" operator="equal">
      <formula>"Muy Alta"</formula>
    </cfRule>
    <cfRule type="cellIs" dxfId="162" priority="35" operator="equal">
      <formula>"Alta"</formula>
    </cfRule>
  </conditionalFormatting>
  <conditionalFormatting sqref="O31">
    <cfRule type="cellIs" dxfId="161" priority="25" operator="equal">
      <formula>"Muy Alta"</formula>
    </cfRule>
    <cfRule type="cellIs" dxfId="160" priority="26" operator="equal">
      <formula>"Alta"</formula>
    </cfRule>
    <cfRule type="cellIs" dxfId="159" priority="27" operator="equal">
      <formula>"Media"</formula>
    </cfRule>
    <cfRule type="cellIs" dxfId="158" priority="28" operator="equal">
      <formula>"Baja"</formula>
    </cfRule>
    <cfRule type="cellIs" dxfId="157" priority="29" operator="equal">
      <formula>"Muy Baja"</formula>
    </cfRule>
  </conditionalFormatting>
  <conditionalFormatting sqref="R13:R36">
    <cfRule type="containsText" dxfId="156" priority="6" operator="containsText" text="❌">
      <formula>NOT(ISERROR(SEARCH("❌",R13)))</formula>
    </cfRule>
  </conditionalFormatting>
  <conditionalFormatting sqref="S13 AK13:AK36 S19 S25 S31">
    <cfRule type="cellIs" dxfId="155" priority="100" operator="equal">
      <formula>"Leve"</formula>
    </cfRule>
    <cfRule type="cellIs" dxfId="154" priority="96" operator="equal">
      <formula>"Catastrófico"</formula>
    </cfRule>
    <cfRule type="cellIs" dxfId="153" priority="97" operator="equal">
      <formula>"Mayor"</formula>
    </cfRule>
    <cfRule type="cellIs" dxfId="152" priority="98" operator="equal">
      <formula>"Moderado"</formula>
    </cfRule>
    <cfRule type="cellIs" dxfId="151" priority="99" operator="equal">
      <formula>"Menor"</formula>
    </cfRule>
  </conditionalFormatting>
  <conditionalFormatting sqref="U13 AM13:AM36">
    <cfRule type="cellIs" dxfId="150" priority="92" operator="equal">
      <formula>"Extremo"</formula>
    </cfRule>
    <cfRule type="cellIs" dxfId="149" priority="93" operator="equal">
      <formula>"Alto"</formula>
    </cfRule>
    <cfRule type="cellIs" dxfId="148" priority="94" operator="equal">
      <formula>"Moderado"</formula>
    </cfRule>
    <cfRule type="cellIs" dxfId="147" priority="95" operator="equal">
      <formula>"Bajo"</formula>
    </cfRule>
  </conditionalFormatting>
  <conditionalFormatting sqref="U19">
    <cfRule type="cellIs" dxfId="146" priority="42" operator="equal">
      <formula>"Bajo"</formula>
    </cfRule>
    <cfRule type="cellIs" dxfId="145" priority="39" operator="equal">
      <formula>"Extremo"</formula>
    </cfRule>
    <cfRule type="cellIs" dxfId="144" priority="40" operator="equal">
      <formula>"Alto"</formula>
    </cfRule>
    <cfRule type="cellIs" dxfId="143" priority="41" operator="equal">
      <formula>"Moderado"</formula>
    </cfRule>
  </conditionalFormatting>
  <conditionalFormatting sqref="U25">
    <cfRule type="cellIs" dxfId="142" priority="31" operator="equal">
      <formula>"Alto"</formula>
    </cfRule>
    <cfRule type="cellIs" dxfId="141" priority="30" operator="equal">
      <formula>"Extremo"</formula>
    </cfRule>
    <cfRule type="cellIs" dxfId="140" priority="33" operator="equal">
      <formula>"Bajo"</formula>
    </cfRule>
    <cfRule type="cellIs" dxfId="139" priority="32" operator="equal">
      <formula>"Moderado"</formula>
    </cfRule>
  </conditionalFormatting>
  <conditionalFormatting sqref="U31">
    <cfRule type="cellIs" dxfId="138" priority="24" operator="equal">
      <formula>"Bajo"</formula>
    </cfRule>
    <cfRule type="cellIs" dxfId="137" priority="23" operator="equal">
      <formula>"Moderado"</formula>
    </cfRule>
    <cfRule type="cellIs" dxfId="136" priority="22" operator="equal">
      <formula>"Alto"</formula>
    </cfRule>
    <cfRule type="cellIs" dxfId="135" priority="21" operator="equal">
      <formula>"Extremo"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7">
        <x14:dataValidation type="custom" allowBlank="1" showInputMessage="1" showErrorMessage="1" error="Recuerde que las acciones se generan bajo la medida de mitigar el riesgo" xr:uid="{84B27108-F498-43DE-987A-CDC54D8E010F}">
          <x14:formula1>
            <xm:f>IF(OR(#REF!=Listas!$B$4,#REF!=Listas!$B$5,#REF!=Listas!$B$6),ISBLANK(#REF!),ISTEXT(#REF!))</xm:f>
          </x14:formula1>
          <xm:sqref>AS31:AU31 AS25:AU25 AS19:AU19</xm:sqref>
        </x14:dataValidation>
        <x14:dataValidation type="list" allowBlank="1" showInputMessage="1" showErrorMessage="1" xr:uid="{107436C8-662C-45FD-ACF7-DE2B4D910B05}">
          <x14:formula1>
            <xm:f>'Intructivo control cambio'!$C$294:$C$308</xm:f>
          </x14:formula1>
          <xm:sqref>V6:Y6</xm:sqref>
        </x14:dataValidation>
        <x14:dataValidation type="list" allowBlank="1" showInputMessage="1" showErrorMessage="1" xr:uid="{8FA6946F-23C4-4DA6-8E04-A78CEF976F33}">
          <x14:formula1>
            <xm:f>'Intructivo control cambio'!$C$294:$C$318</xm:f>
          </x14:formula1>
          <xm:sqref>C6:U6</xm:sqref>
        </x14:dataValidation>
        <x14:dataValidation type="list" allowBlank="1" showInputMessage="1" showErrorMessage="1" xr:uid="{3EF9CA8D-9FE7-4D61-B0CD-6193F7AEE946}">
          <x14:formula1>
            <xm:f>Listas!$L$4:$L$9</xm:f>
          </x14:formula1>
          <xm:sqref>M13:M18</xm:sqref>
        </x14:dataValidation>
        <x14:dataValidation type="list" allowBlank="1" showInputMessage="1" showErrorMessage="1" xr:uid="{B46B301F-FFE5-4596-8AB5-BA62CA311A42}">
          <x14:formula1>
            <xm:f>Listas!$H$4:$H$8</xm:f>
          </x14:formula1>
          <xm:sqref>X15:X36</xm:sqref>
        </x14:dataValidation>
        <x14:dataValidation type="list" allowBlank="1" showInputMessage="1" showErrorMessage="1" xr:uid="{77C02520-14F0-4D04-AFC3-D0B7C6C53D81}">
          <x14:formula1>
            <xm:f>Listas!$H$11:$H$21</xm:f>
          </x14:formula1>
          <xm:sqref>L13:L36</xm:sqref>
        </x14:dataValidation>
        <x14:dataValidation type="list" allowBlank="1" showInputMessage="1" showErrorMessage="1" xr:uid="{FBA03646-58D3-4BDE-8952-49EE1CDD90E3}">
          <x14:formula1>
            <xm:f>Listas!$F$11:$F$12</xm:f>
          </x14:formula1>
          <xm:sqref>H13:H36</xm:sqref>
        </x14:dataValidation>
        <x14:dataValidation type="list" allowBlank="1" showInputMessage="1" showErrorMessage="1" xr:uid="{0D995AC9-1C88-4954-B726-2A2FF299AD63}">
          <x14:formula1>
            <xm:f>'Tabla Impacto'!$F$234:$F$237</xm:f>
          </x14:formula1>
          <xm:sqref>Q13:Q36</xm:sqref>
        </x14:dataValidation>
        <x14:dataValidation type="list" allowBlank="1" showInputMessage="1" showErrorMessage="1" xr:uid="{D7DA3013-0D72-49F2-B977-45085651F21C}">
          <x14:formula1>
            <xm:f>Listas!$E$2:$E$3</xm:f>
          </x14:formula1>
          <xm:sqref>B13:B36</xm:sqref>
        </x14:dataValidation>
        <x14:dataValidation type="list" allowBlank="1" showInputMessage="1" showErrorMessage="1" xr:uid="{8D7DAF6D-C012-4AAF-9CB1-350DAB9FF672}">
          <x14:formula1>
            <xm:f>'Tabla Valoración controles'!$D$13:$D$14</xm:f>
          </x14:formula1>
          <xm:sqref>AG13:AG36</xm:sqref>
        </x14:dataValidation>
        <x14:dataValidation type="list" allowBlank="1" showInputMessage="1" showErrorMessage="1" xr:uid="{14B50CD6-C4CE-4F2D-8B77-A1A91FD9B093}">
          <x14:formula1>
            <xm:f>'Tabla Valoración controles'!$D$11:$D$12</xm:f>
          </x14:formula1>
          <xm:sqref>AF13:AF36</xm:sqref>
        </x14:dataValidation>
        <x14:dataValidation type="list" allowBlank="1" showInputMessage="1" showErrorMessage="1" xr:uid="{5A117ADD-CDFC-460E-988D-F78947685704}">
          <x14:formula1>
            <xm:f>'Tabla Valoración controles'!$D$9:$D$10</xm:f>
          </x14:formula1>
          <xm:sqref>AE13:AE36</xm:sqref>
        </x14:dataValidation>
        <x14:dataValidation type="list" allowBlank="1" showInputMessage="1" showErrorMessage="1" xr:uid="{99089856-92C5-471E-B28D-0D4569716657}">
          <x14:formula1>
            <xm:f>'Tabla Valoración controles'!$D$7:$D$8</xm:f>
          </x14:formula1>
          <xm:sqref>AC13:AC36</xm:sqref>
        </x14:dataValidation>
        <x14:dataValidation type="list" allowBlank="1" showInputMessage="1" showErrorMessage="1" xr:uid="{1B83E923-209C-4B51-A6C3-EBF5F881B648}">
          <x14:formula1>
            <xm:f>'Tabla Valoración controles'!$D$4:$D$5</xm:f>
          </x14:formula1>
          <xm:sqref>AB13:AB36</xm:sqref>
        </x14:dataValidation>
        <x14:dataValidation type="list" allowBlank="1" showInputMessage="1" showErrorMessage="1" xr:uid="{15A44285-36CD-44E3-8846-A9F0C7A02BD7}">
          <x14:formula1>
            <xm:f>Listas!$B$21:$B$24</xm:f>
          </x14:formula1>
          <xm:sqref>G13:G36</xm:sqref>
        </x14:dataValidation>
        <x14:dataValidation type="list" allowBlank="1" showInputMessage="1" showErrorMessage="1" xr:uid="{C8E138F5-55A7-466B-86AC-64030E0B2BAB}">
          <x14:formula1>
            <xm:f>Listas!$L$5:$L$9</xm:f>
          </x14:formula1>
          <xm:sqref>M19:M36</xm:sqref>
        </x14:dataValidation>
        <x14:dataValidation type="list" allowBlank="1" showInputMessage="1" showErrorMessage="1" xr:uid="{B5B005FC-2D04-4159-857E-E43997AEBAC7}">
          <x14:formula1>
            <xm:f>Listas!$B$4:$B$7</xm:f>
          </x14:formula1>
          <xm:sqref>AN13:AN36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B1:H30"/>
  <sheetViews>
    <sheetView topLeftCell="A18" zoomScaleNormal="100" zoomScaleSheetLayoutView="90" workbookViewId="0">
      <selection activeCell="B27" sqref="B27:D27"/>
    </sheetView>
  </sheetViews>
  <sheetFormatPr baseColWidth="10" defaultColWidth="11.42578125" defaultRowHeight="14.25" x14ac:dyDescent="0.25"/>
  <cols>
    <col min="1" max="1" width="2.140625" style="145" customWidth="1"/>
    <col min="2" max="2" width="11.42578125" style="145"/>
    <col min="3" max="3" width="34.28515625" style="145" customWidth="1"/>
    <col min="4" max="4" width="36.42578125" style="145" customWidth="1"/>
    <col min="5" max="6" width="13.85546875" style="145" customWidth="1"/>
    <col min="7" max="7" width="1.28515625" style="145" customWidth="1"/>
    <col min="8" max="16384" width="11.42578125" style="145"/>
  </cols>
  <sheetData>
    <row r="1" spans="2:6" ht="11.25" customHeight="1" thickBot="1" x14ac:dyDescent="0.3"/>
    <row r="2" spans="2:6" ht="18.75" customHeight="1" thickBot="1" x14ac:dyDescent="0.3">
      <c r="B2" s="732" t="s">
        <v>513</v>
      </c>
      <c r="C2" s="733"/>
      <c r="D2" s="733"/>
      <c r="E2" s="733"/>
      <c r="F2" s="734"/>
    </row>
    <row r="3" spans="2:6" ht="31.9" customHeight="1" x14ac:dyDescent="0.25">
      <c r="B3" s="735" t="s">
        <v>514</v>
      </c>
      <c r="C3" s="737" t="s">
        <v>515</v>
      </c>
      <c r="D3" s="737"/>
      <c r="E3" s="737" t="s">
        <v>516</v>
      </c>
      <c r="F3" s="739"/>
    </row>
    <row r="4" spans="2:6" ht="28.15" customHeight="1" thickBot="1" x14ac:dyDescent="0.3">
      <c r="B4" s="736"/>
      <c r="C4" s="738"/>
      <c r="D4" s="738"/>
      <c r="E4" s="150" t="s">
        <v>517</v>
      </c>
      <c r="F4" s="151" t="s">
        <v>518</v>
      </c>
    </row>
    <row r="5" spans="2:6" ht="23.25" customHeight="1" x14ac:dyDescent="0.25">
      <c r="B5" s="146">
        <v>1</v>
      </c>
      <c r="C5" s="740" t="s">
        <v>519</v>
      </c>
      <c r="D5" s="740"/>
      <c r="E5" s="168" t="s">
        <v>719</v>
      </c>
      <c r="F5" s="169"/>
    </row>
    <row r="6" spans="2:6" ht="33" customHeight="1" x14ac:dyDescent="0.25">
      <c r="B6" s="147">
        <v>2</v>
      </c>
      <c r="C6" s="729" t="s">
        <v>520</v>
      </c>
      <c r="D6" s="729"/>
      <c r="E6" s="170"/>
      <c r="F6" s="171"/>
    </row>
    <row r="7" spans="2:6" ht="39" customHeight="1" x14ac:dyDescent="0.25">
      <c r="B7" s="147">
        <v>3</v>
      </c>
      <c r="C7" s="729" t="s">
        <v>521</v>
      </c>
      <c r="D7" s="729"/>
      <c r="E7" s="170" t="s">
        <v>719</v>
      </c>
      <c r="F7" s="171"/>
    </row>
    <row r="8" spans="2:6" ht="24.75" customHeight="1" x14ac:dyDescent="0.25">
      <c r="B8" s="147">
        <v>4</v>
      </c>
      <c r="C8" s="729" t="s">
        <v>522</v>
      </c>
      <c r="D8" s="729"/>
      <c r="E8" s="170" t="s">
        <v>719</v>
      </c>
      <c r="F8" s="171"/>
    </row>
    <row r="9" spans="2:6" ht="23.25" customHeight="1" x14ac:dyDescent="0.25">
      <c r="B9" s="147">
        <v>5</v>
      </c>
      <c r="C9" s="729" t="s">
        <v>523</v>
      </c>
      <c r="D9" s="729"/>
      <c r="E9" s="170"/>
      <c r="F9" s="171"/>
    </row>
    <row r="10" spans="2:6" ht="23.25" customHeight="1" x14ac:dyDescent="0.25">
      <c r="B10" s="147">
        <v>6</v>
      </c>
      <c r="C10" s="729" t="s">
        <v>524</v>
      </c>
      <c r="D10" s="729"/>
      <c r="E10" s="170" t="s">
        <v>719</v>
      </c>
      <c r="F10" s="171"/>
    </row>
    <row r="11" spans="2:6" ht="23.25" customHeight="1" x14ac:dyDescent="0.25">
      <c r="B11" s="147">
        <v>7</v>
      </c>
      <c r="C11" s="729" t="s">
        <v>525</v>
      </c>
      <c r="D11" s="729"/>
      <c r="E11" s="170"/>
      <c r="F11" s="171"/>
    </row>
    <row r="12" spans="2:6" ht="25.5" customHeight="1" x14ac:dyDescent="0.25">
      <c r="B12" s="147">
        <v>8</v>
      </c>
      <c r="C12" s="729" t="s">
        <v>526</v>
      </c>
      <c r="D12" s="729"/>
      <c r="E12" s="148"/>
      <c r="F12" s="149"/>
    </row>
    <row r="13" spans="2:6" ht="23.25" customHeight="1" x14ac:dyDescent="0.25">
      <c r="B13" s="147">
        <v>9</v>
      </c>
      <c r="C13" s="729" t="s">
        <v>527</v>
      </c>
      <c r="D13" s="729"/>
      <c r="E13" s="148"/>
      <c r="F13" s="149"/>
    </row>
    <row r="14" spans="2:6" ht="23.25" customHeight="1" x14ac:dyDescent="0.25">
      <c r="B14" s="147">
        <v>10</v>
      </c>
      <c r="C14" s="729" t="s">
        <v>528</v>
      </c>
      <c r="D14" s="729"/>
      <c r="E14" s="148"/>
      <c r="F14" s="149"/>
    </row>
    <row r="15" spans="2:6" ht="23.25" customHeight="1" x14ac:dyDescent="0.25">
      <c r="B15" s="147">
        <v>11</v>
      </c>
      <c r="C15" s="729" t="s">
        <v>529</v>
      </c>
      <c r="D15" s="729"/>
      <c r="E15" s="148" t="s">
        <v>719</v>
      </c>
      <c r="F15" s="149"/>
    </row>
    <row r="16" spans="2:6" ht="23.25" customHeight="1" x14ac:dyDescent="0.25">
      <c r="B16" s="147">
        <v>12</v>
      </c>
      <c r="C16" s="729" t="s">
        <v>530</v>
      </c>
      <c r="D16" s="729"/>
      <c r="E16" s="148"/>
      <c r="F16" s="149"/>
    </row>
    <row r="17" spans="2:8" ht="23.25" customHeight="1" x14ac:dyDescent="0.25">
      <c r="B17" s="147">
        <v>13</v>
      </c>
      <c r="C17" s="729" t="s">
        <v>531</v>
      </c>
      <c r="D17" s="729"/>
      <c r="E17" s="148"/>
      <c r="F17" s="149"/>
    </row>
    <row r="18" spans="2:8" ht="23.25" customHeight="1" x14ac:dyDescent="0.25">
      <c r="B18" s="147">
        <v>14</v>
      </c>
      <c r="C18" s="729" t="s">
        <v>532</v>
      </c>
      <c r="D18" s="729"/>
      <c r="E18" s="148" t="s">
        <v>719</v>
      </c>
      <c r="F18" s="149"/>
    </row>
    <row r="19" spans="2:8" ht="23.25" customHeight="1" x14ac:dyDescent="0.25">
      <c r="B19" s="147">
        <v>15</v>
      </c>
      <c r="C19" s="729" t="s">
        <v>533</v>
      </c>
      <c r="D19" s="729"/>
      <c r="E19" s="148"/>
      <c r="F19" s="149"/>
    </row>
    <row r="20" spans="2:8" ht="23.25" customHeight="1" x14ac:dyDescent="0.25">
      <c r="B20" s="147">
        <v>16</v>
      </c>
      <c r="C20" s="729" t="s">
        <v>534</v>
      </c>
      <c r="D20" s="729"/>
      <c r="E20" s="148"/>
      <c r="F20" s="149"/>
    </row>
    <row r="21" spans="2:8" ht="23.25" customHeight="1" x14ac:dyDescent="0.25">
      <c r="B21" s="147">
        <v>17</v>
      </c>
      <c r="C21" s="729" t="s">
        <v>535</v>
      </c>
      <c r="D21" s="729"/>
      <c r="E21" s="148"/>
      <c r="F21" s="149"/>
    </row>
    <row r="22" spans="2:8" ht="23.25" customHeight="1" x14ac:dyDescent="0.25">
      <c r="B22" s="147">
        <v>18</v>
      </c>
      <c r="C22" s="730" t="s">
        <v>536</v>
      </c>
      <c r="D22" s="730"/>
      <c r="E22" s="148"/>
      <c r="F22" s="149"/>
    </row>
    <row r="23" spans="2:8" ht="23.25" customHeight="1" thickBot="1" x14ac:dyDescent="0.3">
      <c r="B23" s="147">
        <v>19</v>
      </c>
      <c r="C23" s="729" t="s">
        <v>537</v>
      </c>
      <c r="D23" s="729"/>
      <c r="E23" s="148"/>
      <c r="F23" s="149"/>
    </row>
    <row r="24" spans="2:8" ht="15.75" customHeight="1" thickBot="1" x14ac:dyDescent="0.3">
      <c r="B24" s="731" t="s">
        <v>538</v>
      </c>
      <c r="C24" s="727"/>
      <c r="D24" s="727"/>
      <c r="E24" s="727">
        <f>COUNTIF(E5:E23,"X")</f>
        <v>6</v>
      </c>
      <c r="F24" s="728"/>
    </row>
    <row r="25" spans="2:8" ht="15.75" customHeight="1" thickBot="1" x14ac:dyDescent="0.3">
      <c r="B25" s="247"/>
      <c r="C25" s="247"/>
      <c r="D25" s="247"/>
      <c r="E25" s="247"/>
      <c r="F25" s="247"/>
    </row>
    <row r="26" spans="2:8" ht="24" customHeight="1" x14ac:dyDescent="0.2">
      <c r="B26" s="723" t="s">
        <v>539</v>
      </c>
      <c r="C26" s="723"/>
      <c r="D26" s="723"/>
      <c r="E26" s="725" t="s">
        <v>540</v>
      </c>
      <c r="F26" s="725"/>
      <c r="H26" s="112" t="s">
        <v>476</v>
      </c>
    </row>
    <row r="27" spans="2:8" ht="24" customHeight="1" x14ac:dyDescent="0.2">
      <c r="B27" s="724" t="s">
        <v>541</v>
      </c>
      <c r="C27" s="724"/>
      <c r="D27" s="724"/>
      <c r="E27" s="726"/>
      <c r="F27" s="726"/>
      <c r="H27" s="112" t="s">
        <v>512</v>
      </c>
    </row>
    <row r="28" spans="2:8" ht="24" customHeight="1" x14ac:dyDescent="0.2">
      <c r="B28" s="246" t="s">
        <v>542</v>
      </c>
      <c r="C28" s="245"/>
      <c r="D28" s="245"/>
      <c r="E28" s="726"/>
      <c r="F28" s="726"/>
      <c r="H28" s="112" t="s">
        <v>543</v>
      </c>
    </row>
    <row r="29" spans="2:8" x14ac:dyDescent="0.25">
      <c r="B29" s="231"/>
    </row>
    <row r="30" spans="2:8" x14ac:dyDescent="0.25">
      <c r="B30" s="231"/>
    </row>
  </sheetData>
  <mergeCells count="28">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B26:D26"/>
    <mergeCell ref="B27:D27"/>
    <mergeCell ref="E26:F28"/>
    <mergeCell ref="E24:F24"/>
    <mergeCell ref="C19:D19"/>
    <mergeCell ref="C20:D20"/>
    <mergeCell ref="C21:D21"/>
    <mergeCell ref="C22:D22"/>
    <mergeCell ref="C23:D23"/>
    <mergeCell ref="B24:D24"/>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3.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11</vt:i4>
      </vt:variant>
    </vt:vector>
  </HeadingPairs>
  <TitlesOfParts>
    <vt:vector size="30" baseType="lpstr">
      <vt:lpstr>Intructivo control cambio</vt:lpstr>
      <vt:lpstr>Revisión DOFA</vt:lpstr>
      <vt:lpstr>Listas</vt:lpstr>
      <vt:lpstr>Riesgos de Gestión</vt:lpstr>
      <vt:lpstr>Matriz Calor Inherente</vt:lpstr>
      <vt:lpstr>Matriz Calor Residual</vt:lpstr>
      <vt:lpstr>Riesgos Fiscales</vt:lpstr>
      <vt:lpstr>Riesgos de Corrupción</vt:lpstr>
      <vt:lpstr>Impacto Corrupción </vt:lpstr>
      <vt:lpstr>Riesgos de Seguridad </vt:lpstr>
      <vt:lpstr>Riesgos de LA FT </vt:lpstr>
      <vt:lpstr>Impacto LA-FT</vt:lpstr>
      <vt:lpstr>Tabla Impacto</vt:lpstr>
      <vt:lpstr>Tabla probabilidad</vt:lpstr>
      <vt:lpstr>Clasificación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LA FT '!Área_de_impresión</vt:lpstr>
      <vt:lpstr>'Riesgos de Seguridad '!Área_de_impresión</vt:lpstr>
      <vt:lpstr>'Riesgos Fiscales'!Área_de_impresión</vt:lpstr>
      <vt:lpstr>'Riesgos de Corrupción'!Títulos_a_imprimir</vt:lpstr>
      <vt:lpstr>'Riesgos de Gestión'!Títulos_a_imprimir</vt:lpstr>
      <vt:lpstr>'Riesgos de LA FT '!Títulos_a_imprimir</vt:lpstr>
      <vt:lpstr>'Riesgos de Seguridad '!Títulos_a_imprimir</vt:lpstr>
      <vt:lpstr>'Riesgos Fiscales'!Títulos_a_imprimir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2025-01-21T21:38:24Z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