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aermv-my.sharepoint.com/personal/christian_medina_umv_gov_co/Documents/2024/Febrero 2024/MIPG-Documentación/Revisión documental/GLAB/"/>
    </mc:Choice>
  </mc:AlternateContent>
  <xr:revisionPtr revIDLastSave="2" documentId="11_1C4BAB3E3D551E6E9641D5B90CF45977EB8DD3DD" xr6:coauthVersionLast="47" xr6:coauthVersionMax="47" xr10:uidLastSave="{F77D60D7-B6E6-458F-B0CB-5E96700CE101}"/>
  <bookViews>
    <workbookView xWindow="30" yWindow="0" windowWidth="20460" windowHeight="10920" tabRatio="540" firstSheet="4" activeTab="4" xr2:uid="{00000000-000D-0000-FFFF-FFFF00000000}"/>
  </bookViews>
  <sheets>
    <sheet name="Resumen" sheetId="40" state="hidden" r:id="rId1"/>
    <sheet name="732" sheetId="42" state="hidden" r:id="rId2"/>
    <sheet name="782" sheetId="41" state="hidden" r:id="rId3"/>
    <sheet name="733 - 735" sheetId="51" state="hidden" r:id="rId4"/>
    <sheet name="GLAB-FM-099" sheetId="52" r:id="rId5"/>
    <sheet name="TSR" sheetId="54" state="hidden" r:id="rId6"/>
    <sheet name="firmas" sheetId="37" state="hidden" r:id="rId7"/>
    <sheet name="Hoja1" sheetId="36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_123Graph_A" hidden="1">[1]AIU!$D$338:$D$357</definedName>
    <definedName name="__123Graph_Acaja" hidden="1">[1]EVA!$D$39:$AD$39</definedName>
    <definedName name="__123Graph_ACart_AnticAdic" hidden="1">[1]EVA!$F$95:$I$95</definedName>
    <definedName name="__123Graph_AFACTURAC" hidden="1">[1]Program!$B$120:$Y$120</definedName>
    <definedName name="__123Graph_AGraph2" hidden="1">[1]AIU!$D$338:$D$357</definedName>
    <definedName name="__123Graph_Bcaja" hidden="1">[1]EVA!$D$56:$AD$56</definedName>
    <definedName name="__123Graph_BCart_AnticAdic" hidden="1">[1]EVA!$F$96:$I$96</definedName>
    <definedName name="__123Graph_Ccaja" hidden="1">[1]EVA!$D$58:$AD$58</definedName>
    <definedName name="__123Graph_CCart_AnticAdic" hidden="1">[1]EVA!$F$97:$I$97</definedName>
    <definedName name="__123Graph_Dcaja" hidden="1">[1]EVA!$D$61:$AD$61</definedName>
    <definedName name="__123Graph_DCart_AnticAdic" hidden="1">[1]EVA!$F$99:$I$99</definedName>
    <definedName name="__123Graph_ECart_AnticAdic" hidden="1">[1]EVA!$F$99:$I$99</definedName>
    <definedName name="__123Graph_LBL_ACart_AnticAdic" hidden="1">[1]EVA!$J$95:$K$95</definedName>
    <definedName name="__123Graph_LBL_Ccaja" hidden="1">[1]EVA!$D$58:$AD$58</definedName>
    <definedName name="__123Graph_LBL_DCart_AnticAdic" hidden="1">[1]EVA!$F$98:$I$98</definedName>
    <definedName name="__123Graph_X" hidden="1">[1]AIU!$C$338:$C$357</definedName>
    <definedName name="__123Graph_Xcaja" hidden="1">[1]EVA!$D$6:$AD$6</definedName>
    <definedName name="_1__123Graph_ACart_Utilidad" hidden="1">[1]EVA!$F$104:$I$104</definedName>
    <definedName name="_2__123Graph_BCart_Utilidad" hidden="1">[1]EVA!$F$105:$I$105</definedName>
    <definedName name="_3__123Graph_CCart_Utilidad" hidden="1">[1]EVA!$F$106:$I$106</definedName>
    <definedName name="_4__123Graph_LBL_ACart_Utilidad" hidden="1">[1]EVA!$F$109:$I$109</definedName>
    <definedName name="_5__123Graph_LBL_BCart_Utilidad" hidden="1">[1]EVA!$F$110:$I$110</definedName>
    <definedName name="_6__123Graph_LBL_CCart_Utilidad" hidden="1">[1]EVA!$F$111:$I$111</definedName>
    <definedName name="_7__123Graph_XCart_Utilidad" hidden="1">[1]EVA!$F$103:$I$103</definedName>
    <definedName name="_Fill" localSheetId="1" hidden="1">#REF!</definedName>
    <definedName name="_Fill" localSheetId="3" hidden="1">#REF!</definedName>
    <definedName name="_Fill" localSheetId="2" hidden="1">#REF!</definedName>
    <definedName name="_Fill" localSheetId="4" hidden="1">#REF!</definedName>
    <definedName name="_Fill" localSheetId="0" hidden="1">#REF!</definedName>
    <definedName name="_Fill" localSheetId="5" hidden="1">#REF!</definedName>
    <definedName name="_Fill" hidden="1">#REF!</definedName>
    <definedName name="_Key1" localSheetId="1" hidden="1">[2]OCTUBRE!#REF!</definedName>
    <definedName name="_Key1" localSheetId="3" hidden="1">[2]OCTUBRE!#REF!</definedName>
    <definedName name="_Key1" localSheetId="2" hidden="1">[2]OCTUBRE!#REF!</definedName>
    <definedName name="_Key1" localSheetId="4" hidden="1">[2]OCTUBRE!#REF!</definedName>
    <definedName name="_Key1" localSheetId="0" hidden="1">[2]OCTUBRE!#REF!</definedName>
    <definedName name="_Key1" localSheetId="5" hidden="1">[3]OCTUBRE!#REF!</definedName>
    <definedName name="_Key1" hidden="1">[2]OCTUBRE!#REF!</definedName>
    <definedName name="_Order1" hidden="1">255</definedName>
    <definedName name="_Order2" hidden="1">255</definedName>
    <definedName name="_Regression_Out" localSheetId="1" hidden="1">[4]L!#REF!</definedName>
    <definedName name="_Regression_Out" localSheetId="3" hidden="1">[4]L!#REF!</definedName>
    <definedName name="_Regression_Out" localSheetId="2" hidden="1">[4]L!#REF!</definedName>
    <definedName name="_Regression_Out" localSheetId="4" hidden="1">[4]L!#REF!</definedName>
    <definedName name="_Regression_Out" localSheetId="0" hidden="1">[4]L!#REF!</definedName>
    <definedName name="_Regression_Out" localSheetId="5" hidden="1">[4]L!#REF!</definedName>
    <definedName name="_Regression_Out" hidden="1">[4]L!#REF!</definedName>
    <definedName name="_Regression_X" localSheetId="1" hidden="1">#REF!</definedName>
    <definedName name="_Regression_X" localSheetId="3" hidden="1">#REF!</definedName>
    <definedName name="_Regression_X" localSheetId="2" hidden="1">#REF!</definedName>
    <definedName name="_Regression_X" localSheetId="4" hidden="1">#REF!</definedName>
    <definedName name="_Regression_X" localSheetId="0" hidden="1">#REF!</definedName>
    <definedName name="_Regression_X" localSheetId="5" hidden="1">#REF!</definedName>
    <definedName name="_Regression_X" hidden="1">#REF!</definedName>
    <definedName name="_Regression_Y" localSheetId="1" hidden="1">#REF!</definedName>
    <definedName name="_Regression_Y" localSheetId="3" hidden="1">#REF!</definedName>
    <definedName name="_Regression_Y" localSheetId="2" hidden="1">#REF!</definedName>
    <definedName name="_Regression_Y" localSheetId="4" hidden="1">#REF!</definedName>
    <definedName name="_Regression_Y" localSheetId="0" hidden="1">#REF!</definedName>
    <definedName name="_Regression_Y" localSheetId="5" hidden="1">#REF!</definedName>
    <definedName name="_Regression_Y" hidden="1">#REF!</definedName>
    <definedName name="_Sort" localSheetId="1" hidden="1">[2]OCTUBRE!#REF!</definedName>
    <definedName name="_Sort" localSheetId="3" hidden="1">[2]OCTUBRE!#REF!</definedName>
    <definedName name="_Sort" localSheetId="2" hidden="1">[2]OCTUBRE!#REF!</definedName>
    <definedName name="_Sort" localSheetId="4" hidden="1">[2]OCTUBRE!#REF!</definedName>
    <definedName name="_Sort" localSheetId="0" hidden="1">[2]OCTUBRE!#REF!</definedName>
    <definedName name="_Sort" localSheetId="5" hidden="1">[3]OCTUBRE!#REF!</definedName>
    <definedName name="_Sort" hidden="1">[2]OCTUBRE!#REF!</definedName>
    <definedName name="aprobofirmas" localSheetId="1">INDEX(firmas!$C$39:$C$41,MATCH(#REF!,firmas!$A$39:$A$41,0))</definedName>
    <definedName name="aprobofirmas" localSheetId="3">INDEX([5]firmas!$C$34:$C$36,MATCH([5]TSR!$V$51,[5]firmas!$A$34:$A$36,0))</definedName>
    <definedName name="aprobofirmas" localSheetId="2">INDEX(firmas!$C$39:$C$41,MATCH(#REF!,firmas!$A$39:$A$41,0))</definedName>
    <definedName name="aprobofirmas" localSheetId="4">INDEX([6]firmas!$C$34:$C$36,MATCH([6]TSR!$V$51,[6]firmas!$A$34:$A$36,0))</definedName>
    <definedName name="aprobofirmas" localSheetId="0">INDEX(firmas!$C$39:$C$41,MATCH(Resumen!$I$37,firmas!$A$39:$A$41,0))</definedName>
    <definedName name="aprobofirmas" localSheetId="5">INDEX(firmas!$C$39:$C$41,MATCH(TSR!$P$51,firmas!$A$39:$A$41,0))</definedName>
    <definedName name="aprobofirmas">INDEX(firmas!$C$39:$C$41,MATCH(#REF!,firmas!$A$39:$A$41,0))</definedName>
    <definedName name="aprobofirmas1" localSheetId="1">INDEX(firmas!$C$39:$C$41,MATCH('732'!$I$24,firmas!$A$39:$A$41,0))</definedName>
    <definedName name="aprobofirmas1" localSheetId="3">INDEX(firmas!$C$39:$C$41,MATCH('733 - 735'!$I$35:$O$35,firmas!$A$39:$A$41,0))</definedName>
    <definedName name="aprobofirmas1" localSheetId="0">INDEX(firmas!$C$39:$C$41,MATCH(Resumen!$I$37,firmas!$A$39:$A$41,0))</definedName>
    <definedName name="aprobofirmas1" localSheetId="5">INDEX([7]firmas!$C$36:$C$38,MATCH('[7]733 - 735'!$I$35:$O$35,[7]firmas!$A$36:$A$38,0))</definedName>
    <definedName name="aprobofirmas1">INDEX(firmas!$C$39:$C$41,MATCH('733 - 735'!$I$35:$O$35,firmas!$A$39:$A$41,0))</definedName>
    <definedName name="aprobofirmas748" localSheetId="4">INDEX(firmas!$C$39:$C$41,MATCH('GLAB-FM-099'!#REF!,firmas!$A$39:$A$41,0))</definedName>
    <definedName name="aprobofirmas782" localSheetId="2">INDEX(firmas!$C$39:$C$41,MATCH('782'!$I$56,firmas!$A$39:$A$41,0))</definedName>
    <definedName name="aprobonombres" localSheetId="1">firmas!$A$39:$A$41</definedName>
    <definedName name="aprobonombres" localSheetId="3">[5]firmas!$A$34:$A$36</definedName>
    <definedName name="aprobonombres" localSheetId="2">firmas!$A$39:$A$41</definedName>
    <definedName name="aprobonombres" localSheetId="4">[6]firmas!$A$34:$A$36</definedName>
    <definedName name="aprobonombres" localSheetId="0">firmas!$A$39:$A$41</definedName>
    <definedName name="aprobonombres" localSheetId="5">[7]firmas!$A$36:$A$38</definedName>
    <definedName name="aprobonombres">firmas!$A$39:$A$41</definedName>
    <definedName name="_xlnm.Print_Area" localSheetId="1">'732'!$A$1:$O$28</definedName>
    <definedName name="_xlnm.Print_Area" localSheetId="3">'733 - 735'!$A$1:$O$39</definedName>
    <definedName name="_xlnm.Print_Area" localSheetId="2">'782'!$A$1:$O$60</definedName>
    <definedName name="_xlnm.Print_Area" localSheetId="4">'GLAB-FM-099'!$A$1:$P$47</definedName>
    <definedName name="_xlnm.Print_Area" localSheetId="0">Resumen!$A$1:$O$40</definedName>
    <definedName name="_xlnm.Print_Area" localSheetId="5">TSR!$A$1:$AC$55</definedName>
    <definedName name="elaborofirmas" localSheetId="1">INDEX(firmas!$C$3:$C$32,MATCH(#REF!,firmas!$A$3:$A$32,0))</definedName>
    <definedName name="elaborofirmas" localSheetId="3">INDEX([5]firmas!$C$3:$C$27,MATCH([5]TSR!$F$51,[5]firmas!$A$3:$A$27,0))</definedName>
    <definedName name="elaborofirmas" localSheetId="2">INDEX(firmas!$C$3:$C$32,MATCH(#REF!,firmas!$A$3:$A$32,0))</definedName>
    <definedName name="elaborofirmas" localSheetId="4">INDEX([6]firmas!$C$3:$C$27,MATCH([6]TSR!$F$51,[6]firmas!$A$3:$A$27,0))</definedName>
    <definedName name="elaborofirmas" localSheetId="0">INDEX(firmas!$C$3:$C$32,MATCH(#REF!,firmas!$A$3:$A$32,0))</definedName>
    <definedName name="elaborofirmas" localSheetId="5">INDEX([7]firmas!$C$3:$C$29,MATCH(TSR!#REF!,[7]firmas!$A$3:$A$29,0))</definedName>
    <definedName name="elaborofirmas">INDEX(firmas!$C$3:$C$32,MATCH(#REF!,firmas!$A$3:$A$32,0))</definedName>
    <definedName name="elaborofirmas1" localSheetId="1">INDEX(firmas!$C$3:$C$32,MATCH('732'!$A$24:$H$24,firmas!$A$3:$A$32,0))</definedName>
    <definedName name="elaborofirmas1" localSheetId="3">INDEX(firmas!$C$3:$C$32,MATCH('733 - 735'!$D$35:$G$35,firmas!$A$3:$A$32,0))</definedName>
    <definedName name="elaborofirmas1" localSheetId="2">INDEX(firmas!$C$3:$C$32,MATCH('782'!$E$56:$G$56,firmas!$A$3:$A$32,0))</definedName>
    <definedName name="elaborofirmas1" localSheetId="4">INDEX([6]firmas!$C$3:$C$27,MATCH('GLAB-FM-099'!#REF!,[6]firmas!$A$3:$A$27,0))</definedName>
    <definedName name="elaborofirmas1" localSheetId="0">INDEX(firmas!$C$3:$C$32,MATCH(Resumen!$E$37:$G$37,firmas!$A$3:$A$32,0))</definedName>
    <definedName name="elaborofirmas1" localSheetId="5">INDEX([7]firmas!$C$3:$C$29,MATCH(#REF!,[7]firmas!$A$3:$A$29,0))</definedName>
    <definedName name="elaborofirmas1">INDEX(firmas!$C$3:$C$32,MATCH(#REF!,firmas!$A$3:$A$32,0))</definedName>
    <definedName name="Elaboronombres" localSheetId="1">firmas!$A$3:$A$32</definedName>
    <definedName name="Elaboronombres" localSheetId="3">[5]firmas!$A$3:$A$27</definedName>
    <definedName name="Elaboronombres" localSheetId="2">firmas!$A$3:$A$32</definedName>
    <definedName name="Elaboronombres" localSheetId="4">[6]firmas!$A$3:$A$27</definedName>
    <definedName name="Elaboronombres" localSheetId="0">firmas!$A$3:$A$32</definedName>
    <definedName name="Elaboronombres">firmas!$A$3:$A$32</definedName>
    <definedName name="HTML1_1" hidden="1">"'[06Cumplimiento1996.xls]GASTOS'!$A$3:$B$16"</definedName>
    <definedName name="HTML1_10" hidden="1">""</definedName>
    <definedName name="HTML1_11" hidden="1">1</definedName>
    <definedName name="HTML1_12" hidden="1">"c:\prueba.htm"</definedName>
    <definedName name="HTML1_2" hidden="1">1</definedName>
    <definedName name="HTML1_3" hidden="1">"06Cumplimiento1996"</definedName>
    <definedName name="HTML1_4" hidden="1">"GASTOS"</definedName>
    <definedName name="HTML1_5" hidden="1">""</definedName>
    <definedName name="HTML1_6" hidden="1">-4146</definedName>
    <definedName name="HTML1_7" hidden="1">-4146</definedName>
    <definedName name="HTML1_8" hidden="1">"16/12/1996"</definedName>
    <definedName name="HTML1_9" hidden="1">"JUAN CARLOS TORO VALDERRAMA"</definedName>
    <definedName name="HTML2_1" hidden="1">"'[INDICES.XLS]INDICES I'!$A$1:$K$36"</definedName>
    <definedName name="HTML2_10" hidden="1">""</definedName>
    <definedName name="HTML2_11" hidden="1">1</definedName>
    <definedName name="HTML2_12" hidden="1">"C:\Mis documentos\INDICESI.htm"</definedName>
    <definedName name="HTML2_2" hidden="1">1</definedName>
    <definedName name="HTML2_3" hidden="1">"INDICES"</definedName>
    <definedName name="HTML2_4" hidden="1">"INDICES I"</definedName>
    <definedName name="HTML2_5" hidden="1">""</definedName>
    <definedName name="HTML2_6" hidden="1">-4146</definedName>
    <definedName name="HTML2_7" hidden="1">-4146</definedName>
    <definedName name="HTML2_8" hidden="1">"5/02/1997"</definedName>
    <definedName name="HTML2_9" hidden="1">"JUAN CARLOS TORO VALDERRAMA"</definedName>
    <definedName name="HTML3_1" hidden="1">"'[INDICES.XLS]IPC NAL'!$A$4:$B$43"</definedName>
    <definedName name="HTML3_10" hidden="1">""</definedName>
    <definedName name="HTML3_11" hidden="1">1</definedName>
    <definedName name="HTML3_12" hidden="1">"C:\Mis documentos\IPCNAL.htm"</definedName>
    <definedName name="HTML3_2" hidden="1">1</definedName>
    <definedName name="HTML3_3" hidden="1">"INDICES"</definedName>
    <definedName name="HTML3_4" hidden="1">"IPC NAL"</definedName>
    <definedName name="HTML3_5" hidden="1">""</definedName>
    <definedName name="HTML3_6" hidden="1">-4146</definedName>
    <definedName name="HTML3_7" hidden="1">-4146</definedName>
    <definedName name="HTML3_8" hidden="1">"5/02/1997"</definedName>
    <definedName name="HTML3_9" hidden="1">"JUAN CARLOS TORO VALDERRAMA"</definedName>
    <definedName name="HTML4_1" hidden="1">"'[INDICES.XLS]IPC NAL'!$A$4:$C$43"</definedName>
    <definedName name="HTML4_10" hidden="1">""</definedName>
    <definedName name="HTML4_11" hidden="1">1</definedName>
    <definedName name="HTML4_12" hidden="1">"C:\Mis documentos\IPCNAL.htm"</definedName>
    <definedName name="HTML4_2" hidden="1">1</definedName>
    <definedName name="HTML4_3" hidden="1">"INDICES"</definedName>
    <definedName name="HTML4_4" hidden="1">"IPC NAL"</definedName>
    <definedName name="HTML4_5" hidden="1">""</definedName>
    <definedName name="HTML4_6" hidden="1">-4146</definedName>
    <definedName name="HTML4_7" hidden="1">-4146</definedName>
    <definedName name="HTML4_8" hidden="1">"5/02/1997"</definedName>
    <definedName name="HTML4_9" hidden="1">"JUAN CARLOS TORO VALDERRAMA"</definedName>
    <definedName name="HTML5_1" hidden="1">"'[INDICES.XLS]INDICES I'!$A$1:$I$36"</definedName>
    <definedName name="HTML5_10" hidden="1">""</definedName>
    <definedName name="HTML5_11" hidden="1">1</definedName>
    <definedName name="HTML5_12" hidden="1">"C:\Mis documentos\INDICESI.htm"</definedName>
    <definedName name="HTML5_2" hidden="1">1</definedName>
    <definedName name="HTML5_3" hidden="1">"INDICES"</definedName>
    <definedName name="HTML5_4" hidden="1">"INDICES I"</definedName>
    <definedName name="HTML5_5" hidden="1">""</definedName>
    <definedName name="HTML5_6" hidden="1">-4146</definedName>
    <definedName name="HTML5_7" hidden="1">-4146</definedName>
    <definedName name="HTML5_8" hidden="1">"5/02/1997"</definedName>
    <definedName name="HTML5_9" hidden="1">"JUAN CARLOS TORO VALDERRAMA"</definedName>
    <definedName name="HTML6_1" hidden="1">"'[INDICES.XLS]INDICES 1'!$A$3:$K$30"</definedName>
    <definedName name="HTML6_10" hidden="1">""</definedName>
    <definedName name="HTML6_11" hidden="1">1</definedName>
    <definedName name="HTML6_12" hidden="1">"C:\Mis documentos\INDICES1.htm"</definedName>
    <definedName name="HTML6_2" hidden="1">1</definedName>
    <definedName name="HTML6_3" hidden="1">"INDICES"</definedName>
    <definedName name="HTML6_4" hidden="1">"INDICES 1"</definedName>
    <definedName name="HTML6_5" hidden="1">""</definedName>
    <definedName name="HTML6_6" hidden="1">-4146</definedName>
    <definedName name="HTML6_7" hidden="1">-4146</definedName>
    <definedName name="HTML6_8" hidden="1">"5/02/1997"</definedName>
    <definedName name="HTML6_9" hidden="1">"JUAN CARLOS TORO VALDERRAMA"</definedName>
    <definedName name="HTMLCount" hidden="1">1</definedName>
    <definedName name="KK" localSheetId="1" hidden="1">[2]OCTUBRE!#REF!</definedName>
    <definedName name="KK" localSheetId="3" hidden="1">[2]OCTUBRE!#REF!</definedName>
    <definedName name="KK" localSheetId="2" hidden="1">[2]OCTUBRE!#REF!</definedName>
    <definedName name="KK" localSheetId="4" hidden="1">[2]OCTUBRE!#REF!</definedName>
    <definedName name="KK" localSheetId="0" hidden="1">[2]OCTUBRE!#REF!</definedName>
    <definedName name="KK" localSheetId="5" hidden="1">[3]OCTUBRE!#REF!</definedName>
    <definedName name="KK" hidden="1">[2]OCTUBRE!#REF!</definedName>
    <definedName name="Ojo" localSheetId="1" hidden="1">#REF!</definedName>
    <definedName name="Ojo" localSheetId="3" hidden="1">#REF!</definedName>
    <definedName name="Ojo" localSheetId="2" hidden="1">#REF!</definedName>
    <definedName name="Ojo" localSheetId="4" hidden="1">#REF!</definedName>
    <definedName name="Ojo" localSheetId="0" hidden="1">#REF!</definedName>
    <definedName name="Ojo" localSheetId="5" hidden="1">#REF!</definedName>
    <definedName name="Ojo" hidden="1">#REF!</definedName>
    <definedName name="pendiente" localSheetId="1" hidden="1">#REF!</definedName>
    <definedName name="pendiente" localSheetId="3" hidden="1">#REF!</definedName>
    <definedName name="pendiente" localSheetId="2" hidden="1">#REF!</definedName>
    <definedName name="pendiente" localSheetId="4" hidden="1">#REF!</definedName>
    <definedName name="pendiente" localSheetId="0" hidden="1">#REF!</definedName>
    <definedName name="pendiente" localSheetId="5" hidden="1">#REF!</definedName>
    <definedName name="pendiente" hidden="1">#REF!</definedName>
    <definedName name="pruebanombres">firmas!$A$3:$A$7</definedName>
    <definedName name="revisofirmas" localSheetId="1">INDEX(firmas!$C$34:$C$37,MATCH(#REF!,firmas!$A$34:$A$36,0))</definedName>
    <definedName name="revisofirmas" localSheetId="3">INDEX([5]firmas!$C$29:$C$32,MATCH([5]TSR!$N$51,[5]firmas!$A$29:$A$32,0))</definedName>
    <definedName name="revisofirmas" localSheetId="2">INDEX(firmas!$C$34:$C$37,MATCH(#REF!,firmas!$A$34:$A$36,0))</definedName>
    <definedName name="revisofirmas" localSheetId="4">INDEX([6]firmas!$C$29:$C$32,MATCH([6]TSR!$N$51,[6]firmas!$A$29:$A$32,0))</definedName>
    <definedName name="revisofirmas" localSheetId="0">INDEX(firmas!$C$34:$C$37,MATCH(#REF!,firmas!$A$34:$A$36,0))</definedName>
    <definedName name="revisofirmas" localSheetId="5">INDEX(firmas!$C$34:$C$37,MATCH(TSR!$A$51,firmas!$A$34:$A$37,0))</definedName>
    <definedName name="revisofirmas">INDEX(firmas!$C$34:$C$37,MATCH(#REF!,firmas!$A$34:$A$36,0))</definedName>
    <definedName name="revisofirmas1" localSheetId="3">INDEX(firmas!$C$34:$C$37,MATCH('733 - 735'!$A$35:$K$35,firmas!$A$34:$A$36,0))</definedName>
    <definedName name="revisofirmas1" localSheetId="2">INDEX(firmas!$C$34:$C$37,MATCH('782'!$A$56:$D$56,firmas!$A$34:$A$36,0))</definedName>
    <definedName name="revisofirmas1" localSheetId="4">INDEX(firmas!$C$34:$C$37,MATCH('GLAB-FM-099'!#REF!,firmas!$A$34:$A$36,0))</definedName>
    <definedName name="revisofirmas1" localSheetId="0">INDEX(firmas!$C$34:$C$37,MATCH(Resumen!$A$37:$D$37,firmas!$A$34:$A$36,0))</definedName>
    <definedName name="revisofirmas1" localSheetId="5">INDEX([7]firmas!$C$31:$C$34,MATCH(#REF!,[7]firmas!$A$31:$A$34,0))</definedName>
    <definedName name="revisofirmas1">INDEX(firmas!$C$34:$C$37,MATCH(#REF!,firmas!$A$34:$A$36,0))</definedName>
    <definedName name="revisofirmas732" localSheetId="1">INDEX(firmas!$C$34:$C$37,MATCH('732'!$A$24,firmas!$A$34:$A$36,0))</definedName>
    <definedName name="revisonombres" localSheetId="1">firmas!$A$34:$A$36</definedName>
    <definedName name="revisonombres" localSheetId="3">[5]firmas!$A$29:$A$32</definedName>
    <definedName name="revisonombres" localSheetId="2">firmas!$A$34:$A$36</definedName>
    <definedName name="revisonombres" localSheetId="4">[6]firmas!$A$29:$A$32</definedName>
    <definedName name="revisonombres" localSheetId="0">firmas!$A$34:$A$36</definedName>
    <definedName name="revisonombres" localSheetId="5">[7]firmas!$A$31:$A$34</definedName>
    <definedName name="revisonombres">firmas!$A$34:$A$36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8" i="52" l="1"/>
  <c r="X11" i="54" l="1"/>
  <c r="X9" i="54"/>
  <c r="X8" i="54"/>
  <c r="X7" i="54"/>
  <c r="X6" i="54"/>
  <c r="X5" i="54"/>
  <c r="G9" i="54"/>
  <c r="G8" i="54"/>
  <c r="G7" i="54"/>
  <c r="G6" i="54"/>
  <c r="A52" i="54" l="1"/>
  <c r="P52" i="54"/>
  <c r="G10" i="54"/>
  <c r="AA41" i="54"/>
  <c r="X41" i="54"/>
  <c r="U41" i="54"/>
  <c r="R41" i="54"/>
  <c r="O41" i="54"/>
  <c r="L41" i="54"/>
  <c r="R39" i="54"/>
  <c r="O39" i="54"/>
  <c r="L39" i="54"/>
  <c r="X35" i="54"/>
  <c r="AA32" i="54"/>
  <c r="AA35" i="54" s="1"/>
  <c r="X32" i="54"/>
  <c r="U32" i="54"/>
  <c r="U35" i="54" s="1"/>
  <c r="U37" i="54" s="1"/>
  <c r="R32" i="54"/>
  <c r="R35" i="54" s="1"/>
  <c r="O32" i="54"/>
  <c r="O35" i="54" s="1"/>
  <c r="L32" i="54"/>
  <c r="L35" i="54" s="1"/>
  <c r="L37" i="54" s="1"/>
  <c r="AD31" i="54"/>
  <c r="U33" i="54" s="1"/>
  <c r="U34" i="54" s="1"/>
  <c r="U36" i="54" s="1"/>
  <c r="AH29" i="54"/>
  <c r="AF29" i="54"/>
  <c r="AD29" i="54"/>
  <c r="AA29" i="54"/>
  <c r="X29" i="54"/>
  <c r="U29" i="54"/>
  <c r="AA28" i="54"/>
  <c r="AH31" i="54" s="1"/>
  <c r="AA33" i="54" s="1"/>
  <c r="AA34" i="54" s="1"/>
  <c r="X28" i="54"/>
  <c r="AF31" i="54" s="1"/>
  <c r="X33" i="54" s="1"/>
  <c r="X34" i="54" s="1"/>
  <c r="U28" i="54"/>
  <c r="AD33" i="54" s="1"/>
  <c r="AH27" i="54"/>
  <c r="R33" i="54" s="1"/>
  <c r="R34" i="54" s="1"/>
  <c r="AF27" i="54"/>
  <c r="O33" i="54" s="1"/>
  <c r="O34" i="54" s="1"/>
  <c r="AD27" i="54"/>
  <c r="L33" i="54" s="1"/>
  <c r="L34" i="54" s="1"/>
  <c r="L36" i="54" s="1"/>
  <c r="AH23" i="54"/>
  <c r="AF23" i="54"/>
  <c r="AD23" i="54"/>
  <c r="U23" i="54"/>
  <c r="AA21" i="54"/>
  <c r="AA19" i="54"/>
  <c r="AA20" i="54" s="1"/>
  <c r="X19" i="54"/>
  <c r="X20" i="54" s="1"/>
  <c r="U19" i="54"/>
  <c r="U20" i="54" s="1"/>
  <c r="U24" i="54" s="1"/>
  <c r="R19" i="54"/>
  <c r="R20" i="54" s="1"/>
  <c r="O19" i="54"/>
  <c r="O20" i="54" s="1"/>
  <c r="L19" i="54"/>
  <c r="L23" i="54" s="1"/>
  <c r="AA18" i="54"/>
  <c r="X18" i="54"/>
  <c r="X21" i="54" s="1"/>
  <c r="U18" i="54"/>
  <c r="U21" i="54" s="1"/>
  <c r="U25" i="54" s="1"/>
  <c r="R18" i="54"/>
  <c r="R21" i="54" s="1"/>
  <c r="O18" i="54"/>
  <c r="O21" i="54" s="1"/>
  <c r="L18" i="54"/>
  <c r="L21" i="54" s="1"/>
  <c r="L25" i="54" s="1"/>
  <c r="AA14" i="54"/>
  <c r="X14" i="54"/>
  <c r="U14" i="54"/>
  <c r="R14" i="54"/>
  <c r="O14" i="54"/>
  <c r="L14" i="54"/>
  <c r="AA13" i="54"/>
  <c r="AA42" i="54" s="1"/>
  <c r="X13" i="54"/>
  <c r="X42" i="54" s="1"/>
  <c r="U13" i="54"/>
  <c r="U42" i="54" s="1"/>
  <c r="U43" i="54" s="1"/>
  <c r="R13" i="54"/>
  <c r="R42" i="54" s="1"/>
  <c r="O13" i="54"/>
  <c r="O42" i="54" s="1"/>
  <c r="L13" i="54"/>
  <c r="AD10" i="54"/>
  <c r="AD9" i="54"/>
  <c r="L42" i="54" l="1"/>
  <c r="L43" i="54" s="1"/>
  <c r="L22" i="54"/>
  <c r="L44" i="54"/>
  <c r="L45" i="54"/>
  <c r="AF33" i="54"/>
  <c r="L20" i="54"/>
  <c r="L24" i="54" s="1"/>
  <c r="U22" i="54"/>
  <c r="AH33" i="54"/>
  <c r="M23" i="41" l="1"/>
  <c r="L23" i="41"/>
  <c r="P32" i="41"/>
  <c r="P31" i="41"/>
  <c r="M25" i="41"/>
  <c r="M26" i="41"/>
  <c r="M24" i="41"/>
  <c r="L26" i="41"/>
  <c r="L25" i="41"/>
  <c r="L24" i="41"/>
  <c r="K23" i="41"/>
  <c r="E6" i="40"/>
  <c r="G5" i="54" s="1"/>
  <c r="E9" i="51"/>
  <c r="G33" i="52"/>
  <c r="E8" i="51"/>
  <c r="E8" i="41"/>
  <c r="A28" i="41" s="1"/>
  <c r="E9" i="41"/>
  <c r="M30" i="41"/>
  <c r="M31" i="41" s="1"/>
  <c r="M19" i="41"/>
  <c r="K19" i="41"/>
  <c r="Z29" i="41"/>
  <c r="O32" i="52"/>
  <c r="Z30" i="52" s="1"/>
  <c r="G18" i="41"/>
  <c r="V27" i="51" s="1"/>
  <c r="J19" i="41"/>
  <c r="V30" i="51" s="1"/>
  <c r="E29" i="41"/>
  <c r="E30" i="41"/>
  <c r="E18" i="41"/>
  <c r="V25" i="51" s="1"/>
  <c r="G30" i="41"/>
  <c r="J30" i="41"/>
  <c r="E7" i="51"/>
  <c r="G32" i="41"/>
  <c r="F32" i="41"/>
  <c r="J32" i="41"/>
  <c r="L26" i="51"/>
  <c r="E13" i="40"/>
  <c r="B14" i="41"/>
  <c r="M14" i="41" s="1"/>
  <c r="B15" i="41"/>
  <c r="M15" i="41"/>
  <c r="D14" i="41"/>
  <c r="K18" i="40"/>
  <c r="M18" i="40" s="1"/>
  <c r="C33" i="40"/>
  <c r="W6" i="52"/>
  <c r="W5" i="52"/>
  <c r="AB6" i="52"/>
  <c r="AB5" i="52"/>
  <c r="V6" i="52"/>
  <c r="Q22" i="41"/>
  <c r="R22" i="41"/>
  <c r="Q21" i="41"/>
  <c r="R21" i="41" s="1"/>
  <c r="Q20" i="41"/>
  <c r="R20" i="41"/>
  <c r="T31" i="41"/>
  <c r="U31" i="41" s="1"/>
  <c r="A25" i="42"/>
  <c r="G29" i="51"/>
  <c r="G30" i="51"/>
  <c r="B16" i="41"/>
  <c r="D16" i="41" s="1"/>
  <c r="V25" i="40"/>
  <c r="T25" i="40"/>
  <c r="X29" i="52"/>
  <c r="L27" i="51"/>
  <c r="U35" i="51"/>
  <c r="P30" i="51"/>
  <c r="C31" i="51" s="1"/>
  <c r="J15" i="51"/>
  <c r="AI22" i="52"/>
  <c r="K18" i="52"/>
  <c r="K19" i="52" s="1"/>
  <c r="K22" i="52" s="1"/>
  <c r="L24" i="51"/>
  <c r="K24" i="51"/>
  <c r="J24" i="51"/>
  <c r="E6" i="51"/>
  <c r="E6" i="41"/>
  <c r="T32" i="41" a="1"/>
  <c r="T32" i="41"/>
  <c r="M11" i="51"/>
  <c r="AH31" i="40"/>
  <c r="AH26" i="40"/>
  <c r="AH24" i="40"/>
  <c r="AB26" i="40"/>
  <c r="AB24" i="40"/>
  <c r="AB22" i="40"/>
  <c r="AE13" i="52"/>
  <c r="AE14" i="52"/>
  <c r="AE15" i="52"/>
  <c r="AE16" i="52"/>
  <c r="AE17" i="52"/>
  <c r="AE18" i="52"/>
  <c r="AE20" i="52"/>
  <c r="AE21" i="52"/>
  <c r="AE22" i="52"/>
  <c r="AE23" i="52"/>
  <c r="AE24" i="52"/>
  <c r="AV6" i="52"/>
  <c r="AV9" i="52" s="1"/>
  <c r="AW6" i="52"/>
  <c r="AW9" i="52" s="1"/>
  <c r="AX6" i="52"/>
  <c r="AX8" i="52" s="1"/>
  <c r="AU6" i="52"/>
  <c r="AU8" i="52" s="1"/>
  <c r="AP6" i="52"/>
  <c r="AP8" i="52" s="1"/>
  <c r="AQ6" i="52"/>
  <c r="AQ7" i="52" s="1"/>
  <c r="AR6" i="52"/>
  <c r="AR8" i="52" s="1"/>
  <c r="AO6" i="52"/>
  <c r="AO7" i="52" s="1"/>
  <c r="AO15" i="52" s="1"/>
  <c r="AJ6" i="52"/>
  <c r="AJ8" i="52" s="1"/>
  <c r="AK6" i="52"/>
  <c r="AK8" i="52" s="1"/>
  <c r="AL6" i="52"/>
  <c r="AL8" i="52" s="1"/>
  <c r="AI6" i="52"/>
  <c r="AI9" i="52" s="1"/>
  <c r="AE103" i="52"/>
  <c r="AE104" i="52"/>
  <c r="AE105" i="52"/>
  <c r="AE106" i="52"/>
  <c r="AE107" i="52"/>
  <c r="AE108" i="52"/>
  <c r="AE109" i="52"/>
  <c r="AE110" i="52"/>
  <c r="AE111" i="52"/>
  <c r="AE112" i="52"/>
  <c r="AE113" i="52"/>
  <c r="AE114" i="52"/>
  <c r="AE115" i="52"/>
  <c r="AE116" i="52"/>
  <c r="AE102" i="52"/>
  <c r="AE34" i="52"/>
  <c r="AE25" i="52"/>
  <c r="AE26" i="52"/>
  <c r="AE27" i="52"/>
  <c r="AE28" i="52"/>
  <c r="AE29" i="52"/>
  <c r="AE30" i="52"/>
  <c r="AE31" i="52"/>
  <c r="AE32" i="52"/>
  <c r="AE33" i="52"/>
  <c r="AE4" i="52"/>
  <c r="AE37" i="52"/>
  <c r="AE38" i="52"/>
  <c r="AE39" i="52"/>
  <c r="AE40" i="52"/>
  <c r="AE41" i="52"/>
  <c r="AE42" i="52"/>
  <c r="AE45" i="52"/>
  <c r="AE46" i="52"/>
  <c r="AE47" i="52"/>
  <c r="AE48" i="52"/>
  <c r="AE49" i="52"/>
  <c r="AE50" i="52"/>
  <c r="AE51" i="52"/>
  <c r="AE52" i="52"/>
  <c r="AE54" i="52"/>
  <c r="AE55" i="52"/>
  <c r="AE56" i="52"/>
  <c r="AE57" i="52"/>
  <c r="AE58" i="52"/>
  <c r="AE59" i="52"/>
  <c r="AE60" i="52"/>
  <c r="AE61" i="52"/>
  <c r="AE62" i="52"/>
  <c r="AE63" i="52"/>
  <c r="AE64" i="52"/>
  <c r="AE65" i="52"/>
  <c r="AE66" i="52"/>
  <c r="AE67" i="52"/>
  <c r="AE68" i="52"/>
  <c r="AE70" i="52"/>
  <c r="AE71" i="52"/>
  <c r="AE72" i="52"/>
  <c r="AE73" i="52"/>
  <c r="AE74" i="52"/>
  <c r="AE75" i="52"/>
  <c r="AE76" i="52"/>
  <c r="AE77" i="52"/>
  <c r="AE78" i="52"/>
  <c r="AE79" i="52"/>
  <c r="AE80" i="52"/>
  <c r="AE81" i="52"/>
  <c r="AE82" i="52"/>
  <c r="AE83" i="52"/>
  <c r="AE84" i="52"/>
  <c r="AE86" i="52"/>
  <c r="AE87" i="52"/>
  <c r="AE88" i="52"/>
  <c r="AE89" i="52"/>
  <c r="AE90" i="52"/>
  <c r="AE91" i="52"/>
  <c r="AE92" i="52"/>
  <c r="AE93" i="52"/>
  <c r="AE94" i="52"/>
  <c r="AE95" i="52"/>
  <c r="AE96" i="52"/>
  <c r="AE97" i="52"/>
  <c r="AE98" i="52"/>
  <c r="AE99" i="52"/>
  <c r="AE100" i="52"/>
  <c r="M15" i="51"/>
  <c r="AL22" i="52"/>
  <c r="N18" i="52"/>
  <c r="N19" i="52" s="1"/>
  <c r="N22" i="52" s="1"/>
  <c r="L15" i="51"/>
  <c r="M15" i="52"/>
  <c r="M18" i="52"/>
  <c r="M19" i="52" s="1"/>
  <c r="K15" i="51"/>
  <c r="L15" i="52"/>
  <c r="L18" i="52"/>
  <c r="L19" i="52" s="1"/>
  <c r="M16" i="51"/>
  <c r="L16" i="51"/>
  <c r="K16" i="51"/>
  <c r="J16" i="51"/>
  <c r="AK22" i="52"/>
  <c r="AK25" i="52" s="1"/>
  <c r="M24" i="51"/>
  <c r="E24" i="41"/>
  <c r="F24" i="41" s="1"/>
  <c r="E23" i="41"/>
  <c r="Q23" i="41" s="1"/>
  <c r="N21" i="40"/>
  <c r="N32" i="40"/>
  <c r="N24" i="51"/>
  <c r="S22" i="51"/>
  <c r="O26" i="52"/>
  <c r="H24" i="40" s="1"/>
  <c r="P24" i="40" s="1"/>
  <c r="AE8" i="52"/>
  <c r="AE12" i="52"/>
  <c r="AE6" i="52"/>
  <c r="AE9" i="52"/>
  <c r="AE7" i="52"/>
  <c r="AE10" i="52"/>
  <c r="AE5" i="52"/>
  <c r="AE11" i="52"/>
  <c r="I36" i="51"/>
  <c r="A36" i="51"/>
  <c r="N23" i="52"/>
  <c r="N21" i="52"/>
  <c r="L23" i="52"/>
  <c r="L21" i="52"/>
  <c r="M23" i="52"/>
  <c r="M21" i="52"/>
  <c r="K21" i="52"/>
  <c r="M7" i="51"/>
  <c r="M8" i="51"/>
  <c r="M9" i="51"/>
  <c r="M6" i="51"/>
  <c r="E11" i="51"/>
  <c r="E10" i="51"/>
  <c r="E7" i="41"/>
  <c r="E10" i="41"/>
  <c r="E7" i="42"/>
  <c r="E8" i="42"/>
  <c r="E9" i="42"/>
  <c r="E10" i="42"/>
  <c r="M11" i="41"/>
  <c r="M11" i="42"/>
  <c r="E11" i="41"/>
  <c r="E11" i="42"/>
  <c r="K23" i="52"/>
  <c r="O23" i="52" s="1"/>
  <c r="O21" i="52"/>
  <c r="AA28" i="41"/>
  <c r="Z28" i="41"/>
  <c r="Y28" i="41"/>
  <c r="X28" i="41"/>
  <c r="V164" i="51"/>
  <c r="U164" i="51"/>
  <c r="V163" i="51"/>
  <c r="U163" i="51"/>
  <c r="V162" i="51"/>
  <c r="U162" i="51"/>
  <c r="V161" i="51"/>
  <c r="U161" i="51"/>
  <c r="V160" i="51"/>
  <c r="U160" i="51"/>
  <c r="V159" i="51"/>
  <c r="U159" i="51"/>
  <c r="V158" i="51"/>
  <c r="U158" i="51"/>
  <c r="M21" i="51"/>
  <c r="L21" i="51"/>
  <c r="K21" i="51"/>
  <c r="J21" i="51"/>
  <c r="J22" i="51"/>
  <c r="M28" i="52" s="1"/>
  <c r="M22" i="51"/>
  <c r="L22" i="51"/>
  <c r="K22" i="51"/>
  <c r="K23" i="51" s="1"/>
  <c r="K28" i="52"/>
  <c r="O28" i="52" s="1"/>
  <c r="H26" i="40" s="1"/>
  <c r="P26" i="40" s="1"/>
  <c r="M23" i="51"/>
  <c r="L23" i="51"/>
  <c r="M8" i="41"/>
  <c r="M9" i="41"/>
  <c r="M8" i="42"/>
  <c r="M9" i="42"/>
  <c r="M7" i="41"/>
  <c r="M7" i="42"/>
  <c r="M6" i="41"/>
  <c r="M6" i="42"/>
  <c r="E6" i="42"/>
  <c r="A57" i="41"/>
  <c r="I57" i="41"/>
  <c r="E26" i="41"/>
  <c r="F26" i="41"/>
  <c r="G26" i="41"/>
  <c r="H26" i="41" s="1"/>
  <c r="I26" i="41" s="1"/>
  <c r="J26" i="41" s="1"/>
  <c r="K26" i="41"/>
  <c r="L18" i="42"/>
  <c r="K18" i="42"/>
  <c r="I18" i="42"/>
  <c r="G18" i="42"/>
  <c r="E18" i="42"/>
  <c r="C18" i="42"/>
  <c r="M17" i="42"/>
  <c r="N17" i="42" s="1"/>
  <c r="S6" i="42" s="1"/>
  <c r="M16" i="42"/>
  <c r="N16" i="42" s="1"/>
  <c r="S5" i="42" s="1"/>
  <c r="M15" i="42"/>
  <c r="M18" i="42" s="1"/>
  <c r="Q3" i="42"/>
  <c r="I25" i="42"/>
  <c r="N23" i="41"/>
  <c r="J23" i="41"/>
  <c r="I23" i="41"/>
  <c r="H23" i="41"/>
  <c r="G23" i="41"/>
  <c r="F23" i="41"/>
  <c r="G17" i="41"/>
  <c r="R23" i="41"/>
  <c r="J15" i="41"/>
  <c r="O21" i="41"/>
  <c r="D15" i="41"/>
  <c r="E25" i="41"/>
  <c r="F25" i="41" s="1"/>
  <c r="G25" i="41" s="1"/>
  <c r="H25" i="41" s="1"/>
  <c r="I25" i="41" s="1"/>
  <c r="J25" i="41" s="1"/>
  <c r="H32" i="40"/>
  <c r="B17" i="41"/>
  <c r="J16" i="41"/>
  <c r="O22" i="41" s="1"/>
  <c r="J14" i="41"/>
  <c r="J17" i="41" s="1"/>
  <c r="O20" i="41"/>
  <c r="O23" i="41" s="1"/>
  <c r="K25" i="41"/>
  <c r="E27" i="41"/>
  <c r="W25" i="51" s="1"/>
  <c r="X25" i="51" s="1"/>
  <c r="S30" i="41"/>
  <c r="O34" i="52"/>
  <c r="N15" i="41"/>
  <c r="Q15" i="41"/>
  <c r="D17" i="41"/>
  <c r="I38" i="40"/>
  <c r="A38" i="40"/>
  <c r="K32" i="40"/>
  <c r="M32" i="40"/>
  <c r="I32" i="40"/>
  <c r="AG31" i="40"/>
  <c r="AF31" i="40"/>
  <c r="AE31" i="40"/>
  <c r="AD31" i="40"/>
  <c r="K31" i="40"/>
  <c r="M31" i="40" s="1"/>
  <c r="O30" i="40"/>
  <c r="N30" i="40"/>
  <c r="K30" i="40"/>
  <c r="O29" i="40"/>
  <c r="N29" i="40"/>
  <c r="K29" i="40"/>
  <c r="O28" i="40"/>
  <c r="N28" i="40"/>
  <c r="K28" i="40"/>
  <c r="O27" i="40"/>
  <c r="N27" i="40"/>
  <c r="K27" i="40"/>
  <c r="AG26" i="40"/>
  <c r="AF26" i="40"/>
  <c r="AE26" i="40"/>
  <c r="AD26" i="40"/>
  <c r="AA26" i="40"/>
  <c r="Z26" i="40"/>
  <c r="Y26" i="40"/>
  <c r="X26" i="40"/>
  <c r="O26" i="40"/>
  <c r="N26" i="40"/>
  <c r="K26" i="40"/>
  <c r="L26" i="40" s="1"/>
  <c r="O25" i="40"/>
  <c r="N25" i="40"/>
  <c r="K25" i="40"/>
  <c r="AG24" i="40"/>
  <c r="AF24" i="40"/>
  <c r="AE24" i="40"/>
  <c r="AD24" i="40"/>
  <c r="AA24" i="40"/>
  <c r="Z24" i="40"/>
  <c r="Y24" i="40"/>
  <c r="X24" i="40"/>
  <c r="O24" i="40"/>
  <c r="N24" i="40"/>
  <c r="K24" i="40"/>
  <c r="M24" i="40" s="1"/>
  <c r="AA22" i="40"/>
  <c r="Z22" i="40"/>
  <c r="Y22" i="40"/>
  <c r="X22" i="40"/>
  <c r="O22" i="40"/>
  <c r="N22" i="40"/>
  <c r="K22" i="40"/>
  <c r="K21" i="40"/>
  <c r="H21" i="40" s="1"/>
  <c r="H19" i="40"/>
  <c r="K17" i="40"/>
  <c r="M17" i="40" s="1"/>
  <c r="Z4" i="40"/>
  <c r="L22" i="40"/>
  <c r="Y25" i="51"/>
  <c r="L28" i="51" s="1"/>
  <c r="K24" i="41"/>
  <c r="S21" i="51"/>
  <c r="P18" i="51" s="1"/>
  <c r="P29" i="51"/>
  <c r="K27" i="41"/>
  <c r="M27" i="41"/>
  <c r="V37" i="52" s="1"/>
  <c r="L27" i="41"/>
  <c r="Z30" i="41"/>
  <c r="H23" i="40"/>
  <c r="P23" i="40" s="1"/>
  <c r="AI8" i="52"/>
  <c r="AI7" i="52"/>
  <c r="K12" i="52"/>
  <c r="AK9" i="52"/>
  <c r="N12" i="52"/>
  <c r="M12" i="52"/>
  <c r="AO8" i="52"/>
  <c r="L12" i="52"/>
  <c r="K13" i="52"/>
  <c r="N13" i="52"/>
  <c r="M13" i="52"/>
  <c r="AU7" i="52"/>
  <c r="AU15" i="52" s="1"/>
  <c r="AU9" i="52"/>
  <c r="L13" i="52"/>
  <c r="K14" i="52"/>
  <c r="L14" i="52"/>
  <c r="M14" i="52"/>
  <c r="N14" i="52"/>
  <c r="H27" i="40"/>
  <c r="P27" i="40" s="1"/>
  <c r="M17" i="41" l="1"/>
  <c r="N17" i="41" s="1"/>
  <c r="Q17" i="41" s="1"/>
  <c r="N14" i="41"/>
  <c r="Q14" i="41" s="1"/>
  <c r="M30" i="52"/>
  <c r="M29" i="52"/>
  <c r="F27" i="41"/>
  <c r="G24" i="41"/>
  <c r="Z29" i="52"/>
  <c r="Z31" i="52" s="1"/>
  <c r="H17" i="40"/>
  <c r="N15" i="42"/>
  <c r="S4" i="42" s="1"/>
  <c r="S7" i="42" s="1"/>
  <c r="N19" i="42" s="1"/>
  <c r="L28" i="52"/>
  <c r="L29" i="52" s="1"/>
  <c r="E32" i="52"/>
  <c r="O33" i="52" s="1"/>
  <c r="E33" i="52"/>
  <c r="E34" i="52"/>
  <c r="L24" i="40"/>
  <c r="N22" i="51"/>
  <c r="U33" i="51" s="1"/>
  <c r="P14" i="51" s="1"/>
  <c r="M16" i="41"/>
  <c r="N16" i="41" s="1"/>
  <c r="Q16" i="41" s="1"/>
  <c r="N28" i="52"/>
  <c r="N30" i="52" s="1"/>
  <c r="J23" i="51"/>
  <c r="N23" i="51" s="1"/>
  <c r="AW8" i="52"/>
  <c r="AX7" i="52"/>
  <c r="AX15" i="52" s="1"/>
  <c r="AQ8" i="52"/>
  <c r="AQ12" i="52" s="1"/>
  <c r="AQ14" i="52" s="1"/>
  <c r="AW7" i="52"/>
  <c r="AW16" i="52" s="1"/>
  <c r="AW17" i="52" s="1"/>
  <c r="AQ9" i="52"/>
  <c r="AQ16" i="52" s="1"/>
  <c r="AQ17" i="52" s="1"/>
  <c r="AK7" i="52"/>
  <c r="AK15" i="52" s="1"/>
  <c r="N29" i="52"/>
  <c r="AI16" i="52"/>
  <c r="AI17" i="52" s="1"/>
  <c r="AO9" i="52"/>
  <c r="AO16" i="52" s="1"/>
  <c r="AO17" i="52" s="1"/>
  <c r="AV7" i="52"/>
  <c r="AV15" i="52" s="1"/>
  <c r="AV8" i="52"/>
  <c r="AU12" i="52"/>
  <c r="AU14" i="52" s="1"/>
  <c r="N15" i="52"/>
  <c r="L30" i="52"/>
  <c r="AO12" i="52"/>
  <c r="AO14" i="52" s="1"/>
  <c r="AJ7" i="52"/>
  <c r="AI15" i="52"/>
  <c r="AI12" i="52"/>
  <c r="AI14" i="52" s="1"/>
  <c r="AJ22" i="52"/>
  <c r="AP7" i="52"/>
  <c r="AJ9" i="52"/>
  <c r="K30" i="52"/>
  <c r="O30" i="52" s="1"/>
  <c r="H28" i="40" s="1"/>
  <c r="P28" i="40" s="1"/>
  <c r="AU16" i="52"/>
  <c r="AU17" i="52" s="1"/>
  <c r="AP9" i="52"/>
  <c r="O22" i="52"/>
  <c r="H22" i="40" s="1"/>
  <c r="K25" i="52"/>
  <c r="K27" i="52"/>
  <c r="O27" i="52" s="1"/>
  <c r="K24" i="52"/>
  <c r="O24" i="52" s="1"/>
  <c r="M22" i="52"/>
  <c r="M20" i="52"/>
  <c r="AQ22" i="52" s="1"/>
  <c r="AL24" i="52"/>
  <c r="AL25" i="52"/>
  <c r="AL23" i="52"/>
  <c r="L22" i="52"/>
  <c r="L20" i="52"/>
  <c r="AP22" i="52" s="1"/>
  <c r="AI24" i="52"/>
  <c r="AI23" i="52"/>
  <c r="AI25" i="52"/>
  <c r="N27" i="52"/>
  <c r="N25" i="52"/>
  <c r="N24" i="52"/>
  <c r="AK24" i="52"/>
  <c r="K29" i="52"/>
  <c r="O29" i="52" s="1"/>
  <c r="AX9" i="52"/>
  <c r="AR7" i="52"/>
  <c r="AR9" i="52"/>
  <c r="AK16" i="52"/>
  <c r="AK17" i="52" s="1"/>
  <c r="K15" i="52"/>
  <c r="O15" i="52" s="1"/>
  <c r="N20" i="52"/>
  <c r="AR22" i="52" s="1"/>
  <c r="G32" i="52"/>
  <c r="AQ15" i="52"/>
  <c r="AK23" i="52"/>
  <c r="O19" i="52"/>
  <c r="K20" i="52"/>
  <c r="G34" i="52"/>
  <c r="AL9" i="52"/>
  <c r="AL7" i="52"/>
  <c r="H29" i="40"/>
  <c r="P29" i="40" s="1"/>
  <c r="X37" i="52"/>
  <c r="P29" i="41"/>
  <c r="P28" i="41"/>
  <c r="L17" i="40"/>
  <c r="I31" i="41"/>
  <c r="E31" i="41"/>
  <c r="H32" i="41"/>
  <c r="F28" i="41"/>
  <c r="F18" i="41"/>
  <c r="V26" i="51" s="1"/>
  <c r="J28" i="41"/>
  <c r="W30" i="51" s="1"/>
  <c r="X30" i="51" s="1"/>
  <c r="G19" i="41"/>
  <c r="G29" i="41"/>
  <c r="H28" i="41"/>
  <c r="F19" i="41"/>
  <c r="I19" i="41"/>
  <c r="Y29" i="41"/>
  <c r="M29" i="41"/>
  <c r="M28" i="41"/>
  <c r="AA30" i="41"/>
  <c r="Y30" i="41"/>
  <c r="G31" i="41"/>
  <c r="F31" i="41"/>
  <c r="J31" i="41"/>
  <c r="F29" i="41"/>
  <c r="E28" i="41"/>
  <c r="I30" i="41"/>
  <c r="G28" i="41"/>
  <c r="H30" i="41"/>
  <c r="J29" i="41"/>
  <c r="H29" i="41"/>
  <c r="E19" i="41"/>
  <c r="L28" i="41"/>
  <c r="L30" i="41"/>
  <c r="L32" i="41" s="1"/>
  <c r="L19" i="41"/>
  <c r="M18" i="41"/>
  <c r="M26" i="40"/>
  <c r="K18" i="41"/>
  <c r="K29" i="41" s="1"/>
  <c r="K32" i="41" s="1"/>
  <c r="L18" i="40"/>
  <c r="I32" i="41"/>
  <c r="H31" i="41"/>
  <c r="E32" i="41"/>
  <c r="M32" i="41"/>
  <c r="I29" i="41"/>
  <c r="F30" i="41"/>
  <c r="I18" i="41"/>
  <c r="V29" i="51" s="1"/>
  <c r="I28" i="41"/>
  <c r="H19" i="41"/>
  <c r="H18" i="41"/>
  <c r="V28" i="51" s="1"/>
  <c r="J18" i="41"/>
  <c r="AA29" i="41"/>
  <c r="X29" i="41"/>
  <c r="L18" i="41"/>
  <c r="L29" i="41"/>
  <c r="V10" i="52"/>
  <c r="Z32" i="52"/>
  <c r="W10" i="52"/>
  <c r="S27" i="51"/>
  <c r="S28" i="51"/>
  <c r="S29" i="51"/>
  <c r="S26" i="51"/>
  <c r="T26" i="51" s="1"/>
  <c r="P17" i="40" l="1"/>
  <c r="H18" i="40"/>
  <c r="P18" i="40" s="1"/>
  <c r="G27" i="41"/>
  <c r="H24" i="41"/>
  <c r="L31" i="41"/>
  <c r="T30" i="41"/>
  <c r="W26" i="51"/>
  <c r="X26" i="51" s="1"/>
  <c r="Z28" i="52"/>
  <c r="Z34" i="52"/>
  <c r="K28" i="41"/>
  <c r="U22" i="52"/>
  <c r="AX12" i="52"/>
  <c r="AX14" i="52" s="1"/>
  <c r="AK12" i="52"/>
  <c r="AK14" i="52" s="1"/>
  <c r="AX16" i="52"/>
  <c r="AX17" i="52" s="1"/>
  <c r="AW15" i="52"/>
  <c r="AW12" i="52"/>
  <c r="AW14" i="52" s="1"/>
  <c r="AV16" i="52"/>
  <c r="AV17" i="52" s="1"/>
  <c r="AV12" i="52"/>
  <c r="AV14" i="52" s="1"/>
  <c r="AL26" i="52"/>
  <c r="AL27" i="52" s="1"/>
  <c r="AL28" i="52" s="1"/>
  <c r="AL29" i="52" s="1"/>
  <c r="AL30" i="52" s="1"/>
  <c r="N16" i="52" s="1"/>
  <c r="AP16" i="52"/>
  <c r="AP17" i="52" s="1"/>
  <c r="AP15" i="52"/>
  <c r="AP12" i="52"/>
  <c r="AP14" i="52" s="1"/>
  <c r="AJ25" i="52"/>
  <c r="AJ24" i="52"/>
  <c r="AJ23" i="52"/>
  <c r="AJ28" i="52" s="1"/>
  <c r="AJ16" i="52"/>
  <c r="AJ17" i="52" s="1"/>
  <c r="AJ15" i="52"/>
  <c r="AJ12" i="52"/>
  <c r="AJ14" i="52" s="1"/>
  <c r="AK28" i="52"/>
  <c r="AK29" i="52" s="1"/>
  <c r="AK30" i="52" s="1"/>
  <c r="M16" i="52" s="1"/>
  <c r="AR25" i="52"/>
  <c r="AR24" i="52"/>
  <c r="AR23" i="52"/>
  <c r="AR28" i="52" s="1"/>
  <c r="AR29" i="52" s="1"/>
  <c r="AI29" i="52"/>
  <c r="AI30" i="52" s="1"/>
  <c r="K16" i="52" s="1"/>
  <c r="AI28" i="52"/>
  <c r="AP24" i="52"/>
  <c r="AP23" i="52"/>
  <c r="AP28" i="52" s="1"/>
  <c r="AP29" i="52" s="1"/>
  <c r="AP25" i="52"/>
  <c r="AI26" i="52"/>
  <c r="AI27" i="52" s="1"/>
  <c r="L24" i="52"/>
  <c r="L27" i="52"/>
  <c r="L25" i="52"/>
  <c r="AQ24" i="52"/>
  <c r="AQ25" i="52"/>
  <c r="AQ23" i="52"/>
  <c r="AQ28" i="52" s="1"/>
  <c r="AQ29" i="52" s="1"/>
  <c r="AL16" i="52"/>
  <c r="AL17" i="52" s="1"/>
  <c r="AL15" i="52"/>
  <c r="AL12" i="52"/>
  <c r="AL14" i="52" s="1"/>
  <c r="O20" i="52"/>
  <c r="AS22" i="52" s="1"/>
  <c r="AO22" i="52"/>
  <c r="AR16" i="52"/>
  <c r="AR17" i="52" s="1"/>
  <c r="AR15" i="52"/>
  <c r="AK26" i="52"/>
  <c r="AK27" i="52" s="1"/>
  <c r="AR12" i="52"/>
  <c r="AR14" i="52" s="1"/>
  <c r="M24" i="52"/>
  <c r="M27" i="52"/>
  <c r="M25" i="52"/>
  <c r="H25" i="40"/>
  <c r="P25" i="40" s="1"/>
  <c r="P22" i="40"/>
  <c r="K30" i="41"/>
  <c r="K31" i="41" s="1"/>
  <c r="Z33" i="52"/>
  <c r="U23" i="52" s="1"/>
  <c r="U24" i="52" s="1"/>
  <c r="H31" i="40" s="1"/>
  <c r="P31" i="40" s="1"/>
  <c r="Z36" i="52"/>
  <c r="Z37" i="52" s="1"/>
  <c r="Z38" i="52" s="1"/>
  <c r="I24" i="41" l="1"/>
  <c r="H27" i="41"/>
  <c r="W27" i="51"/>
  <c r="X27" i="51" s="1"/>
  <c r="U30" i="41"/>
  <c r="AQ27" i="52"/>
  <c r="AP26" i="52"/>
  <c r="AR26" i="52"/>
  <c r="AJ26" i="52"/>
  <c r="AJ27" i="52" s="1"/>
  <c r="AJ29" i="52"/>
  <c r="AJ30" i="52" s="1"/>
  <c r="L16" i="52" s="1"/>
  <c r="AQ26" i="52"/>
  <c r="AR27" i="52"/>
  <c r="AO23" i="52"/>
  <c r="AO28" i="52" s="1"/>
  <c r="AO29" i="52" s="1"/>
  <c r="AO25" i="52"/>
  <c r="AO24" i="52"/>
  <c r="AP27" i="52"/>
  <c r="AS23" i="52"/>
  <c r="AS28" i="52" s="1"/>
  <c r="AS29" i="52" s="1"/>
  <c r="AS24" i="52"/>
  <c r="AS25" i="52"/>
  <c r="V30" i="41" l="1"/>
  <c r="W28" i="51"/>
  <c r="X28" i="51" s="1"/>
  <c r="J24" i="41"/>
  <c r="J27" i="41" s="1"/>
  <c r="X30" i="41" s="1"/>
  <c r="I27" i="41"/>
  <c r="AO27" i="52"/>
  <c r="AS26" i="52"/>
  <c r="AS27" i="52"/>
  <c r="AO26" i="52"/>
  <c r="W29" i="51" l="1"/>
  <c r="X29" i="51" s="1"/>
  <c r="V30" i="52"/>
  <c r="W30" i="41"/>
  <c r="V32" i="52" l="1"/>
  <c r="X32" i="52" s="1"/>
  <c r="X30" i="52"/>
  <c r="V33" i="52"/>
  <c r="X33" i="52" s="1"/>
  <c r="V31" i="52"/>
  <c r="X31" i="52" s="1"/>
  <c r="V34" i="52"/>
  <c r="X34" i="52" s="1"/>
  <c r="V36" i="52"/>
  <c r="X36" i="52" s="1"/>
  <c r="X38" i="52" l="1"/>
  <c r="Z39" i="52" s="1"/>
  <c r="H30" i="40" s="1"/>
  <c r="P30" i="4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<sst xmlns="http://schemas.openxmlformats.org/spreadsheetml/2006/main" count="801" uniqueCount="425">
  <si>
    <t>1"</t>
  </si>
  <si>
    <t>3/4"</t>
  </si>
  <si>
    <t>3/8"</t>
  </si>
  <si>
    <t>Observaciones:</t>
  </si>
  <si>
    <t>1/2"</t>
  </si>
  <si>
    <t>PROMEDIO</t>
  </si>
  <si>
    <t>Nº</t>
  </si>
  <si>
    <t xml:space="preserve">Especificación </t>
  </si>
  <si>
    <t>Promedio</t>
  </si>
  <si>
    <t>Aprobó:</t>
  </si>
  <si>
    <t>N° 4</t>
  </si>
  <si>
    <t>mm</t>
  </si>
  <si>
    <t>ANÁLISIS GRANULOMÉTRICO DE LOS AGREGADOS EXTRAÍDOS DE MEZCLAS ASFÁLTICAS INV E-782-13</t>
  </si>
  <si>
    <t>Contenido de asfalto (%)</t>
  </si>
  <si>
    <t>% pasa Min</t>
  </si>
  <si>
    <t>% pasa Max</t>
  </si>
  <si>
    <t>N° 10</t>
  </si>
  <si>
    <t>N° 40</t>
  </si>
  <si>
    <t>N° 80</t>
  </si>
  <si>
    <t>N° 200</t>
  </si>
  <si>
    <t>Solvente utilizado:</t>
  </si>
  <si>
    <t>Gasolina</t>
  </si>
  <si>
    <t>Masa total seca antes de lavado (g):</t>
  </si>
  <si>
    <t>Rangos de tolerancia formula de trabajo</t>
  </si>
  <si>
    <t xml:space="preserve">Tamices </t>
  </si>
  <si>
    <t>N° de muestra</t>
  </si>
  <si>
    <t>INFORME DE ENSAYO</t>
  </si>
  <si>
    <t>ESMasaR (mm)</t>
  </si>
  <si>
    <t>FACTOR</t>
  </si>
  <si>
    <t>Formula de trabajo</t>
  </si>
  <si>
    <t>Tabla 510.4</t>
  </si>
  <si>
    <t>Masa total de agregado en la mezcla (g)</t>
  </si>
  <si>
    <t>Masa de pasa No 200 por lavado (g)</t>
  </si>
  <si>
    <t>N° muestra</t>
  </si>
  <si>
    <t>Laboratorista</t>
  </si>
  <si>
    <t>MD-12</t>
  </si>
  <si>
    <t>CALCULO DEL IPA INDICE DE PELICULA DE ASFALTO  (INV-E-741-13)</t>
  </si>
  <si>
    <t>tamiz (mm)</t>
  </si>
  <si>
    <t>alterno</t>
  </si>
  <si>
    <t>%</t>
  </si>
  <si>
    <t>g</t>
  </si>
  <si>
    <t>Cliente:</t>
  </si>
  <si>
    <t>Procedencia:</t>
  </si>
  <si>
    <t>min</t>
  </si>
  <si>
    <t xml:space="preserve">Estabilidad </t>
  </si>
  <si>
    <t>Flujo</t>
  </si>
  <si>
    <t>FT</t>
  </si>
  <si>
    <t>Jornada:</t>
  </si>
  <si>
    <t>Vacíos en agregados minerales (VAM)</t>
  </si>
  <si>
    <t>N/A</t>
  </si>
  <si>
    <t xml:space="preserve">Relación Estabilidad/ Flujo </t>
  </si>
  <si>
    <t>Vacíos llenos de asfalto (VFA)</t>
  </si>
  <si>
    <t>kgf/mm</t>
  </si>
  <si>
    <t>Fecha de ejecución:</t>
  </si>
  <si>
    <t>Placa Y/o Móvil</t>
  </si>
  <si>
    <t>Masa seca total después de lavado (g):</t>
  </si>
  <si>
    <t>Tipo de mezcla asfáltica:</t>
  </si>
  <si>
    <t>Max</t>
  </si>
  <si>
    <t>máx.</t>
  </si>
  <si>
    <t>Código:</t>
  </si>
  <si>
    <t>Fecha de recepción:</t>
  </si>
  <si>
    <t>Fecha de producción:</t>
  </si>
  <si>
    <t>kgf</t>
  </si>
  <si>
    <t>Contenido de asfalto</t>
  </si>
  <si>
    <t>°C</t>
  </si>
  <si>
    <t>golpes/cara</t>
  </si>
  <si>
    <t>Vacíos con aire (Va)</t>
  </si>
  <si>
    <t>Norma de ensayo</t>
  </si>
  <si>
    <t>INV E 748-13</t>
  </si>
  <si>
    <t>INV E 732-13</t>
  </si>
  <si>
    <t>Gse</t>
  </si>
  <si>
    <t>Gsb</t>
  </si>
  <si>
    <t xml:space="preserve">Gb </t>
  </si>
  <si>
    <t>Efectiva del agregado</t>
  </si>
  <si>
    <t>Bulk del agregado combinado</t>
  </si>
  <si>
    <t>Asfalto</t>
  </si>
  <si>
    <t>Temperatura del agua</t>
  </si>
  <si>
    <t>Pasa N° 200</t>
  </si>
  <si>
    <t>Total pasa N° 200</t>
  </si>
  <si>
    <t>CRITERIOS</t>
  </si>
  <si>
    <t>RESULTADO</t>
  </si>
  <si>
    <t>Compactación</t>
  </si>
  <si>
    <t>F: Vol. llenante Mezcla</t>
  </si>
  <si>
    <t>A: Vol. Asfalto efectivo en la mezcla</t>
  </si>
  <si>
    <t>Característica</t>
  </si>
  <si>
    <t>N° de ensayo:</t>
  </si>
  <si>
    <t>Recipiente :</t>
  </si>
  <si>
    <t>INV E 735-13</t>
  </si>
  <si>
    <t>W2  masa del agua (g):</t>
  </si>
  <si>
    <t>W3  masa del agregado mineral extraído (g):</t>
  </si>
  <si>
    <t>W4 masa del material mineral en el extracto (g):</t>
  </si>
  <si>
    <t>CIV del lote:</t>
  </si>
  <si>
    <t>Diferencia de masa %</t>
  </si>
  <si>
    <t>Control de la calidad de la mezcla</t>
  </si>
  <si>
    <t>INV E 782-13</t>
  </si>
  <si>
    <t>Ver grafica</t>
  </si>
  <si>
    <t>INV E 745-13</t>
  </si>
  <si>
    <t>Relación Llenante / ligante efectivo (P0.075/Pbe)</t>
  </si>
  <si>
    <t>INV E 799-13</t>
  </si>
  <si>
    <t>INV E 736-13</t>
  </si>
  <si>
    <t>INV E 741-13</t>
  </si>
  <si>
    <t>Nº  muestra</t>
  </si>
  <si>
    <r>
      <rPr>
        <sz val="8"/>
        <color theme="1"/>
        <rFont val="Calibri"/>
        <family val="2"/>
      </rPr>
      <t>µ</t>
    </r>
    <r>
      <rPr>
        <sz val="8"/>
        <color theme="1"/>
        <rFont val="Arial"/>
        <family val="2"/>
      </rPr>
      <t>m</t>
    </r>
  </si>
  <si>
    <r>
      <t>0,8</t>
    </r>
    <r>
      <rPr>
        <sz val="8"/>
        <color theme="1" tint="0.499984740745262"/>
        <rFont val="Calibri"/>
        <family val="2"/>
      </rPr>
      <t>≥</t>
    </r>
    <r>
      <rPr>
        <sz val="8"/>
        <color theme="1" tint="0.499984740745262"/>
        <rFont val="Arial"/>
        <family val="2"/>
      </rPr>
      <t>FT</t>
    </r>
    <r>
      <rPr>
        <sz val="8"/>
        <color theme="1" tint="0.499984740745262"/>
        <rFont val="Calibri"/>
        <family val="2"/>
      </rPr>
      <t>≤</t>
    </r>
    <r>
      <rPr>
        <sz val="8"/>
        <color theme="1" tint="0.499984740745262"/>
        <rFont val="Arial"/>
        <family val="2"/>
      </rPr>
      <t>1,20</t>
    </r>
  </si>
  <si>
    <r>
      <t>FT-0,3</t>
    </r>
    <r>
      <rPr>
        <sz val="8"/>
        <color theme="1" tint="0.499984740745262"/>
        <rFont val="Calibri"/>
        <family val="2"/>
      </rPr>
      <t>≥</t>
    </r>
    <r>
      <rPr>
        <sz val="8"/>
        <color theme="1" tint="0.499984740745262"/>
        <rFont val="Arial"/>
        <family val="2"/>
      </rPr>
      <t>FT</t>
    </r>
    <r>
      <rPr>
        <sz val="8"/>
        <color theme="1" tint="0.499984740745262"/>
        <rFont val="Calibri"/>
        <family val="2"/>
      </rPr>
      <t>≤</t>
    </r>
    <r>
      <rPr>
        <sz val="8"/>
        <color theme="1" tint="0.499984740745262"/>
        <rFont val="Arial"/>
        <family val="2"/>
      </rPr>
      <t>FT+0,3</t>
    </r>
  </si>
  <si>
    <t xml:space="preserve">. </t>
  </si>
  <si>
    <t>A: masa en el aire de la muestra seca:</t>
  </si>
  <si>
    <t>Agregado grueso</t>
  </si>
  <si>
    <t>Agregado fino</t>
  </si>
  <si>
    <t>llenante mineral</t>
  </si>
  <si>
    <r>
      <t>0,9</t>
    </r>
    <r>
      <rPr>
        <sz val="8"/>
        <color theme="1" tint="0.499984740745262"/>
        <rFont val="Calibri"/>
        <family val="2"/>
      </rPr>
      <t>≥E</t>
    </r>
    <r>
      <rPr>
        <sz val="6"/>
        <color theme="1" tint="0.499984740745262"/>
        <rFont val="Calibri"/>
        <family val="2"/>
      </rPr>
      <t>FT</t>
    </r>
  </si>
  <si>
    <r>
      <t>0,8≥Em
1,25≥E</t>
    </r>
    <r>
      <rPr>
        <sz val="6"/>
        <color theme="1" tint="0.499984740745262"/>
        <rFont val="Arial"/>
        <family val="2"/>
      </rPr>
      <t>FT</t>
    </r>
  </si>
  <si>
    <t>Control de la composición de la mezcla</t>
  </si>
  <si>
    <t>Granulometría</t>
  </si>
  <si>
    <t>Verificación de la estabilidad individual</t>
  </si>
  <si>
    <t>Índice de película de asfalto</t>
  </si>
  <si>
    <t>Gravedad especifica máxima teórica a 25°C</t>
  </si>
  <si>
    <t>Tamaño máximo nominal:</t>
  </si>
  <si>
    <r>
      <t xml:space="preserve"> kg/m</t>
    </r>
    <r>
      <rPr>
        <sz val="8"/>
        <rFont val="Calibri"/>
        <family val="2"/>
      </rPr>
      <t>³</t>
    </r>
  </si>
  <si>
    <t>ART%0,5≥ARI%
ARI%≤ART%+0,5</t>
  </si>
  <si>
    <t>G1</t>
  </si>
  <si>
    <t>G2</t>
  </si>
  <si>
    <t>G3</t>
  </si>
  <si>
    <t>MD-10</t>
  </si>
  <si>
    <t>Reportar</t>
  </si>
  <si>
    <t>MD-20</t>
  </si>
  <si>
    <r>
      <t>ARF%-0,3</t>
    </r>
    <r>
      <rPr>
        <sz val="7"/>
        <color theme="1" tint="0.499984740745262"/>
        <rFont val="Calibri"/>
        <family val="2"/>
      </rPr>
      <t>≥ARI</t>
    </r>
    <r>
      <rPr>
        <sz val="7"/>
        <color theme="1" tint="0.499984740745262"/>
        <rFont val="Arial"/>
        <family val="2"/>
      </rPr>
      <t>%
ARI%</t>
    </r>
    <r>
      <rPr>
        <sz val="7"/>
        <color theme="1" tint="0.499984740745262"/>
        <rFont val="Calibri"/>
        <family val="2"/>
      </rPr>
      <t>≤ARF%</t>
    </r>
    <r>
      <rPr>
        <sz val="7"/>
        <color theme="1" tint="0.499984740745262"/>
        <rFont val="Arial"/>
        <family val="2"/>
      </rPr>
      <t>+0,3</t>
    </r>
  </si>
  <si>
    <t>CHAPARRO CARLOS</t>
  </si>
  <si>
    <t>CORDOBA ALEXANDER</t>
  </si>
  <si>
    <t>CRISTANCHO VICTOR</t>
  </si>
  <si>
    <t>DIAZ CESAR</t>
  </si>
  <si>
    <t>FLOREZ KAREN</t>
  </si>
  <si>
    <t>GALVIS DAVID</t>
  </si>
  <si>
    <t>OSPINA JUAN GABRIEL</t>
  </si>
  <si>
    <t>RINCON SATURNINO</t>
  </si>
  <si>
    <t>SUAREZ  WILLIAM</t>
  </si>
  <si>
    <t>YARA FABIAN</t>
  </si>
  <si>
    <t>Reviso</t>
  </si>
  <si>
    <t>Aprobó</t>
  </si>
  <si>
    <t>D: masa de la tapa + picnómetro lleno de agua a 25°:</t>
  </si>
  <si>
    <t xml:space="preserve">Gravedad específica Bulk a 25° C </t>
  </si>
  <si>
    <t>Absorción de agua</t>
  </si>
  <si>
    <t>Gmm:Gravedad especifica máxima  teórica:</t>
  </si>
  <si>
    <t>Bromuro de n-propilo</t>
  </si>
  <si>
    <t>Tricloroetileno</t>
  </si>
  <si>
    <t>NOMBRES</t>
  </si>
  <si>
    <t>FIRMAS</t>
  </si>
  <si>
    <t>CANO LUIS EDUARDO</t>
  </si>
  <si>
    <t>GOMEZ LUIS CARLOS</t>
  </si>
  <si>
    <t>CARGO</t>
  </si>
  <si>
    <t>ELABORO</t>
  </si>
  <si>
    <t>Auxiliar</t>
  </si>
  <si>
    <t>ACHIARDI LEONARDO</t>
  </si>
  <si>
    <t xml:space="preserve">Cloruro de  Metileno </t>
  </si>
  <si>
    <t>--</t>
  </si>
  <si>
    <t>Gravedad especifica máxima de mezclas asfálticas para pavimentos INV 735-13</t>
  </si>
  <si>
    <t>FIN DEL INFORME DE ENSAYO</t>
  </si>
  <si>
    <t>EXTRACCIÓN CUANTITATIVA DEL ASFALTO EN MEZCLAS PARA PAVIMENTOS INV E 732-13 / MÉTODO A (CENTRIFUGACIÓN)</t>
  </si>
  <si>
    <t xml:space="preserve">Numero del espécimen </t>
  </si>
  <si>
    <t>A: Masa del espécimen seco en el aire</t>
  </si>
  <si>
    <t>C: Masa del espécimen sumergido en agua</t>
  </si>
  <si>
    <t xml:space="preserve">Reportar </t>
  </si>
  <si>
    <t>Verificación del porcentaje individual:</t>
  </si>
  <si>
    <t xml:space="preserve">INFORME DE ENSAYO </t>
  </si>
  <si>
    <t>Hoja:</t>
  </si>
  <si>
    <t>Fecha de informe:</t>
  </si>
  <si>
    <t xml:space="preserve">Grupo </t>
  </si>
  <si>
    <t xml:space="preserve">Humedo </t>
  </si>
  <si>
    <t xml:space="preserve">Seco </t>
  </si>
  <si>
    <t>Especimen  N°.</t>
  </si>
  <si>
    <t xml:space="preserve">D: Diámetro, mm </t>
  </si>
  <si>
    <t xml:space="preserve">A: Masa seca al  aire                    </t>
  </si>
  <si>
    <t xml:space="preserve">B: Masa    SSS                             </t>
  </si>
  <si>
    <t xml:space="preserve">C: Masa en agua              </t>
  </si>
  <si>
    <t xml:space="preserve">E: Volumen del espécimen </t>
  </si>
  <si>
    <t>F: Gravedad específica bulk</t>
  </si>
  <si>
    <t>H: Porcentaje de vacíos</t>
  </si>
  <si>
    <t xml:space="preserve">I: Volumen de vacíos </t>
  </si>
  <si>
    <t>P:Carga</t>
  </si>
  <si>
    <t>kN</t>
  </si>
  <si>
    <t xml:space="preserve">P':Carga </t>
  </si>
  <si>
    <t>N</t>
  </si>
  <si>
    <t>Acondicionamiento :</t>
  </si>
  <si>
    <t xml:space="preserve">Saturación mediante vacío </t>
  </si>
  <si>
    <t>24 horas en agua a 60ºC</t>
  </si>
  <si>
    <t xml:space="preserve">B":Masa    SSS                             </t>
  </si>
  <si>
    <t xml:space="preserve">C":Masa en agua              </t>
  </si>
  <si>
    <t xml:space="preserve">E":Volumen del espécimen </t>
  </si>
  <si>
    <t xml:space="preserve">J":Volumen absoluto del agua </t>
  </si>
  <si>
    <t xml:space="preserve">Expansión </t>
  </si>
  <si>
    <t>kPa</t>
  </si>
  <si>
    <t>Promedio  porcentaje de saturación</t>
  </si>
  <si>
    <t xml:space="preserve">Promedio  de expansión </t>
  </si>
  <si>
    <t xml:space="preserve">RRT: Relación de resistencia a la tensión </t>
  </si>
  <si>
    <t xml:space="preserve">Criterio de aceptación     </t>
  </si>
  <si>
    <t>Rth≥80%Rts</t>
  </si>
  <si>
    <t>Daño por humedad (visual)</t>
  </si>
  <si>
    <t>Revisó</t>
  </si>
  <si>
    <t>FIN DEL INFORME DE  ENSAYO</t>
  </si>
  <si>
    <t>Coordinador  técnico</t>
  </si>
  <si>
    <t>E: masa del  picnómetro con la  tapa,  el  agua y  la muestra a 25°:</t>
  </si>
  <si>
    <t>Planta:</t>
  </si>
  <si>
    <t>Grado de saturación</t>
  </si>
  <si>
    <t>CÓDIGO:  GLAB-FM-029</t>
  </si>
  <si>
    <t>CÓDIGO: GLAB-FM-030</t>
  </si>
  <si>
    <t xml:space="preserve">Los resultados presentados corresponden únicamente a la muestra sometida a ensayo. Este informe no puede ser reproducido en su totalidad ni parcialmente, sin la autorización escrita del laboratorio  de suelos, asfaltos y pavimentos de la UAERMV. </t>
  </si>
  <si>
    <t>Planta 1</t>
  </si>
  <si>
    <t>Planta 2</t>
  </si>
  <si>
    <t>Planta Incolvias S.A.S</t>
  </si>
  <si>
    <t xml:space="preserve">Criterio </t>
  </si>
  <si>
    <t>1 1/2"</t>
  </si>
  <si>
    <t>Sede de Producción La Esmeralda</t>
  </si>
  <si>
    <t>Sede de Producción La Esmeralda (obra)</t>
  </si>
  <si>
    <t>Gerencia de Producción</t>
  </si>
  <si>
    <t>Gerencia de Intervención</t>
  </si>
  <si>
    <t>Masas del filtro (g):</t>
  </si>
  <si>
    <t>Antes</t>
  </si>
  <si>
    <t>Después</t>
  </si>
  <si>
    <t>Masa total (g)</t>
  </si>
  <si>
    <t>% Que pasa</t>
  </si>
  <si>
    <t>B-C: Masa del volumen de agua correspondiente al volumen del espécimen</t>
  </si>
  <si>
    <t>Llenante mineral</t>
  </si>
  <si>
    <t>Procedimiento :</t>
  </si>
  <si>
    <t>% Pasa mín</t>
  </si>
  <si>
    <t>% Pasa máx</t>
  </si>
  <si>
    <t>Masa retenida
 (g)</t>
  </si>
  <si>
    <t>Gravedad específica bulk y densidad de mezclas asfálticas compactadas no absorbentes empleando especímenes saturados  y superficialmente secos, método A,  INV E 733-13</t>
  </si>
  <si>
    <t>Fórmula de trabajo</t>
  </si>
  <si>
    <t>Máx.</t>
  </si>
  <si>
    <t>Promedio gravedad específica bulk</t>
  </si>
  <si>
    <t>Promedio porcentaje de vacíos</t>
  </si>
  <si>
    <t xml:space="preserve">Promedio volumen de vacíos </t>
  </si>
  <si>
    <t xml:space="preserve">Los resultados presentados corresponden únicamente a la muestra sometida a ensayo recibidas en el laboratorio. Este informe no puede ser reproducido en su totalidad ni parcialmente, sin la autorización escrita del laboratorio  de suelos, asfaltos y pavimentos de la UAERMV. </t>
  </si>
  <si>
    <t>Laboratorio  de suelos, asfaltos y pavimentos de la UAERMV 
Sede de Producción Parque Minero Industrial El Mochuelo Kilometro 3 vía Pasquilla localidad Ciudad Bolívar, Bogotá D.C. - Colombia
Tel: 3779555 Ext. 1145   E- mail: p.laboratorio@umv.gov.co</t>
  </si>
  <si>
    <t>Laboratorio de suelos asfaltos y pavimentos de la UAERMV 
Sede de Producción Parque Minero Industrial El Mochuelo Kilometro 3 vía Pasquilla localidad Ciudad Bolívar, Bogotá D.C. - Colombia
Tel: 3779555 Ext. 1145   E- mail: p.laboratorio@umv.gov.co</t>
  </si>
  <si>
    <t>Espesor del espécimen (Método A, con calibrador)</t>
  </si>
  <si>
    <t>B: Masa en el aire del espécimen saturado y superficialmente seco SSS</t>
  </si>
  <si>
    <t>Densidad de la mezcla a 25° C</t>
  </si>
  <si>
    <t>REDONDEOS ESTABILIDAD Y FLUJO - NO TOCAR - OJO</t>
  </si>
  <si>
    <t>Redondeo para temperatura mezcla</t>
  </si>
  <si>
    <t>Redondeo para temperatura ensayo</t>
  </si>
  <si>
    <t>Valor redon:</t>
  </si>
  <si>
    <t>Nº1</t>
  </si>
  <si>
    <t>Nº2</t>
  </si>
  <si>
    <t>Nº3</t>
  </si>
  <si>
    <t>Nº4</t>
  </si>
  <si>
    <t>Redondeo para altura probetas</t>
  </si>
  <si>
    <t>Redondeo para Estabili. Marshall Indiv. Y promedio correg.</t>
  </si>
  <si>
    <t>Nº5</t>
  </si>
  <si>
    <r>
      <t>W</t>
    </r>
    <r>
      <rPr>
        <sz val="8"/>
        <rFont val="Calibri"/>
        <family val="2"/>
      </rPr>
      <t>1: masa de la porción de ensayo (g)</t>
    </r>
    <r>
      <rPr>
        <sz val="8"/>
        <rFont val="Calibri"/>
        <family val="2"/>
        <scheme val="minor"/>
      </rPr>
      <t>:</t>
    </r>
  </si>
  <si>
    <t>CÓDIGO: GLAB-FM-097</t>
  </si>
  <si>
    <t>Revisó:</t>
  </si>
  <si>
    <t>CÓDIGO: GLAB-FM-098</t>
  </si>
  <si>
    <t>Laboratorio de suelos, asfaltos y pavimentos de la UAERMV 
Sede de Producción Parque Minero Industrial El Mochuelo Kilometro 3 vía Pasquilla localidad Ciudad Bolívar, Bogotá D.C. - Colombia
Tel: 3779555 Ext. 1145   E- mail: p.laboratorio@umv.gov.co</t>
  </si>
  <si>
    <t>CONTRERAS WILINTONG</t>
  </si>
  <si>
    <t>Lider operativo del proceso</t>
  </si>
  <si>
    <t>DIURNA</t>
  </si>
  <si>
    <t>NOCTURNA</t>
  </si>
  <si>
    <t>Fecha de informe :</t>
  </si>
  <si>
    <t>CÓDIGO: GLAB-FM-099</t>
  </si>
  <si>
    <t>Temperatura de mezcla</t>
  </si>
  <si>
    <t>Temperatura de compactación</t>
  </si>
  <si>
    <t>Altura probeta</t>
  </si>
  <si>
    <t>Estabilidad medida</t>
  </si>
  <si>
    <t xml:space="preserve"> kN</t>
  </si>
  <si>
    <t>Factor de corrección (Tabla 748-1)</t>
  </si>
  <si>
    <t>-</t>
  </si>
  <si>
    <t>Estabilidad individual corregida, Ei</t>
  </si>
  <si>
    <t>Estabilidad individual corregida, Ei - Sin redondeo</t>
  </si>
  <si>
    <t xml:space="preserve"> kgf</t>
  </si>
  <si>
    <t>lbf</t>
  </si>
  <si>
    <t>Verificación individual de la estabilidad</t>
  </si>
  <si>
    <t>0,8≥Em</t>
  </si>
  <si>
    <t xml:space="preserve"> mm</t>
  </si>
  <si>
    <t>Relación estabilidad/ Flujo</t>
  </si>
  <si>
    <t xml:space="preserve"> %</t>
  </si>
  <si>
    <t xml:space="preserve">Cliente </t>
  </si>
  <si>
    <t xml:space="preserve">Planta </t>
  </si>
  <si>
    <t xml:space="preserve">Supervisor contrato de suministro mezcla </t>
  </si>
  <si>
    <t xml:space="preserve">Planta del proveedor </t>
  </si>
  <si>
    <t>Especificaciones</t>
  </si>
  <si>
    <t>Jornada</t>
  </si>
  <si>
    <t>FECHA DE APLICACIÓN: AGOSTO 2020</t>
  </si>
  <si>
    <t xml:space="preserve">Verificacion porcentaje de asfalto </t>
  </si>
  <si>
    <t xml:space="preserve">Suma </t>
  </si>
  <si>
    <t>Verificación individual
(0,5% del promedio)</t>
  </si>
  <si>
    <t>Sumatoria</t>
  </si>
  <si>
    <t xml:space="preserve">Perdida de masa por granulometria </t>
  </si>
  <si>
    <t xml:space="preserve">Gravedad especifica de las formulas de trabajo </t>
  </si>
  <si>
    <t>Mezcla</t>
  </si>
  <si>
    <t>Espesores individuales</t>
  </si>
  <si>
    <t>a:</t>
  </si>
  <si>
    <t>b:</t>
  </si>
  <si>
    <t>c:</t>
  </si>
  <si>
    <t>d:</t>
  </si>
  <si>
    <t>e:</t>
  </si>
  <si>
    <t>f:</t>
  </si>
  <si>
    <t>g:</t>
  </si>
  <si>
    <t xml:space="preserve">constante norma de ensayo </t>
  </si>
  <si>
    <t>% Pasas</t>
  </si>
  <si>
    <t xml:space="preserve">SE individual </t>
  </si>
  <si>
    <t xml:space="preserve">Pb=Contenido total de asfalto </t>
  </si>
  <si>
    <t xml:space="preserve">Db: Densidad del ligante </t>
  </si>
  <si>
    <t xml:space="preserve">Pb volumen: </t>
  </si>
  <si>
    <t>Pba masa</t>
  </si>
  <si>
    <t xml:space="preserve">Pba </t>
  </si>
  <si>
    <t>Pbe</t>
  </si>
  <si>
    <t>Pg</t>
  </si>
  <si>
    <t>Pba volumen</t>
  </si>
  <si>
    <t>Pbe volumen</t>
  </si>
  <si>
    <t xml:space="preserve">Diámetro del espcimen </t>
  </si>
  <si>
    <t>Diámetros individuales</t>
  </si>
  <si>
    <t xml:space="preserve">Tamaño maximo  nominal </t>
  </si>
  <si>
    <t xml:space="preserve">Tamaño minimo de la muestra </t>
  </si>
  <si>
    <t xml:space="preserve">Verificación del tamaño </t>
  </si>
  <si>
    <t>Factor de corrección espesores</t>
  </si>
  <si>
    <t xml:space="preserve">Temperatura ensayo </t>
  </si>
  <si>
    <t>Temperaturas</t>
  </si>
  <si>
    <t>Ps</t>
  </si>
  <si>
    <t xml:space="preserve">cv: Concentración real </t>
  </si>
  <si>
    <t xml:space="preserve">Concentración de llenante </t>
  </si>
  <si>
    <r>
      <t>SE: Superficie especifica del agregado combinado (m</t>
    </r>
    <r>
      <rPr>
        <b/>
        <sz val="9"/>
        <color theme="1"/>
        <rFont val="Calibri"/>
        <family val="2"/>
      </rPr>
      <t>²</t>
    </r>
    <r>
      <rPr>
        <b/>
        <sz val="9"/>
        <color theme="1"/>
        <rFont val="Arial"/>
        <family val="2"/>
      </rPr>
      <t>/Kg)</t>
    </r>
  </si>
  <si>
    <t>VERSIÓN: 2</t>
  </si>
  <si>
    <t>CÓDIGO: GLAB-FM-170</t>
  </si>
  <si>
    <t>Especificación técnica</t>
  </si>
  <si>
    <t>INFORME DE ENSAYO 
CONTROL DE LA COMPOSICIÓN Y DE LA CALIDAD DE LA MEZCLA ASFÁLTICA DENSA EN CALIENTE</t>
  </si>
  <si>
    <t>N° 8</t>
  </si>
  <si>
    <t>Tamices</t>
  </si>
  <si>
    <t>MD 10 -MD 12</t>
  </si>
  <si>
    <t xml:space="preserve">Grafica </t>
  </si>
  <si>
    <t>Tabla Especificacion granulometria</t>
  </si>
  <si>
    <t>Grafica tamiz No 8</t>
  </si>
  <si>
    <t>Tamiz</t>
  </si>
  <si>
    <t>%pasa</t>
  </si>
  <si>
    <t>% Retenido acomulado</t>
  </si>
  <si>
    <t>Verificación de la gravedad especifica Bulk</t>
  </si>
  <si>
    <t>MIN</t>
  </si>
  <si>
    <t>MAX</t>
  </si>
  <si>
    <t>VERIFICACIÓN DEL ALCANCE DE ACREDITACIÓN INV E-733-13</t>
  </si>
  <si>
    <t>VERIFICACIÓN DEL ALCANCE DE ACREDITACIÓN INV E-735-13</t>
  </si>
  <si>
    <t>MD-10 CTO 529-19(INCOLVIAS S.A.S)</t>
  </si>
  <si>
    <t>MD-12 CTO 529-19(INCOLVIAS S.A.S)</t>
  </si>
  <si>
    <t>Verificación de absorción</t>
  </si>
  <si>
    <t>Coordinador Operativo</t>
  </si>
  <si>
    <t>PRADA CESAR</t>
  </si>
  <si>
    <t>GALVIS DANIEL</t>
  </si>
  <si>
    <t xml:space="preserve">VELASQUEZ JUAN CAMILO </t>
  </si>
  <si>
    <t xml:space="preserve">QUIÑONES ETIEL </t>
  </si>
  <si>
    <t>RIOS JOSE</t>
  </si>
  <si>
    <t xml:space="preserve">VAQUIRO JUAN CAMILO </t>
  </si>
  <si>
    <t xml:space="preserve">RINCON ALVARO JOSE </t>
  </si>
  <si>
    <t>GONZALEZ CAMILO</t>
  </si>
  <si>
    <t>Contenido de asfalto caucho</t>
  </si>
  <si>
    <t>VERSIÓN: 12</t>
  </si>
  <si>
    <t>FECHA DE APLICACIÓN: OCTUBRE 2020</t>
  </si>
  <si>
    <t>INFORME DE ENSAYO
GRAVEDAD ESPECIFICA BULK INV E 733-13 Y MAXIMA  DE MEZCLA ASFALTICA INV 735-13</t>
  </si>
  <si>
    <t xml:space="preserve">El contenido de asfalto caucho se calcula tomando el </t>
  </si>
  <si>
    <t>% de caucho</t>
  </si>
  <si>
    <t xml:space="preserve">según el certificado de calidad del contratista con consecutivo </t>
  </si>
  <si>
    <t xml:space="preserve">Técnico operativo </t>
  </si>
  <si>
    <t xml:space="preserve">Observaciones:  </t>
  </si>
  <si>
    <t>Los resultados del ensayo de Gravedad especifica máxima de mezclas asfálticas para pavimentos INV 735-13 esta fuera del alcance de acreditación aprobado.</t>
  </si>
  <si>
    <t xml:space="preserve">Verificación cumplimiento alcance y precision </t>
  </si>
  <si>
    <t>Formula de trabajo del 2020/10/15</t>
  </si>
  <si>
    <t>Fecha de aplicación 2021/02/03</t>
  </si>
  <si>
    <t>Formula de trabajo del 2020/11/06</t>
  </si>
  <si>
    <t>Formula de trabajo del 2020/11/30</t>
  </si>
  <si>
    <t>---</t>
  </si>
  <si>
    <t>JENNYFER ARIAS</t>
  </si>
  <si>
    <t>Auxiliar Técnico</t>
  </si>
  <si>
    <t>CINDY NATHALY SASTOQUE</t>
  </si>
  <si>
    <t xml:space="preserve">Procedencia </t>
  </si>
  <si>
    <t>ESPECIFICACIÓN TÉCNICA IDU SECCION 510-11, Categoría de trafico T4-T5</t>
  </si>
  <si>
    <t>ESPECIFICACIÓN TÉCNICA ARTICULO 467-13PARTICULAR, Categoría de transito NT2-NT3</t>
  </si>
  <si>
    <t>Mín.</t>
  </si>
  <si>
    <t>MGCR Tipo I</t>
  </si>
  <si>
    <t>Anexo A,
 Art 467-13</t>
  </si>
  <si>
    <t>Diametro</t>
  </si>
  <si>
    <t>SAENZ JESSICA</t>
  </si>
  <si>
    <t>Volumen total del lote (m³):</t>
  </si>
  <si>
    <t>EVALUACIÓN DE LA SUSCEPTIBILIDAD AL AGUA DE LAS MEZCLAS DE CONCRETO ASFALTICO UTILIZANDO LA PRUEBA DE TRACCIÓN INDIRECTA (TSR) INV E 725-13</t>
  </si>
  <si>
    <t>T: Espesor mm.</t>
  </si>
  <si>
    <t>Espesor</t>
  </si>
  <si>
    <t>cm³</t>
  </si>
  <si>
    <t>Gravedad específica máxima (Rice)</t>
  </si>
  <si>
    <t>t":Espesor</t>
  </si>
  <si>
    <t>Rt: Resistencia</t>
  </si>
  <si>
    <t>Rts: Promedio  resistencia</t>
  </si>
  <si>
    <t>SI</t>
  </si>
  <si>
    <t>NO</t>
  </si>
  <si>
    <t xml:space="preserve"> </t>
  </si>
  <si>
    <t xml:space="preserve">A: Masa seca al  aire     </t>
  </si>
  <si>
    <t xml:space="preserve">I: Volumen de vacíos  </t>
  </si>
  <si>
    <t xml:space="preserve">B: Masa    SSS </t>
  </si>
  <si>
    <t>Planta 1 / Planta 2</t>
  </si>
  <si>
    <t>VERSIÓN: 6</t>
  </si>
  <si>
    <t>FECHA DE APLICACIÓN:  ABRIL 2021</t>
  </si>
  <si>
    <t xml:space="preserve">CORDOBA VICTOR </t>
  </si>
  <si>
    <t>RIAÑO JOSE</t>
  </si>
  <si>
    <t>VANEGAS BRAYAN</t>
  </si>
  <si>
    <t>MONTENEGRO EDGAR</t>
  </si>
  <si>
    <t>PRADA PEDRO</t>
  </si>
  <si>
    <t>JUNCO DIEGO</t>
  </si>
  <si>
    <t>SUAREZ DIEGO</t>
  </si>
  <si>
    <t>VILLALBA ROBINSSON</t>
  </si>
  <si>
    <t xml:space="preserve">Fecha de ejecución: </t>
  </si>
  <si>
    <t>1,25≥EFT</t>
  </si>
  <si>
    <r>
      <t>Vacíos con aire (V</t>
    </r>
    <r>
      <rPr>
        <vertAlign val="subscript"/>
        <sz val="9"/>
        <rFont val="Arial"/>
        <family val="2"/>
      </rPr>
      <t>a</t>
    </r>
    <r>
      <rPr>
        <sz val="9"/>
        <rFont val="Arial"/>
        <family val="2"/>
      </rPr>
      <t>)</t>
    </r>
  </si>
  <si>
    <t>Paginas</t>
  </si>
  <si>
    <t>Pagina</t>
  </si>
  <si>
    <t>de</t>
  </si>
  <si>
    <t>Pagina xx de xx</t>
  </si>
  <si>
    <t>INFORME DE ENSAYO
ESTABILIDAD Y FLUJO DE LA MEZCLA ASFÁLTICA DENSA EN CALIENTE 
INV E 748-13</t>
  </si>
  <si>
    <t xml:space="preserve">Numero de espécimen </t>
  </si>
  <si>
    <t xml:space="preserve">espesores de espécimen </t>
  </si>
  <si>
    <t>Gravedad específica (Gse, Gsb, G3, Gb), INV E 799-13</t>
  </si>
  <si>
    <t>Estabilidad y flujo de mezclas asfálticas en caliente empleando el equipo Marshall INV E-748-13</t>
  </si>
  <si>
    <t>Redondeo para temperatura compactación</t>
  </si>
  <si>
    <t xml:space="preserve">INV 745-13 Concentración critica del llenante </t>
  </si>
  <si>
    <t>Vacíos en el agregado mineral (VAM)</t>
  </si>
  <si>
    <r>
      <t>Ha (</t>
    </r>
    <r>
      <rPr>
        <b/>
        <sz val="10"/>
        <color theme="1"/>
        <rFont val="Calibri"/>
        <family val="2"/>
      </rPr>
      <t>µ</t>
    </r>
    <r>
      <rPr>
        <b/>
        <sz val="9.5"/>
        <color theme="1"/>
        <rFont val="Arial"/>
        <family val="2"/>
      </rPr>
      <t xml:space="preserve">m) espesor medio de película de asfalto </t>
    </r>
  </si>
  <si>
    <t xml:space="preserve">Temperatura del ensayo </t>
  </si>
  <si>
    <t>Flujo (Método B)</t>
  </si>
  <si>
    <t>VERSIÓN: 8</t>
  </si>
  <si>
    <t>FECHA DE APLICACIÓN: FEBRERO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</si>
</sst>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&quot;$&quot;\ #,##0.00_);\(&quot;$&quot;\ #,##0.00\)"/>
    <numFmt numFmtId="167" formatCode="#,##0.00\ &quot;€&quot;;[Red]\-#,##0.00\ &quot;€&quot;"/>
    <numFmt numFmtId="168" formatCode="_-* #,##0.00\ &quot;€&quot;_-;\-* #,##0.00\ &quot;€&quot;_-;_-* &quot;-&quot;??\ &quot;€&quot;_-;_-@_-"/>
    <numFmt numFmtId="169" formatCode="_-* #,##0.00\ _€_-;\-* #,##0.00\ _€_-;_-* &quot;-&quot;??\ _€_-;_-@_-"/>
    <numFmt numFmtId="170" formatCode="0.0"/>
    <numFmt numFmtId="171" formatCode="0.0%"/>
    <numFmt numFmtId="172" formatCode="#,##0\ &quot;$&quot;;\-#,##0\ &quot;$&quot;"/>
    <numFmt numFmtId="173" formatCode="0.000"/>
    <numFmt numFmtId="174" formatCode="0.0000"/>
    <numFmt numFmtId="175" formatCode="_(* #,##0.00000_);_(* \(#,##0.00000\);_(* &quot;-&quot;??_);_(@_)"/>
    <numFmt numFmtId="176" formatCode="_([$€]* #,##0.00_);_([$€]* \(#,##0.00\);_([$€]* &quot;-&quot;??_);_(@_)"/>
    <numFmt numFmtId="177" formatCode="_ [$€-2]\ * #,##0.00_ ;_ [$€-2]\ * \-#,##0.00_ ;_ [$€-2]\ * &quot;-&quot;??_ "/>
    <numFmt numFmtId="178" formatCode="#,##0\ &quot;$&quot;;[Red]\-#,##0\ &quot;$&quot;"/>
    <numFmt numFmtId="179" formatCode="_-* #,##0\ _P_t_s_-;\-* #,##0\ _P_t_s_-;_-* &quot;-&quot;??\ _P_t_s_-;_-@_-"/>
    <numFmt numFmtId="180" formatCode="_(* #,##0.000_);_(* \(#,##0.000\);_(* &quot;-&quot;??_);_(@_)"/>
    <numFmt numFmtId="181" formatCode="_ * #,##0.00_ ;_ * \-#,##0.00_ ;_ * &quot;-&quot;??_ ;_ @_ "/>
    <numFmt numFmtId="182" formatCode="_-* #,##0.0\ _P_t_s_-;\-* #,##0.0\ _P_t_s_-;_-* &quot;-&quot;??\ _P_t_s_-;_-@_-"/>
    <numFmt numFmtId="183" formatCode="_ * #,##0_ ;_ * \-#,##0_ ;_ * &quot;-&quot;_ ;_ @_ "/>
    <numFmt numFmtId="184" formatCode="&quot;$&quot;#,##0\ ;\(&quot;$&quot;#,##0\)"/>
    <numFmt numFmtId="185" formatCode="General_)"/>
    <numFmt numFmtId="186" formatCode="#,##0.00\ &quot;$&quot;;\-#,##0.00\ &quot;$&quot;"/>
    <numFmt numFmtId="187" formatCode="000"/>
    <numFmt numFmtId="188" formatCode="#,##0.000"/>
    <numFmt numFmtId="189" formatCode="#,##0.0"/>
    <numFmt numFmtId="190" formatCode="yyyy\-mm\-dd;@"/>
  </numFmts>
  <fonts count="12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indexed="24"/>
      <name val="Modern"/>
      <family val="3"/>
      <charset val="255"/>
    </font>
    <font>
      <sz val="10"/>
      <name val="Helv"/>
    </font>
    <font>
      <b/>
      <sz val="10"/>
      <color indexed="24"/>
      <name val="Modern"/>
      <family val="3"/>
      <charset val="255"/>
    </font>
    <font>
      <sz val="8"/>
      <color indexed="24"/>
      <name val="Arial"/>
      <family val="2"/>
    </font>
    <font>
      <sz val="10"/>
      <color indexed="24"/>
      <name val="Arial"/>
      <family val="2"/>
    </font>
    <font>
      <sz val="8"/>
      <name val="Courier"/>
      <family val="3"/>
    </font>
    <font>
      <sz val="10"/>
      <color indexed="1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Arial"/>
      <family val="2"/>
    </font>
    <font>
      <sz val="10"/>
      <color rgb="FFFF0000"/>
      <name val="Calibri"/>
      <family val="2"/>
      <scheme val="minor"/>
    </font>
    <font>
      <sz val="10"/>
      <color theme="0"/>
      <name val="Arial"/>
      <family val="2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sz val="8"/>
      <color indexed="12"/>
      <name val="Arial"/>
      <family val="2"/>
    </font>
    <font>
      <sz val="8"/>
      <color indexed="10"/>
      <name val="Arial"/>
      <family val="2"/>
    </font>
    <font>
      <b/>
      <sz val="8"/>
      <color indexed="12"/>
      <name val="Arial"/>
      <family val="2"/>
    </font>
    <font>
      <sz val="12"/>
      <name val="Arial"/>
      <family val="2"/>
    </font>
    <font>
      <sz val="7"/>
      <color theme="0" tint="-0.499984740745262"/>
      <name val="Arial"/>
      <family val="2"/>
    </font>
    <font>
      <sz val="10"/>
      <name val="Times New Roman"/>
      <family val="1"/>
    </font>
    <font>
      <sz val="8"/>
      <color rgb="FFFF0000"/>
      <name val="Arial"/>
      <family val="2"/>
    </font>
    <font>
      <sz val="8"/>
      <color theme="1" tint="0.499984740745262"/>
      <name val="Arial"/>
      <family val="2"/>
    </font>
    <font>
      <sz val="10"/>
      <color indexed="63"/>
      <name val="Arial"/>
      <family val="2"/>
    </font>
    <font>
      <sz val="8"/>
      <color indexed="63"/>
      <name val="Arial"/>
      <family val="2"/>
    </font>
    <font>
      <b/>
      <sz val="10"/>
      <color indexed="63"/>
      <name val="Arial"/>
      <family val="2"/>
    </font>
    <font>
      <sz val="9"/>
      <color theme="0"/>
      <name val="Arial"/>
      <family val="2"/>
    </font>
    <font>
      <sz val="9"/>
      <color indexed="63"/>
      <name val="Arial"/>
      <family val="2"/>
    </font>
    <font>
      <sz val="8"/>
      <color theme="0" tint="-0.499984740745262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7"/>
      <color theme="1" tint="0.499984740745262"/>
      <name val="Arial"/>
      <family val="2"/>
    </font>
    <font>
      <b/>
      <sz val="9"/>
      <name val="Calibri"/>
      <family val="2"/>
    </font>
    <font>
      <b/>
      <sz val="8"/>
      <color theme="1" tint="0.499984740745262"/>
      <name val="Arial"/>
      <family val="2"/>
    </font>
    <font>
      <b/>
      <sz val="7"/>
      <name val="Arial"/>
      <family val="2"/>
    </font>
    <font>
      <sz val="7"/>
      <name val="Calibri"/>
      <family val="2"/>
      <scheme val="minor"/>
    </font>
    <font>
      <sz val="8"/>
      <color theme="0" tint="-0.499984740745262"/>
      <name val="Arial"/>
      <family val="2"/>
    </font>
    <font>
      <sz val="8"/>
      <color theme="1"/>
      <name val="Arial"/>
      <family val="2"/>
    </font>
    <font>
      <b/>
      <sz val="6"/>
      <name val="Arial"/>
      <family val="2"/>
    </font>
    <font>
      <sz val="7"/>
      <color theme="1"/>
      <name val="Arial"/>
      <family val="2"/>
    </font>
    <font>
      <sz val="6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Calibri"/>
      <family val="2"/>
    </font>
    <font>
      <sz val="8"/>
      <color theme="1" tint="0.499984740745262"/>
      <name val="Calibri"/>
      <family val="2"/>
    </font>
    <font>
      <sz val="6"/>
      <name val="Arial"/>
      <family val="2"/>
    </font>
    <font>
      <b/>
      <sz val="8"/>
      <color rgb="FF00B050"/>
      <name val="Arial"/>
      <family val="2"/>
    </font>
    <font>
      <sz val="6"/>
      <color theme="1" tint="0.499984740745262"/>
      <name val="Arial"/>
      <family val="2"/>
    </font>
    <font>
      <sz val="6"/>
      <color theme="1" tint="0.499984740745262"/>
      <name val="Calibri"/>
      <family val="2"/>
    </font>
    <font>
      <sz val="8"/>
      <name val="Calibri"/>
      <family val="2"/>
    </font>
    <font>
      <sz val="7"/>
      <color theme="1" tint="0.499984740745262"/>
      <name val="Calibri"/>
      <family val="2"/>
    </font>
    <font>
      <sz val="8.5"/>
      <name val="Arial"/>
      <family val="2"/>
    </font>
    <font>
      <sz val="8.5"/>
      <color theme="1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0"/>
      <color indexed="63"/>
      <name val="Calibri"/>
      <family val="2"/>
      <scheme val="minor"/>
    </font>
    <font>
      <b/>
      <sz val="10"/>
      <color indexed="63"/>
      <name val="Calibri"/>
      <family val="2"/>
      <scheme val="minor"/>
    </font>
    <font>
      <b/>
      <sz val="10"/>
      <color rgb="FFFF000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0"/>
      <color rgb="FF00B050"/>
      <name val="Calibri"/>
      <family val="2"/>
      <scheme val="minor"/>
    </font>
    <font>
      <sz val="8"/>
      <color rgb="FF00B050"/>
      <name val="Arial"/>
      <family val="2"/>
    </font>
    <font>
      <sz val="10"/>
      <color rgb="FF00B050"/>
      <name val="Arial"/>
      <family val="2"/>
    </font>
    <font>
      <sz val="8"/>
      <color rgb="FF00B050"/>
      <name val="Calibri"/>
      <family val="2"/>
      <scheme val="minor"/>
    </font>
    <font>
      <b/>
      <sz val="8"/>
      <color rgb="FF00B050"/>
      <name val="Calibri"/>
      <family val="2"/>
      <scheme val="minor"/>
    </font>
    <font>
      <sz val="10"/>
      <color theme="1"/>
      <name val="Arial"/>
      <family val="2"/>
    </font>
    <font>
      <b/>
      <sz val="8"/>
      <color rgb="FFFF0000"/>
      <name val="Arial"/>
      <family val="2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</font>
    <font>
      <b/>
      <sz val="9"/>
      <color theme="1"/>
      <name val="Calibri"/>
      <family val="2"/>
      <scheme val="minor"/>
    </font>
    <font>
      <b/>
      <sz val="7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7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9.5"/>
      <color theme="1"/>
      <name val="Arial"/>
      <family val="2"/>
    </font>
    <font>
      <sz val="6"/>
      <color theme="1"/>
      <name val="Calibri"/>
      <family val="2"/>
      <scheme val="minor"/>
    </font>
    <font>
      <sz val="6"/>
      <color theme="1"/>
      <name val="Arial"/>
      <family val="2"/>
    </font>
    <font>
      <b/>
      <sz val="7"/>
      <color rgb="FFFF0000"/>
      <name val="Arial"/>
      <family val="2"/>
    </font>
    <font>
      <b/>
      <sz val="6"/>
      <color rgb="FFFF0000"/>
      <name val="Arial"/>
      <family val="2"/>
    </font>
    <font>
      <b/>
      <sz val="10"/>
      <color rgb="FFFF0000"/>
      <name val="Calibri"/>
      <family val="2"/>
      <scheme val="minor"/>
    </font>
    <font>
      <sz val="10"/>
      <color theme="1" tint="0.499984740745262"/>
      <name val="Arial"/>
      <family val="2"/>
    </font>
    <font>
      <sz val="9"/>
      <color theme="1" tint="0.499984740745262"/>
      <name val="Arial"/>
      <family val="2"/>
    </font>
    <font>
      <b/>
      <sz val="9"/>
      <color theme="1" tint="0.499984740745262"/>
      <name val="Arial"/>
      <family val="2"/>
    </font>
    <font>
      <b/>
      <i/>
      <sz val="7"/>
      <name val="Arial"/>
      <family val="2"/>
    </font>
    <font>
      <u/>
      <sz val="8"/>
      <color theme="1"/>
      <name val="Arial"/>
      <family val="2"/>
    </font>
    <font>
      <b/>
      <i/>
      <sz val="9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vertAlign val="subscript"/>
      <sz val="9"/>
      <name val="Arial"/>
      <family val="2"/>
    </font>
    <font>
      <sz val="9"/>
      <color theme="0" tint="-0.499984740745262"/>
      <name val="Arial"/>
      <family val="2"/>
    </font>
    <font>
      <i/>
      <sz val="8"/>
      <name val="Arial"/>
      <family val="2"/>
    </font>
    <font>
      <b/>
      <sz val="12"/>
      <name val="Arial"/>
      <family val="2"/>
    </font>
    <font>
      <sz val="10"/>
      <name val="MS Sans Serif"/>
      <family val="2"/>
    </font>
    <font>
      <sz val="10"/>
      <color theme="0" tint="-0.499984740745262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gray0625">
        <fgColor theme="0" tint="-0.14996795556505021"/>
        <bgColor indexed="65"/>
      </patternFill>
    </fill>
    <fill>
      <patternFill patternType="gray125">
        <fgColor theme="0" tint="-4.9989318521683403E-2"/>
        <bgColor theme="0"/>
      </patternFill>
    </fill>
    <fill>
      <patternFill patternType="gray0625">
        <fgColor theme="0" tint="-0.24994659260841701"/>
        <bgColor indexed="65"/>
      </patternFill>
    </fill>
    <fill>
      <patternFill patternType="gray0625">
        <fgColor theme="0" tint="-0.24994659260841701"/>
        <bgColor theme="0"/>
      </patternFill>
    </fill>
    <fill>
      <patternFill patternType="solid">
        <fgColor theme="0"/>
        <bgColor theme="0" tint="-0.14996795556505021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theme="0" tint="-0.14996795556505021"/>
      </patternFill>
    </fill>
    <fill>
      <patternFill patternType="gray125">
        <fgColor theme="0" tint="-4.9989318521683403E-2"/>
        <bgColor rgb="FF00B050"/>
      </patternFill>
    </fill>
    <fill>
      <patternFill patternType="solid">
        <fgColor theme="7" tint="0.79998168889431442"/>
        <bgColor indexed="64"/>
      </patternFill>
    </fill>
  </fills>
  <borders count="17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/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/>
      <top style="dashed">
        <color theme="0" tint="-0.499984740745262"/>
      </top>
      <bottom style="dashed">
        <color theme="0" tint="-0.499984740745262"/>
      </bottom>
      <diagonal/>
    </border>
    <border>
      <left/>
      <right style="thin">
        <color indexed="64"/>
      </right>
      <top style="dashed">
        <color theme="0" tint="-0.499984740745262"/>
      </top>
      <bottom style="dashed">
        <color theme="0" tint="-0.499984740745262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indexed="64"/>
      </left>
      <right style="dashed">
        <color theme="0" tint="-0.499984740745262"/>
      </right>
      <top/>
      <bottom style="thin">
        <color indexed="64"/>
      </bottom>
      <diagonal/>
    </border>
    <border>
      <left style="dashed">
        <color theme="0" tint="-0.499984740745262"/>
      </left>
      <right style="dashed">
        <color theme="0" tint="-0.499984740745262"/>
      </right>
      <top/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 style="dashed">
        <color theme="0" tint="-0.499984740745262"/>
      </bottom>
      <diagonal/>
    </border>
    <border>
      <left/>
      <right/>
      <top style="thin">
        <color theme="1"/>
      </top>
      <bottom style="dashed">
        <color theme="0" tint="-0.499984740745262"/>
      </bottom>
      <diagonal/>
    </border>
    <border>
      <left/>
      <right style="thin">
        <color theme="1"/>
      </right>
      <top style="thin">
        <color theme="1"/>
      </top>
      <bottom style="dashed">
        <color theme="0" tint="-0.499984740745262"/>
      </bottom>
      <diagonal/>
    </border>
    <border>
      <left style="thin">
        <color theme="1"/>
      </left>
      <right/>
      <top style="dashed">
        <color theme="0" tint="-0.499984740745262"/>
      </top>
      <bottom style="dashed">
        <color theme="0" tint="-0.499984740745262"/>
      </bottom>
      <diagonal/>
    </border>
    <border>
      <left/>
      <right style="thin">
        <color theme="1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indexed="64"/>
      </left>
      <right style="thin">
        <color indexed="64"/>
      </right>
      <top style="dashed">
        <color theme="0" tint="-0.499984740745262"/>
      </top>
      <bottom/>
      <diagonal/>
    </border>
    <border>
      <left style="thin">
        <color indexed="64"/>
      </left>
      <right/>
      <top style="dashed">
        <color theme="0" tint="-0.499984740745262"/>
      </top>
      <bottom style="thin">
        <color theme="1"/>
      </bottom>
      <diagonal/>
    </border>
    <border>
      <left/>
      <right/>
      <top style="dashed">
        <color theme="0" tint="-0.499984740745262"/>
      </top>
      <bottom style="thin">
        <color theme="1"/>
      </bottom>
      <diagonal/>
    </border>
    <border>
      <left/>
      <right style="thin">
        <color indexed="64"/>
      </right>
      <top style="dashed">
        <color theme="0" tint="-0.499984740745262"/>
      </top>
      <bottom style="thin">
        <color theme="1"/>
      </bottom>
      <diagonal/>
    </border>
    <border>
      <left/>
      <right style="dashed">
        <color theme="0" tint="-0.499984740745262"/>
      </right>
      <top style="thin">
        <color theme="1"/>
      </top>
      <bottom style="dashed">
        <color theme="0" tint="-0.49998474074526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ashed">
        <color theme="0" tint="-0.499984740745262"/>
      </bottom>
      <diagonal/>
    </border>
    <border>
      <left style="thin">
        <color theme="1"/>
      </left>
      <right style="thin">
        <color theme="1"/>
      </right>
      <top style="dashed">
        <color theme="0" tint="-0.499984740745262"/>
      </top>
      <bottom style="dashed">
        <color theme="0" tint="-0.499984740745262"/>
      </bottom>
      <diagonal/>
    </border>
    <border>
      <left/>
      <right style="thin">
        <color indexed="64"/>
      </right>
      <top style="thin">
        <color theme="1"/>
      </top>
      <bottom style="dashed">
        <color theme="0" tint="-0.499984740745262"/>
      </bottom>
      <diagonal/>
    </border>
    <border>
      <left style="thin">
        <color indexed="64"/>
      </left>
      <right/>
      <top style="thin">
        <color theme="1"/>
      </top>
      <bottom style="dashed">
        <color theme="0" tint="-0.499984740745262"/>
      </bottom>
      <diagonal/>
    </border>
    <border>
      <left style="dashed">
        <color theme="0" tint="-0.499984740745262"/>
      </left>
      <right style="dashed">
        <color theme="0" tint="-0.499984740745262"/>
      </right>
      <top style="thin">
        <color theme="1"/>
      </top>
      <bottom style="dashed">
        <color theme="0" tint="-0.499984740745262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/>
      <bottom style="dashed">
        <color theme="0" tint="-0.14999847407452621"/>
      </bottom>
      <diagonal/>
    </border>
    <border>
      <left/>
      <right style="dashed">
        <color theme="0" tint="-0.14999847407452621"/>
      </right>
      <top style="thin">
        <color indexed="64"/>
      </top>
      <bottom/>
      <diagonal/>
    </border>
    <border>
      <left/>
      <right style="dashed">
        <color theme="0" tint="-0.14999847407452621"/>
      </right>
      <top/>
      <bottom/>
      <diagonal/>
    </border>
    <border>
      <left/>
      <right style="dashed">
        <color theme="0" tint="-0.14999847407452621"/>
      </right>
      <top/>
      <bottom style="dashed">
        <color theme="0" tint="-0.14999847407452621"/>
      </bottom>
      <diagonal/>
    </border>
    <border>
      <left/>
      <right/>
      <top style="dashed">
        <color theme="0" tint="-0.14999847407452621"/>
      </top>
      <bottom/>
      <diagonal/>
    </border>
    <border>
      <left style="dashed">
        <color theme="0" tint="-0.14999847407452621"/>
      </left>
      <right/>
      <top/>
      <bottom/>
      <diagonal/>
    </border>
    <border>
      <left style="dashed">
        <color theme="0" tint="-0.14999847407452621"/>
      </left>
      <right/>
      <top style="thin">
        <color indexed="64"/>
      </top>
      <bottom/>
      <diagonal/>
    </border>
    <border>
      <left style="dashed">
        <color theme="0" tint="-0.14999847407452621"/>
      </left>
      <right/>
      <top/>
      <bottom style="dashed">
        <color theme="0" tint="-0.14999847407452621"/>
      </bottom>
      <diagonal/>
    </border>
    <border>
      <left style="thin">
        <color indexed="64"/>
      </left>
      <right style="dashed">
        <color theme="0" tint="-0.14999847407452621"/>
      </right>
      <top/>
      <bottom/>
      <diagonal/>
    </border>
    <border>
      <left/>
      <right/>
      <top style="double">
        <color theme="1"/>
      </top>
      <bottom style="double">
        <color indexed="64"/>
      </bottom>
      <diagonal/>
    </border>
    <border>
      <left/>
      <right/>
      <top style="thin">
        <color theme="1" tint="0.499984740745262"/>
      </top>
      <bottom/>
      <diagonal/>
    </border>
    <border>
      <left style="thin">
        <color indexed="64"/>
      </left>
      <right/>
      <top/>
      <bottom style="thin">
        <color theme="1"/>
      </bottom>
      <diagonal/>
    </border>
    <border>
      <left/>
      <right/>
      <top style="double">
        <color indexed="64"/>
      </top>
      <bottom style="thin">
        <color theme="1" tint="0.499984740745262"/>
      </bottom>
      <diagonal/>
    </border>
    <border>
      <left style="thin">
        <color indexed="64"/>
      </left>
      <right/>
      <top style="dashed">
        <color theme="0" tint="-0.499984740745262"/>
      </top>
      <bottom style="dashed">
        <color theme="0" tint="-0.499984740745262"/>
      </bottom>
      <diagonal/>
    </border>
    <border>
      <left/>
      <right style="dashed">
        <color theme="1" tint="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1"/>
      </left>
      <right/>
      <top style="dashed">
        <color theme="0" tint="-0.499984740745262"/>
      </top>
      <bottom style="thin">
        <color indexed="64"/>
      </bottom>
      <diagonal/>
    </border>
    <border>
      <left/>
      <right/>
      <top style="dashed">
        <color theme="0" tint="-0.499984740745262"/>
      </top>
      <bottom style="thin">
        <color indexed="64"/>
      </bottom>
      <diagonal/>
    </border>
    <border>
      <left/>
      <right style="thin">
        <color theme="1"/>
      </right>
      <top style="dashed">
        <color theme="0" tint="-0.499984740745262"/>
      </top>
      <bottom style="thin">
        <color indexed="64"/>
      </bottom>
      <diagonal/>
    </border>
    <border>
      <left/>
      <right style="thin">
        <color indexed="64"/>
      </right>
      <top style="dashed">
        <color theme="0" tint="-0.499984740745262"/>
      </top>
      <bottom style="thin">
        <color indexed="64"/>
      </bottom>
      <diagonal/>
    </border>
    <border>
      <left/>
      <right style="dashed">
        <color theme="0" tint="-0.249977111117893"/>
      </right>
      <top style="dashed">
        <color theme="0" tint="-0.499984740745262"/>
      </top>
      <bottom style="dashed">
        <color theme="0" tint="-0.499984740745262"/>
      </bottom>
      <diagonal/>
    </border>
    <border>
      <left/>
      <right style="dashed">
        <color theme="0" tint="-0.249977111117893"/>
      </right>
      <top style="thin">
        <color theme="1"/>
      </top>
      <bottom style="dashed">
        <color theme="0" tint="-0.499984740745262"/>
      </bottom>
      <diagonal/>
    </border>
    <border>
      <left style="dashed">
        <color theme="0" tint="-0.249977111117893"/>
      </left>
      <right style="dashed">
        <color theme="0" tint="-0.249977111117893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1"/>
      </left>
      <right style="dashed">
        <color theme="0" tint="-0.249977111117893"/>
      </right>
      <top style="dashed">
        <color theme="0" tint="-0.499984740745262"/>
      </top>
      <bottom style="dashed">
        <color theme="0" tint="-0.499984740745262"/>
      </bottom>
      <diagonal/>
    </border>
    <border>
      <left style="dashed">
        <color theme="0" tint="-0.249977111117893"/>
      </left>
      <right/>
      <top style="dashed">
        <color theme="0" tint="-0.499984740745262"/>
      </top>
      <bottom style="dashed">
        <color theme="0" tint="-0.499984740745262"/>
      </bottom>
      <diagonal/>
    </border>
    <border>
      <left style="dashed">
        <color theme="0" tint="-0.249977111117893"/>
      </left>
      <right style="thin">
        <color indexed="64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indexed="64"/>
      </left>
      <right/>
      <top/>
      <bottom style="dashed">
        <color theme="0" tint="-4.9989318521683403E-2"/>
      </bottom>
      <diagonal/>
    </border>
    <border>
      <left/>
      <right/>
      <top/>
      <bottom style="dashed">
        <color theme="0" tint="-4.9989318521683403E-2"/>
      </bottom>
      <diagonal/>
    </border>
    <border>
      <left/>
      <right style="thin">
        <color indexed="64"/>
      </right>
      <top/>
      <bottom style="dashed">
        <color theme="0" tint="-4.9989318521683403E-2"/>
      </bottom>
      <diagonal/>
    </border>
    <border>
      <left style="thin">
        <color indexed="64"/>
      </left>
      <right style="dashed">
        <color theme="0" tint="-4.9989318521683403E-2"/>
      </right>
      <top/>
      <bottom style="dashed">
        <color theme="0" tint="-4.9989318521683403E-2"/>
      </bottom>
      <diagonal/>
    </border>
    <border>
      <left style="dashed">
        <color theme="0" tint="-4.9989318521683403E-2"/>
      </left>
      <right style="dashed">
        <color theme="0" tint="-4.9989318521683403E-2"/>
      </right>
      <top/>
      <bottom style="dashed">
        <color theme="0" tint="-4.9989318521683403E-2"/>
      </bottom>
      <diagonal/>
    </border>
    <border>
      <left style="dashed">
        <color theme="0" tint="-4.9989318521683403E-2"/>
      </left>
      <right/>
      <top/>
      <bottom style="dashed">
        <color theme="0" tint="-4.9989318521683403E-2"/>
      </bottom>
      <diagonal/>
    </border>
    <border>
      <left style="thin">
        <color theme="1"/>
      </left>
      <right style="dashed">
        <color theme="0" tint="-4.9989318521683403E-2"/>
      </right>
      <top/>
      <bottom style="dashed">
        <color theme="0" tint="-4.9989318521683403E-2"/>
      </bottom>
      <diagonal/>
    </border>
    <border>
      <left style="dashed">
        <color theme="0" tint="-4.9989318521683403E-2"/>
      </left>
      <right style="thin">
        <color indexed="64"/>
      </right>
      <top/>
      <bottom style="dashed">
        <color theme="0" tint="-4.9989318521683403E-2"/>
      </bottom>
      <diagonal/>
    </border>
    <border>
      <left style="thin">
        <color indexed="64"/>
      </left>
      <right/>
      <top style="dashed">
        <color theme="0" tint="-4.9989318521683403E-2"/>
      </top>
      <bottom style="dashed">
        <color theme="0" tint="-4.9989318521683403E-2"/>
      </bottom>
      <diagonal/>
    </border>
    <border>
      <left/>
      <right/>
      <top style="dashed">
        <color theme="0" tint="-4.9989318521683403E-2"/>
      </top>
      <bottom style="dashed">
        <color theme="0" tint="-4.9989318521683403E-2"/>
      </bottom>
      <diagonal/>
    </border>
    <border>
      <left/>
      <right style="thin">
        <color indexed="64"/>
      </right>
      <top style="dashed">
        <color theme="0" tint="-4.9989318521683403E-2"/>
      </top>
      <bottom style="dashed">
        <color theme="0" tint="-4.9989318521683403E-2"/>
      </bottom>
      <diagonal/>
    </border>
    <border>
      <left style="thin">
        <color indexed="64"/>
      </left>
      <right style="dashed">
        <color theme="0" tint="-4.9989318521683403E-2"/>
      </right>
      <top style="dashed">
        <color theme="0" tint="-4.9989318521683403E-2"/>
      </top>
      <bottom style="dashed">
        <color theme="0" tint="-4.9989318521683403E-2"/>
      </bottom>
      <diagonal/>
    </border>
    <border>
      <left style="dashed">
        <color theme="0" tint="-4.9989318521683403E-2"/>
      </left>
      <right style="dashed">
        <color theme="0" tint="-4.9989318521683403E-2"/>
      </right>
      <top style="dashed">
        <color theme="0" tint="-4.9989318521683403E-2"/>
      </top>
      <bottom style="dashed">
        <color theme="0" tint="-4.9989318521683403E-2"/>
      </bottom>
      <diagonal/>
    </border>
    <border>
      <left style="dashed">
        <color theme="0" tint="-4.9989318521683403E-2"/>
      </left>
      <right/>
      <top style="dashed">
        <color theme="0" tint="-4.9989318521683403E-2"/>
      </top>
      <bottom style="dashed">
        <color theme="0" tint="-4.9989318521683403E-2"/>
      </bottom>
      <diagonal/>
    </border>
    <border>
      <left style="thin">
        <color theme="1"/>
      </left>
      <right style="dashed">
        <color theme="0" tint="-4.9989318521683403E-2"/>
      </right>
      <top style="dashed">
        <color theme="0" tint="-4.9989318521683403E-2"/>
      </top>
      <bottom style="dashed">
        <color theme="0" tint="-4.9989318521683403E-2"/>
      </bottom>
      <diagonal/>
    </border>
    <border>
      <left style="dashed">
        <color theme="0" tint="-4.9989318521683403E-2"/>
      </left>
      <right style="thin">
        <color indexed="64"/>
      </right>
      <top style="dashed">
        <color theme="0" tint="-4.9989318521683403E-2"/>
      </top>
      <bottom style="dashed">
        <color theme="0" tint="-4.9989318521683403E-2"/>
      </bottom>
      <diagonal/>
    </border>
    <border>
      <left/>
      <right style="thin">
        <color theme="1"/>
      </right>
      <top style="dashed">
        <color theme="0" tint="-4.9989318521683403E-2"/>
      </top>
      <bottom style="dashed">
        <color theme="0" tint="-4.9989318521683403E-2"/>
      </bottom>
      <diagonal/>
    </border>
    <border>
      <left style="thin">
        <color indexed="64"/>
      </left>
      <right/>
      <top style="dashed">
        <color theme="0" tint="-4.9989318521683403E-2"/>
      </top>
      <bottom/>
      <diagonal/>
    </border>
    <border>
      <left/>
      <right/>
      <top style="dashed">
        <color theme="0" tint="-4.9989318521683403E-2"/>
      </top>
      <bottom/>
      <diagonal/>
    </border>
    <border>
      <left/>
      <right style="thin">
        <color indexed="64"/>
      </right>
      <top style="dashed">
        <color theme="0" tint="-4.9989318521683403E-2"/>
      </top>
      <bottom/>
      <diagonal/>
    </border>
    <border>
      <left style="thin">
        <color indexed="64"/>
      </left>
      <right style="dashed">
        <color theme="0" tint="-4.9989318521683403E-2"/>
      </right>
      <top style="dashed">
        <color theme="0" tint="-4.9989318521683403E-2"/>
      </top>
      <bottom/>
      <diagonal/>
    </border>
    <border>
      <left style="dashed">
        <color theme="0" tint="-4.9989318521683403E-2"/>
      </left>
      <right style="dashed">
        <color theme="0" tint="-4.9989318521683403E-2"/>
      </right>
      <top style="dashed">
        <color theme="0" tint="-4.9989318521683403E-2"/>
      </top>
      <bottom/>
      <diagonal/>
    </border>
    <border>
      <left style="dashed">
        <color theme="0" tint="-4.9989318521683403E-2"/>
      </left>
      <right/>
      <top style="dashed">
        <color theme="0" tint="-4.9989318521683403E-2"/>
      </top>
      <bottom/>
      <diagonal/>
    </border>
    <border>
      <left style="thin">
        <color theme="1"/>
      </left>
      <right style="dashed">
        <color theme="0" tint="-4.9989318521683403E-2"/>
      </right>
      <top style="dashed">
        <color theme="0" tint="-4.9989318521683403E-2"/>
      </top>
      <bottom/>
      <diagonal/>
    </border>
    <border>
      <left style="dashed">
        <color theme="0" tint="-4.9989318521683403E-2"/>
      </left>
      <right style="thin">
        <color indexed="64"/>
      </right>
      <top style="dashed">
        <color theme="0" tint="-4.9989318521683403E-2"/>
      </top>
      <bottom/>
      <diagonal/>
    </border>
    <border>
      <left style="thin">
        <color indexed="64"/>
      </left>
      <right/>
      <top style="dashed">
        <color theme="0" tint="-4.9989318521683403E-2"/>
      </top>
      <bottom style="thin">
        <color indexed="64"/>
      </bottom>
      <diagonal/>
    </border>
    <border>
      <left/>
      <right/>
      <top style="dashed">
        <color theme="0" tint="-4.9989318521683403E-2"/>
      </top>
      <bottom style="thin">
        <color indexed="64"/>
      </bottom>
      <diagonal/>
    </border>
    <border>
      <left/>
      <right style="thin">
        <color indexed="64"/>
      </right>
      <top style="dashed">
        <color theme="0" tint="-4.9989318521683403E-2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theme="1"/>
      </right>
      <top style="thin">
        <color indexed="64"/>
      </top>
      <bottom/>
      <diagonal/>
    </border>
    <border>
      <left style="dashed">
        <color theme="0" tint="-0.14999847407452621"/>
      </left>
      <right/>
      <top style="dashed">
        <color theme="0" tint="-0.14999847407452621"/>
      </top>
      <bottom style="thin">
        <color indexed="64"/>
      </bottom>
      <diagonal/>
    </border>
    <border>
      <left/>
      <right/>
      <top style="dashed">
        <color theme="0" tint="-0.14999847407452621"/>
      </top>
      <bottom style="thin">
        <color indexed="64"/>
      </bottom>
      <diagonal/>
    </border>
    <border>
      <left/>
      <right style="thin">
        <color indexed="64"/>
      </right>
      <top style="dashed">
        <color theme="0" tint="-0.14999847407452621"/>
      </top>
      <bottom style="thin">
        <color indexed="64"/>
      </bottom>
      <diagonal/>
    </border>
    <border>
      <left style="thin">
        <color indexed="64"/>
      </left>
      <right style="dashed">
        <color theme="0" tint="-0.14999847407452621"/>
      </right>
      <top style="thin">
        <color indexed="64"/>
      </top>
      <bottom/>
      <diagonal/>
    </border>
    <border>
      <left style="thin">
        <color indexed="64"/>
      </left>
      <right style="dashed">
        <color theme="0" tint="-0.14999847407452621"/>
      </right>
      <top/>
      <bottom style="thin">
        <color indexed="64"/>
      </bottom>
      <diagonal/>
    </border>
    <border>
      <left style="thin">
        <color theme="1"/>
      </left>
      <right/>
      <top/>
      <bottom style="double">
        <color theme="1"/>
      </bottom>
      <diagonal/>
    </border>
    <border>
      <left/>
      <right/>
      <top/>
      <bottom style="double">
        <color theme="1"/>
      </bottom>
      <diagonal/>
    </border>
    <border>
      <left/>
      <right style="thin">
        <color indexed="64"/>
      </right>
      <top/>
      <bottom style="double">
        <color theme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ashed">
        <color theme="0" tint="-0.249977111117893"/>
      </left>
      <right/>
      <top style="thin">
        <color theme="1"/>
      </top>
      <bottom style="dashed">
        <color theme="0" tint="-0.499984740745262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theme="1"/>
      </right>
      <top/>
      <bottom style="double">
        <color theme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theme="0" tint="-4.9989318521683403E-2"/>
      </right>
      <top/>
      <bottom/>
      <diagonal/>
    </border>
    <border>
      <left style="dashed">
        <color theme="0" tint="-4.9989318521683403E-2"/>
      </left>
      <right style="dashed">
        <color theme="0" tint="-4.9989318521683403E-2"/>
      </right>
      <top/>
      <bottom/>
      <diagonal/>
    </border>
    <border>
      <left style="dashed">
        <color theme="0" tint="-4.9989318521683403E-2"/>
      </left>
      <right style="thin">
        <color indexed="64"/>
      </right>
      <top/>
      <bottom/>
      <diagonal/>
    </border>
    <border>
      <left/>
      <right style="dashed">
        <color theme="0" tint="-4.9989318521683403E-2"/>
      </right>
      <top style="dashed">
        <color theme="0" tint="-4.9989318521683403E-2"/>
      </top>
      <bottom style="dashed">
        <color theme="0" tint="-4.9989318521683403E-2"/>
      </bottom>
      <diagonal/>
    </border>
    <border>
      <left style="thin">
        <color theme="1"/>
      </left>
      <right/>
      <top style="dashed">
        <color theme="0" tint="-4.9989318521683403E-2"/>
      </top>
      <bottom style="dashed">
        <color theme="0" tint="-4.9989318521683403E-2"/>
      </bottom>
      <diagonal/>
    </border>
    <border>
      <left style="thin">
        <color theme="1"/>
      </left>
      <right style="dashed">
        <color theme="0" tint="-4.9989318521683403E-2"/>
      </right>
      <top/>
      <bottom style="thin">
        <color indexed="64"/>
      </bottom>
      <diagonal/>
    </border>
    <border>
      <left style="dashed">
        <color theme="0" tint="-4.9989318521683403E-2"/>
      </left>
      <right style="dashed">
        <color theme="0" tint="-4.9989318521683403E-2"/>
      </right>
      <top/>
      <bottom style="thin">
        <color indexed="64"/>
      </bottom>
      <diagonal/>
    </border>
    <border>
      <left style="dashed">
        <color theme="0" tint="-4.9989318521683403E-2"/>
      </left>
      <right style="thin">
        <color indexed="64"/>
      </right>
      <top/>
      <bottom style="thin">
        <color indexed="64"/>
      </bottom>
      <diagonal/>
    </border>
  </borders>
  <cellStyleXfs count="202">
    <xf numFmtId="0" fontId="0" fillId="0" borderId="0"/>
    <xf numFmtId="172" fontId="12" fillId="0" borderId="1">
      <alignment horizontal="right"/>
    </xf>
    <xf numFmtId="2" fontId="14" fillId="0" borderId="0"/>
    <xf numFmtId="173" fontId="14" fillId="0" borderId="0"/>
    <xf numFmtId="174" fontId="15" fillId="0" borderId="0"/>
    <xf numFmtId="175" fontId="12" fillId="0" borderId="1">
      <alignment horizontal="right"/>
    </xf>
    <xf numFmtId="172" fontId="12" fillId="0" borderId="0">
      <protection locked="0"/>
    </xf>
    <xf numFmtId="3" fontId="1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172" fontId="12" fillId="0" borderId="0">
      <protection locked="0"/>
    </xf>
    <xf numFmtId="166" fontId="1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176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72" fontId="12" fillId="0" borderId="0">
      <protection locked="0"/>
    </xf>
    <xf numFmtId="172" fontId="12" fillId="0" borderId="0">
      <protection locked="0"/>
    </xf>
    <xf numFmtId="172" fontId="12" fillId="0" borderId="0">
      <protection locked="0"/>
    </xf>
    <xf numFmtId="172" fontId="12" fillId="0" borderId="0">
      <protection locked="0"/>
    </xf>
    <xf numFmtId="172" fontId="12" fillId="0" borderId="0">
      <protection locked="0"/>
    </xf>
    <xf numFmtId="172" fontId="12" fillId="0" borderId="0">
      <protection locked="0"/>
    </xf>
    <xf numFmtId="172" fontId="12" fillId="0" borderId="0">
      <protection locked="0"/>
    </xf>
    <xf numFmtId="2" fontId="16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72" fontId="12" fillId="0" borderId="0">
      <protection locked="0"/>
    </xf>
    <xf numFmtId="172" fontId="12" fillId="0" borderId="0">
      <protection locked="0"/>
    </xf>
    <xf numFmtId="178" fontId="12" fillId="0" borderId="0">
      <alignment horizontal="right"/>
    </xf>
    <xf numFmtId="179" fontId="12" fillId="0" borderId="0" applyFont="0" applyFill="0" applyBorder="0" applyAlignment="0">
      <alignment horizontal="center"/>
    </xf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2" fontId="12" fillId="0" borderId="0">
      <alignment horizontal="right"/>
    </xf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84" fontId="20" fillId="0" borderId="0" applyFont="0" applyFill="0" applyBorder="0" applyAlignment="0" applyProtection="0"/>
    <xf numFmtId="185" fontId="21" fillId="0" borderId="0"/>
    <xf numFmtId="186" fontId="12" fillId="0" borderId="0" applyFont="0" applyFill="0" applyBorder="0" applyAlignment="0">
      <alignment horizontal="center"/>
    </xf>
    <xf numFmtId="0" fontId="25" fillId="0" borderId="0"/>
    <xf numFmtId="0" fontId="12" fillId="0" borderId="0"/>
    <xf numFmtId="1" fontId="12" fillId="0" borderId="0"/>
    <xf numFmtId="1" fontId="12" fillId="0" borderId="0"/>
    <xf numFmtId="0" fontId="12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25" fillId="0" borderId="0"/>
    <xf numFmtId="0" fontId="23" fillId="0" borderId="0"/>
    <xf numFmtId="0" fontId="12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2" fillId="0" borderId="0"/>
    <xf numFmtId="0" fontId="12" fillId="0" borderId="0"/>
    <xf numFmtId="0" fontId="17" fillId="0" borderId="0"/>
    <xf numFmtId="172" fontId="12" fillId="0" borderId="0">
      <protection locked="0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2" fillId="0" borderId="0">
      <alignment vertical="top"/>
    </xf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166" fontId="10" fillId="0" borderId="0" applyFont="0" applyFill="0" applyBorder="0" applyAlignment="0" applyProtection="0"/>
    <xf numFmtId="0" fontId="42" fillId="0" borderId="0"/>
    <xf numFmtId="0" fontId="12" fillId="0" borderId="0"/>
    <xf numFmtId="0" fontId="4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0" fontId="8" fillId="0" borderId="0"/>
    <xf numFmtId="0" fontId="12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19" fillId="0" borderId="0"/>
  </cellStyleXfs>
  <cellXfs count="1569">
    <xf numFmtId="0" fontId="0" fillId="0" borderId="0" xfId="0"/>
    <xf numFmtId="0" fontId="39" fillId="0" borderId="0" xfId="0" applyFont="1" applyAlignment="1">
      <alignment horizontal="center" vertical="center"/>
    </xf>
    <xf numFmtId="173" fontId="39" fillId="0" borderId="0" xfId="0" applyNumberFormat="1" applyFont="1" applyAlignment="1">
      <alignment horizontal="center" vertical="center"/>
    </xf>
    <xf numFmtId="170" fontId="41" fillId="0" borderId="0" xfId="0" applyNumberFormat="1" applyFont="1" applyAlignment="1">
      <alignment horizontal="center" vertical="center"/>
    </xf>
    <xf numFmtId="173" fontId="41" fillId="0" borderId="0" xfId="0" applyNumberFormat="1" applyFont="1" applyAlignment="1">
      <alignment horizontal="center" vertical="center"/>
    </xf>
    <xf numFmtId="170" fontId="70" fillId="0" borderId="0" xfId="0" applyNumberFormat="1" applyFont="1" applyAlignment="1">
      <alignment horizontal="center" vertical="center"/>
    </xf>
    <xf numFmtId="173" fontId="70" fillId="0" borderId="0" xfId="0" applyNumberFormat="1" applyFont="1" applyAlignment="1">
      <alignment horizontal="center" vertical="center"/>
    </xf>
    <xf numFmtId="170" fontId="53" fillId="0" borderId="0" xfId="0" applyNumberFormat="1" applyFont="1" applyAlignment="1" applyProtection="1">
      <alignment horizontal="center" vertical="center"/>
      <protection locked="0"/>
    </xf>
    <xf numFmtId="0" fontId="69" fillId="0" borderId="20" xfId="150" applyFont="1" applyBorder="1" applyAlignment="1">
      <alignment wrapText="1"/>
    </xf>
    <xf numFmtId="170" fontId="46" fillId="4" borderId="0" xfId="0" applyNumberFormat="1" applyFont="1" applyFill="1" applyAlignment="1" applyProtection="1">
      <alignment horizontal="center" vertical="center" wrapText="1"/>
      <protection locked="0"/>
    </xf>
    <xf numFmtId="1" fontId="46" fillId="4" borderId="0" xfId="0" applyNumberFormat="1" applyFont="1" applyFill="1" applyAlignment="1" applyProtection="1">
      <alignment horizontal="center" vertical="center" wrapText="1"/>
      <protection locked="0"/>
    </xf>
    <xf numFmtId="0" fontId="26" fillId="0" borderId="0" xfId="0" applyFont="1" applyProtection="1">
      <protection locked="0"/>
    </xf>
    <xf numFmtId="1" fontId="29" fillId="0" borderId="0" xfId="0" applyNumberFormat="1" applyFont="1" applyAlignment="1" applyProtection="1">
      <alignment vertical="center" wrapText="1"/>
      <protection locked="0"/>
    </xf>
    <xf numFmtId="170" fontId="52" fillId="0" borderId="15" xfId="0" applyNumberFormat="1" applyFont="1" applyBorder="1" applyAlignment="1" applyProtection="1">
      <alignment horizontal="center" vertical="center" wrapText="1"/>
      <protection locked="0"/>
    </xf>
    <xf numFmtId="170" fontId="53" fillId="0" borderId="9" xfId="0" applyNumberFormat="1" applyFont="1" applyBorder="1" applyAlignment="1" applyProtection="1">
      <alignment horizontal="center" vertical="center"/>
      <protection locked="0"/>
    </xf>
    <xf numFmtId="170" fontId="53" fillId="0" borderId="10" xfId="0" applyNumberFormat="1" applyFont="1" applyBorder="1" applyAlignment="1" applyProtection="1">
      <alignment horizontal="center" vertical="center"/>
      <protection locked="0"/>
    </xf>
    <xf numFmtId="170" fontId="53" fillId="0" borderId="11" xfId="0" applyNumberFormat="1" applyFont="1" applyBorder="1" applyAlignment="1" applyProtection="1">
      <alignment horizontal="center" vertical="center"/>
      <protection locked="0"/>
    </xf>
    <xf numFmtId="0" fontId="12" fillId="0" borderId="0" xfId="82" applyProtection="1">
      <protection locked="0"/>
    </xf>
    <xf numFmtId="0" fontId="12" fillId="0" borderId="0" xfId="0" applyFont="1" applyAlignment="1" applyProtection="1">
      <alignment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38" fillId="2" borderId="33" xfId="0" applyFont="1" applyFill="1" applyBorder="1" applyAlignment="1">
      <alignment horizontal="center" vertical="center"/>
    </xf>
    <xf numFmtId="0" fontId="0" fillId="2" borderId="34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170" fontId="14" fillId="4" borderId="22" xfId="0" applyNumberFormat="1" applyFont="1" applyFill="1" applyBorder="1" applyAlignment="1">
      <alignment horizontal="center" vertical="center"/>
    </xf>
    <xf numFmtId="170" fontId="46" fillId="4" borderId="45" xfId="0" applyNumberFormat="1" applyFont="1" applyFill="1" applyBorder="1" applyAlignment="1">
      <alignment horizontal="center" vertical="center"/>
    </xf>
    <xf numFmtId="170" fontId="46" fillId="4" borderId="50" xfId="0" applyNumberFormat="1" applyFont="1" applyFill="1" applyBorder="1" applyAlignment="1">
      <alignment horizontal="center" vertical="center"/>
    </xf>
    <xf numFmtId="170" fontId="46" fillId="4" borderId="37" xfId="0" applyNumberFormat="1" applyFont="1" applyFill="1" applyBorder="1" applyAlignment="1">
      <alignment horizontal="center" vertical="center"/>
    </xf>
    <xf numFmtId="170" fontId="14" fillId="4" borderId="41" xfId="0" applyNumberFormat="1" applyFont="1" applyFill="1" applyBorder="1" applyAlignment="1">
      <alignment horizontal="center" vertical="center"/>
    </xf>
    <xf numFmtId="0" fontId="14" fillId="4" borderId="46" xfId="0" applyFont="1" applyFill="1" applyBorder="1" applyAlignment="1">
      <alignment horizontal="center" vertical="center"/>
    </xf>
    <xf numFmtId="1" fontId="14" fillId="4" borderId="47" xfId="0" applyNumberFormat="1" applyFont="1" applyFill="1" applyBorder="1" applyAlignment="1">
      <alignment horizontal="center" vertical="center"/>
    </xf>
    <xf numFmtId="1" fontId="46" fillId="4" borderId="40" xfId="0" applyNumberFormat="1" applyFont="1" applyFill="1" applyBorder="1" applyAlignment="1">
      <alignment horizontal="center" vertical="center"/>
    </xf>
    <xf numFmtId="1" fontId="24" fillId="4" borderId="47" xfId="0" applyNumberFormat="1" applyFont="1" applyFill="1" applyBorder="1" applyAlignment="1">
      <alignment horizontal="center" vertical="center" wrapText="1"/>
    </xf>
    <xf numFmtId="170" fontId="14" fillId="4" borderId="47" xfId="0" applyNumberFormat="1" applyFont="1" applyFill="1" applyBorder="1" applyAlignment="1">
      <alignment horizontal="center" vertical="center"/>
    </xf>
    <xf numFmtId="170" fontId="46" fillId="4" borderId="40" xfId="0" applyNumberFormat="1" applyFont="1" applyFill="1" applyBorder="1" applyAlignment="1">
      <alignment horizontal="center" vertical="center"/>
    </xf>
    <xf numFmtId="0" fontId="64" fillId="4" borderId="29" xfId="0" applyFont="1" applyFill="1" applyBorder="1" applyAlignment="1">
      <alignment horizontal="center" vertical="center"/>
    </xf>
    <xf numFmtId="170" fontId="14" fillId="4" borderId="47" xfId="0" applyNumberFormat="1" applyFont="1" applyFill="1" applyBorder="1" applyAlignment="1">
      <alignment horizontal="center" vertical="center" wrapText="1"/>
    </xf>
    <xf numFmtId="0" fontId="62" fillId="4" borderId="29" xfId="0" applyFont="1" applyFill="1" applyBorder="1" applyAlignment="1">
      <alignment horizontal="center" vertical="center"/>
    </xf>
    <xf numFmtId="2" fontId="14" fillId="4" borderId="47" xfId="0" applyNumberFormat="1" applyFont="1" applyFill="1" applyBorder="1" applyAlignment="1">
      <alignment horizontal="center" vertical="center"/>
    </xf>
    <xf numFmtId="0" fontId="46" fillId="0" borderId="40" xfId="0" applyFont="1" applyBorder="1" applyAlignment="1">
      <alignment horizontal="center" vertical="center"/>
    </xf>
    <xf numFmtId="170" fontId="52" fillId="0" borderId="13" xfId="0" applyNumberFormat="1" applyFont="1" applyBorder="1" applyAlignment="1">
      <alignment horizontal="center" vertical="center"/>
    </xf>
    <xf numFmtId="170" fontId="52" fillId="0" borderId="11" xfId="125" applyNumberFormat="1" applyFont="1" applyBorder="1" applyAlignment="1" applyProtection="1">
      <alignment horizontal="center" vertical="center" wrapText="1"/>
    </xf>
    <xf numFmtId="170" fontId="36" fillId="0" borderId="12" xfId="125" applyNumberFormat="1" applyFont="1" applyBorder="1" applyAlignment="1" applyProtection="1">
      <alignment horizontal="center" vertical="center" wrapText="1"/>
    </xf>
    <xf numFmtId="170" fontId="54" fillId="0" borderId="5" xfId="0" applyNumberFormat="1" applyFont="1" applyBorder="1" applyAlignment="1">
      <alignment horizontal="center" vertical="center" wrapText="1"/>
    </xf>
    <xf numFmtId="1" fontId="29" fillId="0" borderId="9" xfId="0" applyNumberFormat="1" applyFont="1" applyBorder="1" applyAlignment="1">
      <alignment horizontal="center" vertical="center" wrapText="1"/>
    </xf>
    <xf numFmtId="1" fontId="29" fillId="0" borderId="11" xfId="0" applyNumberFormat="1" applyFont="1" applyBorder="1" applyAlignment="1">
      <alignment horizontal="center" vertical="center" wrapText="1"/>
    </xf>
    <xf numFmtId="0" fontId="26" fillId="0" borderId="0" xfId="0" applyFont="1"/>
    <xf numFmtId="170" fontId="53" fillId="4" borderId="14" xfId="0" applyNumberFormat="1" applyFont="1" applyFill="1" applyBorder="1" applyAlignment="1">
      <alignment horizontal="center" vertical="center"/>
    </xf>
    <xf numFmtId="170" fontId="53" fillId="4" borderId="15" xfId="0" applyNumberFormat="1" applyFont="1" applyFill="1" applyBorder="1" applyAlignment="1">
      <alignment horizontal="center" vertical="center"/>
    </xf>
    <xf numFmtId="170" fontId="53" fillId="0" borderId="13" xfId="0" applyNumberFormat="1" applyFont="1" applyBorder="1" applyAlignment="1">
      <alignment horizontal="center" vertical="center"/>
    </xf>
    <xf numFmtId="170" fontId="53" fillId="0" borderId="5" xfId="0" applyNumberFormat="1" applyFont="1" applyBorder="1" applyAlignment="1">
      <alignment horizontal="center" vertical="center"/>
    </xf>
    <xf numFmtId="9" fontId="53" fillId="4" borderId="9" xfId="0" applyNumberFormat="1" applyFont="1" applyFill="1" applyBorder="1" applyAlignment="1">
      <alignment horizontal="center" vertical="center"/>
    </xf>
    <xf numFmtId="9" fontId="53" fillId="0" borderId="10" xfId="0" applyNumberFormat="1" applyFont="1" applyBorder="1" applyAlignment="1">
      <alignment horizontal="center" vertical="center"/>
    </xf>
    <xf numFmtId="9" fontId="53" fillId="0" borderId="11" xfId="0" applyNumberFormat="1" applyFont="1" applyBorder="1" applyAlignment="1">
      <alignment horizontal="center" vertical="center"/>
    </xf>
    <xf numFmtId="9" fontId="53" fillId="0" borderId="0" xfId="0" applyNumberFormat="1" applyFont="1" applyAlignment="1">
      <alignment horizontal="center" vertical="center"/>
    </xf>
    <xf numFmtId="1" fontId="53" fillId="0" borderId="0" xfId="0" applyNumberFormat="1" applyFont="1" applyAlignment="1">
      <alignment horizontal="center" vertical="center"/>
    </xf>
    <xf numFmtId="1" fontId="53" fillId="0" borderId="11" xfId="0" applyNumberFormat="1" applyFont="1" applyBorder="1" applyAlignment="1">
      <alignment horizontal="center" vertical="center"/>
    </xf>
    <xf numFmtId="0" fontId="43" fillId="0" borderId="0" xfId="151" applyFont="1" applyAlignment="1">
      <alignment horizontal="center" vertical="top" wrapText="1"/>
    </xf>
    <xf numFmtId="0" fontId="12" fillId="0" borderId="0" xfId="0" applyFont="1" applyAlignment="1">
      <alignment vertical="center"/>
    </xf>
    <xf numFmtId="170" fontId="46" fillId="4" borderId="0" xfId="0" applyNumberFormat="1" applyFont="1" applyFill="1" applyAlignment="1">
      <alignment horizontal="center" vertical="center" wrapText="1"/>
    </xf>
    <xf numFmtId="173" fontId="46" fillId="4" borderId="0" xfId="0" applyNumberFormat="1" applyFont="1" applyFill="1" applyAlignment="1">
      <alignment horizontal="center" vertical="center" wrapText="1"/>
    </xf>
    <xf numFmtId="1" fontId="46" fillId="4" borderId="0" xfId="0" applyNumberFormat="1" applyFont="1" applyFill="1" applyAlignment="1">
      <alignment horizontal="center" vertical="center" wrapText="1"/>
    </xf>
    <xf numFmtId="170" fontId="46" fillId="4" borderId="20" xfId="0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Alignment="1">
      <alignment vertical="center"/>
    </xf>
    <xf numFmtId="0" fontId="46" fillId="4" borderId="73" xfId="0" applyFont="1" applyFill="1" applyBorder="1" applyAlignment="1">
      <alignment horizontal="center" vertical="center"/>
    </xf>
    <xf numFmtId="170" fontId="46" fillId="4" borderId="73" xfId="0" applyNumberFormat="1" applyFont="1" applyFill="1" applyBorder="1" applyAlignment="1">
      <alignment horizontal="center" vertical="center"/>
    </xf>
    <xf numFmtId="1" fontId="46" fillId="4" borderId="73" xfId="0" applyNumberFormat="1" applyFont="1" applyFill="1" applyBorder="1" applyAlignment="1">
      <alignment horizontal="center" vertical="center"/>
    </xf>
    <xf numFmtId="0" fontId="12" fillId="0" borderId="0" xfId="82"/>
    <xf numFmtId="0" fontId="26" fillId="0" borderId="15" xfId="0" applyFont="1" applyBorder="1"/>
    <xf numFmtId="0" fontId="28" fillId="4" borderId="2" xfId="0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5" fillId="4" borderId="0" xfId="0" applyFont="1" applyFill="1" applyAlignment="1">
      <alignment vertical="center"/>
    </xf>
    <xf numFmtId="173" fontId="15" fillId="16" borderId="0" xfId="0" applyNumberFormat="1" applyFont="1" applyFill="1" applyAlignment="1">
      <alignment vertical="center"/>
    </xf>
    <xf numFmtId="173" fontId="15" fillId="16" borderId="15" xfId="0" applyNumberFormat="1" applyFont="1" applyFill="1" applyBorder="1" applyAlignment="1">
      <alignment vertical="center"/>
    </xf>
    <xf numFmtId="0" fontId="14" fillId="14" borderId="0" xfId="0" applyFont="1" applyFill="1" applyAlignment="1">
      <alignment vertical="center"/>
    </xf>
    <xf numFmtId="12" fontId="61" fillId="4" borderId="0" xfId="0" applyNumberFormat="1" applyFont="1" applyFill="1" applyAlignment="1">
      <alignment vertical="center"/>
    </xf>
    <xf numFmtId="0" fontId="61" fillId="4" borderId="0" xfId="0" applyFont="1" applyFill="1" applyAlignment="1">
      <alignment vertical="center" wrapText="1"/>
    </xf>
    <xf numFmtId="1" fontId="61" fillId="4" borderId="0" xfId="0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28" fillId="4" borderId="0" xfId="0" quotePrefix="1" applyFont="1" applyFill="1" applyAlignment="1">
      <alignment horizontal="center" vertical="center" wrapText="1"/>
    </xf>
    <xf numFmtId="1" fontId="53" fillId="0" borderId="12" xfId="0" applyNumberFormat="1" applyFont="1" applyBorder="1" applyAlignment="1">
      <alignment horizontal="center" vertical="center"/>
    </xf>
    <xf numFmtId="1" fontId="53" fillId="0" borderId="5" xfId="0" applyNumberFormat="1" applyFont="1" applyBorder="1" applyAlignment="1">
      <alignment horizontal="center" vertical="center"/>
    </xf>
    <xf numFmtId="173" fontId="14" fillId="0" borderId="77" xfId="0" applyNumberFormat="1" applyFont="1" applyBorder="1" applyAlignment="1">
      <alignment horizontal="center" vertical="center"/>
    </xf>
    <xf numFmtId="0" fontId="26" fillId="0" borderId="11" xfId="0" applyFont="1" applyBorder="1"/>
    <xf numFmtId="1" fontId="53" fillId="0" borderId="10" xfId="0" applyNumberFormat="1" applyFont="1" applyBorder="1" applyAlignment="1">
      <alignment horizontal="center" vertical="center"/>
    </xf>
    <xf numFmtId="170" fontId="53" fillId="0" borderId="15" xfId="0" applyNumberFormat="1" applyFont="1" applyBorder="1" applyAlignment="1">
      <alignment horizontal="center" vertical="center"/>
    </xf>
    <xf numFmtId="0" fontId="12" fillId="0" borderId="0" xfId="78"/>
    <xf numFmtId="0" fontId="38" fillId="0" borderId="0" xfId="78" applyFont="1"/>
    <xf numFmtId="0" fontId="12" fillId="0" borderId="0" xfId="193"/>
    <xf numFmtId="2" fontId="38" fillId="0" borderId="10" xfId="193" applyNumberFormat="1" applyFont="1" applyBorder="1" applyProtection="1">
      <protection locked="0"/>
    </xf>
    <xf numFmtId="2" fontId="38" fillId="0" borderId="14" xfId="193" applyNumberFormat="1" applyFont="1" applyBorder="1" applyProtection="1">
      <protection locked="0"/>
    </xf>
    <xf numFmtId="2" fontId="38" fillId="0" borderId="9" xfId="193" applyNumberFormat="1" applyFont="1" applyBorder="1" applyProtection="1">
      <protection locked="0"/>
    </xf>
    <xf numFmtId="2" fontId="38" fillId="0" borderId="5" xfId="193" applyNumberFormat="1" applyFont="1" applyBorder="1" applyProtection="1">
      <protection locked="0"/>
    </xf>
    <xf numFmtId="2" fontId="38" fillId="0" borderId="13" xfId="193" applyNumberFormat="1" applyFont="1" applyBorder="1" applyProtection="1">
      <protection locked="0"/>
    </xf>
    <xf numFmtId="2" fontId="38" fillId="0" borderId="12" xfId="193" applyNumberFormat="1" applyFont="1" applyBorder="1" applyProtection="1">
      <protection locked="0"/>
    </xf>
    <xf numFmtId="0" fontId="12" fillId="0" borderId="11" xfId="193" applyBorder="1"/>
    <xf numFmtId="2" fontId="38" fillId="0" borderId="11" xfId="193" applyNumberFormat="1" applyFont="1" applyBorder="1"/>
    <xf numFmtId="2" fontId="38" fillId="0" borderId="0" xfId="193" applyNumberFormat="1" applyFont="1"/>
    <xf numFmtId="0" fontId="12" fillId="0" borderId="0" xfId="78" applyAlignment="1">
      <alignment vertical="center"/>
    </xf>
    <xf numFmtId="0" fontId="12" fillId="0" borderId="0" xfId="89" applyAlignment="1">
      <alignment vertical="center"/>
    </xf>
    <xf numFmtId="0" fontId="57" fillId="0" borderId="0" xfId="0" applyFont="1" applyAlignment="1">
      <alignment horizontal="center" vertical="center" wrapText="1"/>
    </xf>
    <xf numFmtId="0" fontId="56" fillId="0" borderId="0" xfId="149" applyFont="1" applyAlignment="1">
      <alignment horizontal="left" vertical="center" wrapText="1"/>
    </xf>
    <xf numFmtId="0" fontId="27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65" fillId="0" borderId="0" xfId="0" applyFont="1" applyAlignment="1">
      <alignment horizontal="center" vertical="center" wrapText="1"/>
    </xf>
    <xf numFmtId="0" fontId="26" fillId="16" borderId="0" xfId="0" applyFont="1" applyFill="1" applyAlignment="1">
      <alignment horizontal="center"/>
    </xf>
    <xf numFmtId="171" fontId="54" fillId="0" borderId="0" xfId="0" applyNumberFormat="1" applyFont="1" applyAlignment="1">
      <alignment horizontal="center" vertical="center" wrapText="1"/>
    </xf>
    <xf numFmtId="0" fontId="15" fillId="3" borderId="0" xfId="0" applyFont="1" applyFill="1" applyAlignment="1">
      <alignment horizontal="center" vertical="center" wrapText="1"/>
    </xf>
    <xf numFmtId="170" fontId="14" fillId="4" borderId="0" xfId="0" applyNumberFormat="1" applyFont="1" applyFill="1" applyAlignment="1">
      <alignment horizontal="center" vertical="center" wrapText="1"/>
    </xf>
    <xf numFmtId="0" fontId="64" fillId="4" borderId="0" xfId="0" applyFont="1" applyFill="1" applyAlignment="1">
      <alignment horizontal="center" vertical="center"/>
    </xf>
    <xf numFmtId="0" fontId="14" fillId="18" borderId="0" xfId="0" applyFont="1" applyFill="1" applyAlignment="1">
      <alignment horizontal="center" vertical="center"/>
    </xf>
    <xf numFmtId="187" fontId="14" fillId="0" borderId="0" xfId="0" applyNumberFormat="1" applyFont="1" applyAlignment="1">
      <alignment horizontal="left" vertical="center"/>
    </xf>
    <xf numFmtId="0" fontId="38" fillId="0" borderId="0" xfId="150" applyFont="1" applyAlignment="1">
      <alignment horizontal="center"/>
    </xf>
    <xf numFmtId="0" fontId="29" fillId="0" borderId="0" xfId="0" applyFont="1" applyAlignment="1">
      <alignment vertical="center" wrapText="1"/>
    </xf>
    <xf numFmtId="173" fontId="14" fillId="0" borderId="0" xfId="0" applyNumberFormat="1" applyFont="1" applyAlignment="1">
      <alignment horizontal="center" vertical="center"/>
    </xf>
    <xf numFmtId="170" fontId="14" fillId="0" borderId="0" xfId="0" applyNumberFormat="1" applyFont="1" applyAlignment="1">
      <alignment horizontal="center" vertical="center"/>
    </xf>
    <xf numFmtId="1" fontId="14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70" fontId="40" fillId="0" borderId="0" xfId="0" applyNumberFormat="1" applyFont="1" applyAlignment="1">
      <alignment horizontal="center" vertical="center"/>
    </xf>
    <xf numFmtId="173" fontId="40" fillId="0" borderId="0" xfId="0" applyNumberFormat="1" applyFont="1" applyAlignment="1">
      <alignment horizontal="center" vertical="center"/>
    </xf>
    <xf numFmtId="0" fontId="47" fillId="0" borderId="0" xfId="75" applyNumberFormat="1" applyFont="1"/>
    <xf numFmtId="170" fontId="39" fillId="0" borderId="0" xfId="0" applyNumberFormat="1" applyFont="1" applyAlignment="1">
      <alignment horizontal="center" vertical="center"/>
    </xf>
    <xf numFmtId="0" fontId="47" fillId="0" borderId="0" xfId="75" applyNumberFormat="1" applyFont="1" applyAlignment="1">
      <alignment horizontal="center"/>
    </xf>
    <xf numFmtId="0" fontId="47" fillId="4" borderId="0" xfId="75" applyNumberFormat="1" applyFont="1" applyFill="1" applyAlignment="1">
      <alignment horizontal="center"/>
    </xf>
    <xf numFmtId="0" fontId="47" fillId="4" borderId="0" xfId="75" applyNumberFormat="1" applyFont="1" applyFill="1"/>
    <xf numFmtId="0" fontId="26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0" fillId="14" borderId="0" xfId="0" applyFill="1" applyAlignment="1">
      <alignment horizontal="center" vertical="center"/>
    </xf>
    <xf numFmtId="0" fontId="69" fillId="0" borderId="63" xfId="150" applyFont="1" applyBorder="1" applyAlignment="1">
      <alignment wrapText="1"/>
    </xf>
    <xf numFmtId="0" fontId="69" fillId="0" borderId="21" xfId="150" applyFont="1" applyBorder="1" applyAlignment="1">
      <alignment wrapText="1"/>
    </xf>
    <xf numFmtId="0" fontId="14" fillId="4" borderId="65" xfId="0" applyFont="1" applyFill="1" applyBorder="1" applyAlignment="1">
      <alignment horizontal="left" vertical="center"/>
    </xf>
    <xf numFmtId="0" fontId="14" fillId="4" borderId="29" xfId="0" applyFont="1" applyFill="1" applyBorder="1" applyAlignment="1">
      <alignment horizontal="left" vertical="center"/>
    </xf>
    <xf numFmtId="0" fontId="38" fillId="2" borderId="33" xfId="195" applyFont="1" applyFill="1" applyBorder="1" applyAlignment="1">
      <alignment horizontal="center" vertical="center" wrapText="1"/>
    </xf>
    <xf numFmtId="0" fontId="38" fillId="2" borderId="13" xfId="195" applyFont="1" applyFill="1" applyBorder="1" applyAlignment="1">
      <alignment horizontal="center" vertical="center" wrapText="1"/>
    </xf>
    <xf numFmtId="0" fontId="63" fillId="3" borderId="0" xfId="195" applyFont="1" applyFill="1" applyAlignment="1">
      <alignment horizontal="center" vertical="center" wrapText="1"/>
    </xf>
    <xf numFmtId="0" fontId="15" fillId="4" borderId="37" xfId="195" applyFont="1" applyFill="1" applyBorder="1" applyAlignment="1">
      <alignment horizontal="center" vertical="center" wrapText="1"/>
    </xf>
    <xf numFmtId="0" fontId="58" fillId="4" borderId="0" xfId="195" applyFont="1" applyFill="1" applyAlignment="1">
      <alignment horizontal="center" vertical="center" wrapText="1"/>
    </xf>
    <xf numFmtId="0" fontId="15" fillId="4" borderId="29" xfId="195" applyFont="1" applyFill="1" applyBorder="1" applyAlignment="1">
      <alignment horizontal="center" vertical="center" wrapText="1"/>
    </xf>
    <xf numFmtId="0" fontId="46" fillId="4" borderId="30" xfId="195" applyFont="1" applyFill="1" applyBorder="1" applyAlignment="1">
      <alignment horizontal="center" vertical="center" wrapText="1"/>
    </xf>
    <xf numFmtId="0" fontId="58" fillId="4" borderId="39" xfId="195" applyFont="1" applyFill="1" applyBorder="1" applyAlignment="1">
      <alignment horizontal="center" vertical="center" wrapText="1"/>
    </xf>
    <xf numFmtId="0" fontId="58" fillId="4" borderId="30" xfId="195" applyFont="1" applyFill="1" applyBorder="1" applyAlignment="1">
      <alignment horizontal="center" vertical="center" wrapText="1"/>
    </xf>
    <xf numFmtId="0" fontId="15" fillId="4" borderId="43" xfId="195" applyFont="1" applyFill="1" applyBorder="1" applyAlignment="1">
      <alignment horizontal="center" vertical="center" wrapText="1"/>
    </xf>
    <xf numFmtId="0" fontId="58" fillId="4" borderId="11" xfId="195" applyFont="1" applyFill="1" applyBorder="1" applyAlignment="1">
      <alignment horizontal="center" vertical="center" wrapText="1"/>
    </xf>
    <xf numFmtId="0" fontId="62" fillId="4" borderId="29" xfId="195" applyFont="1" applyFill="1" applyBorder="1" applyAlignment="1">
      <alignment horizontal="center" vertical="center" wrapText="1"/>
    </xf>
    <xf numFmtId="0" fontId="46" fillId="4" borderId="39" xfId="195" applyFont="1" applyFill="1" applyBorder="1" applyAlignment="1">
      <alignment horizontal="center" vertical="center" wrapText="1"/>
    </xf>
    <xf numFmtId="0" fontId="46" fillId="4" borderId="76" xfId="195" applyFont="1" applyFill="1" applyBorder="1" applyAlignment="1">
      <alignment horizontal="center" vertical="center" wrapText="1"/>
    </xf>
    <xf numFmtId="0" fontId="46" fillId="4" borderId="74" xfId="195" applyFont="1" applyFill="1" applyBorder="1" applyAlignment="1">
      <alignment horizontal="center" vertical="center" wrapText="1"/>
    </xf>
    <xf numFmtId="0" fontId="46" fillId="4" borderId="39" xfId="195" applyFont="1" applyFill="1" applyBorder="1" applyAlignment="1">
      <alignment vertical="center" wrapText="1"/>
    </xf>
    <xf numFmtId="0" fontId="46" fillId="4" borderId="71" xfId="195" applyFont="1" applyFill="1" applyBorder="1" applyAlignment="1">
      <alignment vertical="center" wrapText="1"/>
    </xf>
    <xf numFmtId="0" fontId="46" fillId="4" borderId="29" xfId="195" applyFont="1" applyFill="1" applyBorder="1" applyAlignment="1">
      <alignment vertical="center" wrapText="1"/>
    </xf>
    <xf numFmtId="0" fontId="46" fillId="4" borderId="40" xfId="195" applyFont="1" applyFill="1" applyBorder="1" applyAlignment="1">
      <alignment vertical="center" wrapText="1"/>
    </xf>
    <xf numFmtId="0" fontId="66" fillId="4" borderId="29" xfId="195" applyFont="1" applyFill="1" applyBorder="1" applyAlignment="1">
      <alignment horizontal="center" vertical="center" wrapText="1"/>
    </xf>
    <xf numFmtId="0" fontId="58" fillId="15" borderId="39" xfId="195" applyFont="1" applyFill="1" applyBorder="1" applyAlignment="1">
      <alignment vertical="center" wrapText="1"/>
    </xf>
    <xf numFmtId="0" fontId="58" fillId="15" borderId="71" xfId="195" applyFont="1" applyFill="1" applyBorder="1" applyAlignment="1">
      <alignment vertical="center" wrapText="1"/>
    </xf>
    <xf numFmtId="0" fontId="58" fillId="15" borderId="29" xfId="195" applyFont="1" applyFill="1" applyBorder="1" applyAlignment="1">
      <alignment vertical="center" wrapText="1"/>
    </xf>
    <xf numFmtId="0" fontId="58" fillId="15" borderId="40" xfId="195" applyFont="1" applyFill="1" applyBorder="1" applyAlignment="1">
      <alignment vertical="center" wrapText="1"/>
    </xf>
    <xf numFmtId="0" fontId="33" fillId="0" borderId="108" xfId="0" applyFont="1" applyBorder="1"/>
    <xf numFmtId="0" fontId="26" fillId="0" borderId="109" xfId="0" applyFont="1" applyBorder="1"/>
    <xf numFmtId="0" fontId="47" fillId="0" borderId="109" xfId="75" applyNumberFormat="1" applyFont="1" applyBorder="1"/>
    <xf numFmtId="0" fontId="13" fillId="0" borderId="109" xfId="0" applyFont="1" applyBorder="1" applyAlignment="1">
      <alignment vertical="center"/>
    </xf>
    <xf numFmtId="0" fontId="13" fillId="0" borderId="109" xfId="0" applyFont="1" applyBorder="1" applyAlignment="1" applyProtection="1">
      <alignment vertical="center"/>
      <protection locked="0"/>
    </xf>
    <xf numFmtId="0" fontId="13" fillId="0" borderId="110" xfId="0" applyFont="1" applyBorder="1" applyAlignment="1" applyProtection="1">
      <alignment vertical="center"/>
      <protection locked="0"/>
    </xf>
    <xf numFmtId="170" fontId="0" fillId="14" borderId="0" xfId="0" applyNumberForma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0" fontId="33" fillId="0" borderId="111" xfId="0" applyFont="1" applyBorder="1"/>
    <xf numFmtId="0" fontId="27" fillId="0" borderId="0" xfId="0" applyFont="1" applyAlignment="1">
      <alignment vertical="center"/>
    </xf>
    <xf numFmtId="0" fontId="13" fillId="0" borderId="112" xfId="0" applyFont="1" applyBorder="1" applyAlignment="1" applyProtection="1">
      <alignment vertical="center"/>
      <protection locked="0"/>
    </xf>
    <xf numFmtId="0" fontId="27" fillId="0" borderId="2" xfId="0" applyFont="1" applyBorder="1" applyAlignment="1">
      <alignment vertical="center"/>
    </xf>
    <xf numFmtId="0" fontId="81" fillId="0" borderId="2" xfId="75" applyNumberFormat="1" applyFont="1" applyBorder="1" applyAlignment="1">
      <alignment horizontal="center" vertical="center"/>
    </xf>
    <xf numFmtId="0" fontId="81" fillId="0" borderId="0" xfId="75" applyNumberFormat="1" applyFont="1"/>
    <xf numFmtId="0" fontId="27" fillId="0" borderId="2" xfId="0" applyFont="1" applyBorder="1" applyAlignment="1">
      <alignment horizontal="center" vertical="center"/>
    </xf>
    <xf numFmtId="2" fontId="0" fillId="14" borderId="0" xfId="0" applyNumberFormat="1" applyFill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32" fillId="0" borderId="111" xfId="75" applyNumberFormat="1" applyFont="1" applyBorder="1"/>
    <xf numFmtId="0" fontId="82" fillId="0" borderId="2" xfId="75" applyNumberFormat="1" applyFont="1" applyBorder="1" applyAlignment="1">
      <alignment horizontal="center" vertical="center"/>
    </xf>
    <xf numFmtId="0" fontId="83" fillId="0" borderId="111" xfId="0" applyFont="1" applyBorder="1" applyAlignment="1">
      <alignment vertical="center"/>
    </xf>
    <xf numFmtId="1" fontId="26" fillId="0" borderId="2" xfId="0" applyNumberFormat="1" applyFont="1" applyBorder="1" applyAlignment="1">
      <alignment horizontal="center" vertical="center"/>
    </xf>
    <xf numFmtId="0" fontId="32" fillId="0" borderId="111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12" fillId="0" borderId="112" xfId="0" applyFont="1" applyBorder="1" applyAlignment="1" applyProtection="1">
      <alignment vertical="center"/>
      <protection locked="0"/>
    </xf>
    <xf numFmtId="0" fontId="26" fillId="0" borderId="112" xfId="0" applyFont="1" applyBorder="1" applyProtection="1">
      <protection locked="0"/>
    </xf>
    <xf numFmtId="0" fontId="26" fillId="0" borderId="2" xfId="0" applyFont="1" applyBorder="1" applyAlignment="1" applyProtection="1">
      <alignment horizontal="center" vertical="center"/>
      <protection locked="0"/>
    </xf>
    <xf numFmtId="170" fontId="81" fillId="0" borderId="2" xfId="75" applyNumberFormat="1" applyFont="1" applyBorder="1" applyAlignment="1">
      <alignment horizontal="center" vertical="center"/>
    </xf>
    <xf numFmtId="0" fontId="26" fillId="0" borderId="2" xfId="0" applyFont="1" applyBorder="1" applyAlignment="1" applyProtection="1">
      <alignment horizontal="center"/>
      <protection locked="0"/>
    </xf>
    <xf numFmtId="1" fontId="26" fillId="0" borderId="0" xfId="0" applyNumberFormat="1" applyFont="1" applyAlignment="1">
      <alignment horizontal="center" vertical="center"/>
    </xf>
    <xf numFmtId="0" fontId="33" fillId="0" borderId="113" xfId="0" applyFont="1" applyBorder="1"/>
    <xf numFmtId="0" fontId="26" fillId="0" borderId="107" xfId="0" applyFont="1" applyBorder="1"/>
    <xf numFmtId="0" fontId="26" fillId="0" borderId="107" xfId="0" applyFont="1" applyBorder="1" applyAlignment="1">
      <alignment horizontal="center" vertical="center"/>
    </xf>
    <xf numFmtId="0" fontId="26" fillId="0" borderId="107" xfId="0" applyFont="1" applyBorder="1" applyProtection="1">
      <protection locked="0"/>
    </xf>
    <xf numFmtId="0" fontId="26" fillId="0" borderId="114" xfId="0" applyFont="1" applyBorder="1" applyProtection="1">
      <protection locked="0"/>
    </xf>
    <xf numFmtId="170" fontId="0" fillId="14" borderId="0" xfId="0" applyNumberFormat="1" applyFill="1" applyAlignment="1" applyProtection="1">
      <alignment horizontal="center" vertical="center"/>
      <protection locked="0"/>
    </xf>
    <xf numFmtId="170" fontId="0" fillId="0" borderId="0" xfId="0" applyNumberFormat="1" applyAlignment="1" applyProtection="1">
      <alignment horizontal="center" vertical="center"/>
      <protection locked="0"/>
    </xf>
    <xf numFmtId="0" fontId="35" fillId="0" borderId="0" xfId="0" applyFont="1" applyAlignment="1">
      <alignment horizontal="center" vertical="center"/>
    </xf>
    <xf numFmtId="0" fontId="29" fillId="0" borderId="12" xfId="0" applyFont="1" applyBorder="1" applyAlignment="1">
      <alignment horizontal="center" vertical="center"/>
    </xf>
    <xf numFmtId="0" fontId="15" fillId="3" borderId="0" xfId="195" applyFont="1" applyFill="1" applyAlignment="1">
      <alignment horizontal="center" vertical="center" wrapText="1"/>
    </xf>
    <xf numFmtId="0" fontId="29" fillId="3" borderId="31" xfId="0" applyFont="1" applyFill="1" applyBorder="1" applyAlignment="1">
      <alignment vertical="center" wrapText="1"/>
    </xf>
    <xf numFmtId="0" fontId="29" fillId="3" borderId="8" xfId="0" applyFont="1" applyFill="1" applyBorder="1" applyAlignment="1">
      <alignment horizontal="center" vertical="center" wrapText="1"/>
    </xf>
    <xf numFmtId="16" fontId="29" fillId="3" borderId="10" xfId="0" applyNumberFormat="1" applyFont="1" applyFill="1" applyBorder="1" applyAlignment="1">
      <alignment horizontal="center" vertical="center"/>
    </xf>
    <xf numFmtId="0" fontId="29" fillId="3" borderId="10" xfId="0" applyFont="1" applyFill="1" applyBorder="1" applyAlignment="1">
      <alignment horizontal="center" vertical="center"/>
    </xf>
    <xf numFmtId="0" fontId="29" fillId="3" borderId="0" xfId="0" applyFont="1" applyFill="1" applyAlignment="1">
      <alignment horizontal="center" vertical="center"/>
    </xf>
    <xf numFmtId="170" fontId="53" fillId="0" borderId="12" xfId="0" applyNumberFormat="1" applyFont="1" applyBorder="1" applyAlignment="1">
      <alignment horizontal="center" vertical="center"/>
    </xf>
    <xf numFmtId="171" fontId="53" fillId="0" borderId="14" xfId="0" applyNumberFormat="1" applyFont="1" applyBorder="1" applyAlignment="1">
      <alignment horizontal="center" vertical="center"/>
    </xf>
    <xf numFmtId="171" fontId="53" fillId="0" borderId="15" xfId="0" applyNumberFormat="1" applyFont="1" applyBorder="1" applyAlignment="1">
      <alignment horizontal="center" vertical="center"/>
    </xf>
    <xf numFmtId="1" fontId="55" fillId="4" borderId="12" xfId="0" applyNumberFormat="1" applyFont="1" applyFill="1" applyBorder="1" applyAlignment="1">
      <alignment horizontal="center" vertical="center"/>
    </xf>
    <xf numFmtId="1" fontId="55" fillId="4" borderId="5" xfId="0" applyNumberFormat="1" applyFont="1" applyFill="1" applyBorder="1" applyAlignment="1">
      <alignment horizontal="center" vertical="center"/>
    </xf>
    <xf numFmtId="170" fontId="55" fillId="4" borderId="13" xfId="0" applyNumberFormat="1" applyFont="1" applyFill="1" applyBorder="1" applyAlignment="1">
      <alignment horizontal="center" vertical="center"/>
    </xf>
    <xf numFmtId="1" fontId="53" fillId="0" borderId="9" xfId="0" applyNumberFormat="1" applyFont="1" applyBorder="1" applyAlignment="1">
      <alignment horizontal="center" vertical="center"/>
    </xf>
    <xf numFmtId="0" fontId="36" fillId="4" borderId="14" xfId="0" applyFont="1" applyFill="1" applyBorder="1" applyAlignment="1">
      <alignment horizontal="center" vertical="top"/>
    </xf>
    <xf numFmtId="0" fontId="36" fillId="4" borderId="15" xfId="0" applyFont="1" applyFill="1" applyBorder="1" applyAlignment="1">
      <alignment horizontal="center" vertical="top"/>
    </xf>
    <xf numFmtId="0" fontId="36" fillId="4" borderId="10" xfId="0" applyFont="1" applyFill="1" applyBorder="1" applyAlignment="1">
      <alignment horizontal="center" vertical="center"/>
    </xf>
    <xf numFmtId="0" fontId="36" fillId="4" borderId="15" xfId="0" applyFont="1" applyFill="1" applyBorder="1" applyAlignment="1">
      <alignment horizontal="center" vertical="center"/>
    </xf>
    <xf numFmtId="0" fontId="36" fillId="4" borderId="5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3" fillId="0" borderId="0" xfId="149" applyFont="1" applyAlignment="1">
      <alignment horizontal="center" wrapText="1"/>
    </xf>
    <xf numFmtId="0" fontId="37" fillId="3" borderId="0" xfId="150" applyFont="1" applyFill="1" applyAlignment="1">
      <alignment horizontal="center" vertical="center"/>
    </xf>
    <xf numFmtId="1" fontId="14" fillId="18" borderId="0" xfId="0" applyNumberFormat="1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170" fontId="14" fillId="18" borderId="0" xfId="0" applyNumberFormat="1" applyFont="1" applyFill="1" applyAlignment="1">
      <alignment horizontal="center" vertical="center"/>
    </xf>
    <xf numFmtId="0" fontId="36" fillId="3" borderId="0" xfId="0" applyFont="1" applyFill="1" applyAlignment="1">
      <alignment horizontal="center" vertical="center"/>
    </xf>
    <xf numFmtId="190" fontId="14" fillId="0" borderId="0" xfId="0" applyNumberFormat="1" applyFont="1" applyAlignment="1">
      <alignment horizontal="left" vertical="center"/>
    </xf>
    <xf numFmtId="187" fontId="14" fillId="0" borderId="0" xfId="0" applyNumberFormat="1" applyFont="1" applyAlignment="1">
      <alignment horizontal="left"/>
    </xf>
    <xf numFmtId="0" fontId="45" fillId="0" borderId="0" xfId="0" applyFont="1" applyAlignment="1">
      <alignment horizontal="left" vertical="center"/>
    </xf>
    <xf numFmtId="0" fontId="58" fillId="4" borderId="0" xfId="197" applyFont="1" applyFill="1" applyAlignment="1">
      <alignment horizontal="center" vertical="center" wrapText="1"/>
    </xf>
    <xf numFmtId="0" fontId="15" fillId="3" borderId="0" xfId="197" applyFont="1" applyFill="1" applyAlignment="1">
      <alignment horizontal="center" vertical="center" wrapText="1"/>
    </xf>
    <xf numFmtId="0" fontId="38" fillId="0" borderId="5" xfId="150" applyFont="1" applyBorder="1" applyProtection="1">
      <protection locked="0"/>
    </xf>
    <xf numFmtId="0" fontId="38" fillId="0" borderId="15" xfId="150" applyFont="1" applyBorder="1" applyProtection="1">
      <protection locked="0"/>
    </xf>
    <xf numFmtId="0" fontId="38" fillId="0" borderId="11" xfId="150" applyFont="1" applyBorder="1" applyProtection="1">
      <protection locked="0"/>
    </xf>
    <xf numFmtId="0" fontId="28" fillId="4" borderId="0" xfId="0" applyFont="1" applyFill="1" applyAlignment="1">
      <alignment horizontal="center" vertical="center" wrapText="1"/>
    </xf>
    <xf numFmtId="0" fontId="35" fillId="0" borderId="11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171" fontId="53" fillId="0" borderId="0" xfId="0" applyNumberFormat="1" applyFont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173" fontId="62" fillId="4" borderId="0" xfId="0" applyNumberFormat="1" applyFont="1" applyFill="1" applyAlignment="1">
      <alignment horizontal="center" vertical="center"/>
    </xf>
    <xf numFmtId="173" fontId="14" fillId="4" borderId="0" xfId="0" applyNumberFormat="1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1" fontId="14" fillId="4" borderId="0" xfId="0" applyNumberFormat="1" applyFont="1" applyFill="1" applyAlignment="1">
      <alignment horizontal="center" vertical="center" wrapText="1"/>
    </xf>
    <xf numFmtId="10" fontId="15" fillId="4" borderId="0" xfId="0" applyNumberFormat="1" applyFont="1" applyFill="1" applyAlignment="1">
      <alignment horizontal="center" vertical="center"/>
    </xf>
    <xf numFmtId="0" fontId="62" fillId="4" borderId="0" xfId="0" applyFont="1" applyFill="1" applyAlignment="1">
      <alignment horizontal="center" vertical="center"/>
    </xf>
    <xf numFmtId="173" fontId="14" fillId="4" borderId="0" xfId="0" applyNumberFormat="1" applyFont="1" applyFill="1" applyAlignment="1">
      <alignment horizontal="center" vertical="center" wrapText="1"/>
    </xf>
    <xf numFmtId="0" fontId="33" fillId="0" borderId="0" xfId="0" applyFont="1"/>
    <xf numFmtId="0" fontId="82" fillId="0" borderId="0" xfId="75" applyNumberFormat="1" applyFont="1" applyAlignment="1">
      <alignment horizontal="center" vertical="center"/>
    </xf>
    <xf numFmtId="0" fontId="86" fillId="0" borderId="11" xfId="0" applyFont="1" applyBorder="1"/>
    <xf numFmtId="0" fontId="86" fillId="0" borderId="12" xfId="0" applyFont="1" applyBorder="1"/>
    <xf numFmtId="0" fontId="57" fillId="0" borderId="11" xfId="0" applyFont="1" applyBorder="1" applyAlignment="1">
      <alignment horizontal="center" vertical="center" wrapText="1"/>
    </xf>
    <xf numFmtId="0" fontId="56" fillId="0" borderId="11" xfId="149" applyFont="1" applyBorder="1" applyAlignment="1">
      <alignment horizontal="left" vertical="center" wrapText="1"/>
    </xf>
    <xf numFmtId="187" fontId="14" fillId="0" borderId="11" xfId="0" applyNumberFormat="1" applyFont="1" applyBorder="1" applyAlignment="1">
      <alignment horizontal="left" vertical="center"/>
    </xf>
    <xf numFmtId="190" fontId="14" fillId="0" borderId="11" xfId="0" applyNumberFormat="1" applyFont="1" applyBorder="1" applyAlignment="1">
      <alignment horizontal="left" vertical="center"/>
    </xf>
    <xf numFmtId="0" fontId="14" fillId="0" borderId="11" xfId="0" applyFont="1" applyBorder="1" applyAlignment="1">
      <alignment horizontal="left" vertical="center" wrapText="1"/>
    </xf>
    <xf numFmtId="0" fontId="63" fillId="3" borderId="11" xfId="195" applyFont="1" applyFill="1" applyBorder="1" applyAlignment="1">
      <alignment horizontal="center" vertical="center" wrapText="1"/>
    </xf>
    <xf numFmtId="0" fontId="59" fillId="2" borderId="11" xfId="195" applyFont="1" applyFill="1" applyBorder="1" applyAlignment="1">
      <alignment horizontal="center" vertical="center" wrapText="1"/>
    </xf>
    <xf numFmtId="0" fontId="86" fillId="0" borderId="0" xfId="0" applyFont="1" applyAlignment="1">
      <alignment horizontal="center"/>
    </xf>
    <xf numFmtId="171" fontId="26" fillId="0" borderId="0" xfId="0" applyNumberFormat="1" applyFont="1" applyAlignment="1">
      <alignment horizontal="center"/>
    </xf>
    <xf numFmtId="170" fontId="53" fillId="0" borderId="14" xfId="0" applyNumberFormat="1" applyFont="1" applyBorder="1" applyAlignment="1">
      <alignment horizontal="center" vertical="center"/>
    </xf>
    <xf numFmtId="2" fontId="86" fillId="0" borderId="0" xfId="0" applyNumberFormat="1" applyFont="1" applyAlignment="1">
      <alignment horizontal="center"/>
    </xf>
    <xf numFmtId="0" fontId="49" fillId="5" borderId="0" xfId="75" applyNumberFormat="1" applyFont="1" applyFill="1" applyAlignment="1">
      <alignment horizontal="left" vertical="top" wrapText="1"/>
    </xf>
    <xf numFmtId="0" fontId="47" fillId="12" borderId="0" xfId="75" applyNumberFormat="1" applyFont="1" applyFill="1" applyAlignment="1">
      <alignment horizontal="center"/>
    </xf>
    <xf numFmtId="0" fontId="47" fillId="13" borderId="0" xfId="75" applyNumberFormat="1" applyFont="1" applyFill="1" applyAlignment="1">
      <alignment horizontal="center"/>
    </xf>
    <xf numFmtId="0" fontId="88" fillId="12" borderId="0" xfId="75" applyNumberFormat="1" applyFont="1" applyFill="1" applyAlignment="1">
      <alignment horizontal="center"/>
    </xf>
    <xf numFmtId="0" fontId="88" fillId="13" borderId="0" xfId="75" applyNumberFormat="1" applyFont="1" applyFill="1" applyAlignment="1">
      <alignment horizontal="center"/>
    </xf>
    <xf numFmtId="0" fontId="88" fillId="0" borderId="0" xfId="75" applyNumberFormat="1" applyFont="1" applyAlignment="1">
      <alignment horizontal="center"/>
    </xf>
    <xf numFmtId="0" fontId="88" fillId="0" borderId="0" xfId="75" applyNumberFormat="1" applyFont="1" applyAlignment="1">
      <alignment horizontal="center" vertical="center"/>
    </xf>
    <xf numFmtId="0" fontId="86" fillId="0" borderId="13" xfId="0" applyFont="1" applyBorder="1"/>
    <xf numFmtId="0" fontId="80" fillId="0" borderId="0" xfId="0" applyFont="1" applyAlignment="1">
      <alignment horizontal="center"/>
    </xf>
    <xf numFmtId="0" fontId="81" fillId="0" borderId="0" xfId="75" applyNumberFormat="1" applyFont="1" applyAlignment="1">
      <alignment horizontal="center" vertical="center"/>
    </xf>
    <xf numFmtId="0" fontId="32" fillId="0" borderId="0" xfId="75" applyNumberFormat="1" applyFont="1"/>
    <xf numFmtId="0" fontId="83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26" fillId="0" borderId="0" xfId="0" applyFont="1" applyAlignment="1" applyProtection="1">
      <alignment horizontal="center" vertical="center"/>
      <protection locked="0"/>
    </xf>
    <xf numFmtId="170" fontId="81" fillId="0" borderId="0" xfId="75" applyNumberFormat="1" applyFont="1" applyAlignment="1">
      <alignment horizontal="center" vertical="center"/>
    </xf>
    <xf numFmtId="0" fontId="26" fillId="0" borderId="0" xfId="0" applyFont="1" applyAlignment="1" applyProtection="1">
      <alignment horizontal="center"/>
      <protection locked="0"/>
    </xf>
    <xf numFmtId="1" fontId="15" fillId="0" borderId="0" xfId="0" applyNumberFormat="1" applyFont="1" applyAlignment="1">
      <alignment horizontal="center" vertical="center"/>
    </xf>
    <xf numFmtId="0" fontId="86" fillId="0" borderId="16" xfId="0" applyFont="1" applyBorder="1" applyAlignment="1">
      <alignment horizontal="center"/>
    </xf>
    <xf numFmtId="0" fontId="12" fillId="0" borderId="0" xfId="0" applyFont="1" applyAlignment="1" applyProtection="1">
      <alignment horizontal="center" vertical="center"/>
      <protection locked="0"/>
    </xf>
    <xf numFmtId="170" fontId="45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vertical="center"/>
    </xf>
    <xf numFmtId="0" fontId="15" fillId="0" borderId="0" xfId="0" applyFont="1" applyAlignment="1">
      <alignment horizontal="center" vertical="center"/>
    </xf>
    <xf numFmtId="0" fontId="58" fillId="15" borderId="0" xfId="198" applyFont="1" applyFill="1" applyAlignment="1">
      <alignment horizontal="center" vertical="center" wrapText="1"/>
    </xf>
    <xf numFmtId="0" fontId="46" fillId="4" borderId="0" xfId="0" applyFont="1" applyFill="1" applyAlignment="1">
      <alignment horizontal="center" vertical="center"/>
    </xf>
    <xf numFmtId="1" fontId="46" fillId="4" borderId="0" xfId="0" applyNumberFormat="1" applyFont="1" applyFill="1" applyAlignment="1">
      <alignment horizontal="center" vertical="center"/>
    </xf>
    <xf numFmtId="0" fontId="46" fillId="4" borderId="0" xfId="198" applyFont="1" applyFill="1" applyAlignment="1">
      <alignment horizontal="center" vertical="center" wrapText="1"/>
    </xf>
    <xf numFmtId="170" fontId="46" fillId="4" borderId="0" xfId="0" applyNumberFormat="1" applyFont="1" applyFill="1" applyAlignment="1">
      <alignment horizontal="center" vertical="center"/>
    </xf>
    <xf numFmtId="0" fontId="37" fillId="2" borderId="0" xfId="198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2" fontId="54" fillId="0" borderId="0" xfId="125" applyNumberFormat="1" applyFont="1" applyBorder="1" applyAlignment="1" applyProtection="1">
      <alignment horizontal="center" vertical="center" wrapText="1"/>
    </xf>
    <xf numFmtId="0" fontId="29" fillId="0" borderId="0" xfId="0" applyFont="1" applyAlignment="1">
      <alignment horizontal="center" vertical="center"/>
    </xf>
    <xf numFmtId="170" fontId="53" fillId="0" borderId="0" xfId="0" applyNumberFormat="1" applyFont="1" applyAlignment="1">
      <alignment horizontal="center" vertical="center"/>
    </xf>
    <xf numFmtId="173" fontId="92" fillId="16" borderId="11" xfId="0" applyNumberFormat="1" applyFont="1" applyFill="1" applyBorder="1" applyAlignment="1">
      <alignment vertical="center"/>
    </xf>
    <xf numFmtId="170" fontId="70" fillId="0" borderId="24" xfId="0" applyNumberFormat="1" applyFont="1" applyBorder="1" applyAlignment="1">
      <alignment horizontal="center" vertical="center"/>
    </xf>
    <xf numFmtId="173" fontId="70" fillId="0" borderId="128" xfId="0" applyNumberFormat="1" applyFont="1" applyBorder="1" applyAlignment="1">
      <alignment horizontal="center" vertical="center"/>
    </xf>
    <xf numFmtId="170" fontId="41" fillId="0" borderId="24" xfId="0" applyNumberFormat="1" applyFont="1" applyBorder="1" applyAlignment="1">
      <alignment horizontal="center" vertical="center"/>
    </xf>
    <xf numFmtId="173" fontId="41" fillId="0" borderId="128" xfId="0" applyNumberFormat="1" applyFont="1" applyBorder="1" applyAlignment="1">
      <alignment horizontal="center" vertical="center"/>
    </xf>
    <xf numFmtId="2" fontId="70" fillId="0" borderId="128" xfId="0" applyNumberFormat="1" applyFont="1" applyBorder="1" applyAlignment="1">
      <alignment horizontal="center" vertical="center"/>
    </xf>
    <xf numFmtId="170" fontId="70" fillId="19" borderId="25" xfId="0" applyNumberFormat="1" applyFont="1" applyFill="1" applyBorder="1" applyAlignment="1">
      <alignment horizontal="center" vertical="center"/>
    </xf>
    <xf numFmtId="173" fontId="70" fillId="0" borderId="129" xfId="0" applyNumberFormat="1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0" fontId="39" fillId="0" borderId="128" xfId="0" applyFont="1" applyBorder="1" applyAlignment="1">
      <alignment horizontal="center" vertical="center"/>
    </xf>
    <xf numFmtId="0" fontId="62" fillId="4" borderId="24" xfId="198" applyFont="1" applyFill="1" applyBorder="1" applyAlignment="1">
      <alignment vertical="center" wrapText="1"/>
    </xf>
    <xf numFmtId="2" fontId="27" fillId="0" borderId="2" xfId="0" applyNumberFormat="1" applyFont="1" applyBorder="1" applyAlignment="1">
      <alignment horizontal="center" vertical="center"/>
    </xf>
    <xf numFmtId="0" fontId="93" fillId="0" borderId="0" xfId="0" applyFont="1" applyProtection="1">
      <protection locked="0"/>
    </xf>
    <xf numFmtId="0" fontId="15" fillId="0" borderId="0" xfId="0" applyFont="1" applyAlignment="1">
      <alignment horizontal="left" vertical="center"/>
    </xf>
    <xf numFmtId="1" fontId="14" fillId="0" borderId="0" xfId="0" applyNumberFormat="1" applyFont="1" applyAlignment="1">
      <alignment horizontal="center" vertical="center" wrapText="1"/>
    </xf>
    <xf numFmtId="12" fontId="14" fillId="0" borderId="0" xfId="0" applyNumberFormat="1" applyFont="1" applyAlignment="1">
      <alignment horizontal="left" vertical="center"/>
    </xf>
    <xf numFmtId="12" fontId="14" fillId="0" borderId="0" xfId="0" applyNumberFormat="1" applyFont="1" applyAlignment="1">
      <alignment horizontal="center" vertical="center"/>
    </xf>
    <xf numFmtId="189" fontId="13" fillId="0" borderId="0" xfId="0" applyNumberFormat="1" applyFont="1" applyAlignment="1">
      <alignment horizontal="center" vertical="center"/>
    </xf>
    <xf numFmtId="12" fontId="15" fillId="0" borderId="0" xfId="0" applyNumberFormat="1" applyFont="1" applyAlignment="1">
      <alignment vertical="center"/>
    </xf>
    <xf numFmtId="0" fontId="47" fillId="6" borderId="0" xfId="75" applyNumberFormat="1" applyFont="1" applyFill="1" applyAlignment="1">
      <alignment horizontal="center"/>
    </xf>
    <xf numFmtId="12" fontId="14" fillId="0" borderId="0" xfId="0" applyNumberFormat="1" applyFont="1" applyAlignment="1">
      <alignment vertical="center"/>
    </xf>
    <xf numFmtId="1" fontId="14" fillId="0" borderId="0" xfId="0" applyNumberFormat="1" applyFont="1" applyAlignment="1">
      <alignment horizontal="left" vertical="center"/>
    </xf>
    <xf numFmtId="170" fontId="15" fillId="0" borderId="0" xfId="0" applyNumberFormat="1" applyFont="1" applyAlignment="1">
      <alignment horizontal="center" vertical="center"/>
    </xf>
    <xf numFmtId="0" fontId="49" fillId="6" borderId="0" xfId="75" applyNumberFormat="1" applyFont="1" applyFill="1"/>
    <xf numFmtId="2" fontId="47" fillId="0" borderId="0" xfId="75" applyNumberFormat="1" applyFont="1" applyAlignment="1">
      <alignment horizontal="center"/>
    </xf>
    <xf numFmtId="188" fontId="14" fillId="0" borderId="0" xfId="0" applyNumberFormat="1" applyFont="1" applyAlignment="1">
      <alignment horizontal="left" vertical="center"/>
    </xf>
    <xf numFmtId="170" fontId="47" fillId="0" borderId="0" xfId="75" applyNumberFormat="1" applyFont="1" applyAlignment="1">
      <alignment horizontal="center"/>
    </xf>
    <xf numFmtId="0" fontId="48" fillId="0" borderId="0" xfId="75" applyNumberFormat="1" applyFont="1" applyAlignment="1">
      <alignment horizontal="center" wrapText="1"/>
    </xf>
    <xf numFmtId="0" fontId="47" fillId="0" borderId="0" xfId="75" applyNumberFormat="1" applyFont="1" applyAlignment="1">
      <alignment horizontal="left"/>
    </xf>
    <xf numFmtId="173" fontId="47" fillId="0" borderId="0" xfId="75" applyNumberFormat="1" applyFont="1" applyAlignment="1">
      <alignment horizontal="center"/>
    </xf>
    <xf numFmtId="0" fontId="51" fillId="6" borderId="0" xfId="75" applyNumberFormat="1" applyFont="1" applyFill="1" applyAlignment="1">
      <alignment horizontal="center"/>
    </xf>
    <xf numFmtId="1" fontId="47" fillId="0" borderId="0" xfId="75" applyFont="1" applyAlignment="1">
      <alignment horizontal="center"/>
    </xf>
    <xf numFmtId="0" fontId="34" fillId="7" borderId="0" xfId="75" applyNumberFormat="1" applyFont="1" applyFill="1"/>
    <xf numFmtId="0" fontId="47" fillId="5" borderId="0" xfId="75" applyNumberFormat="1" applyFont="1" applyFill="1"/>
    <xf numFmtId="0" fontId="50" fillId="7" borderId="0" xfId="75" applyNumberFormat="1" applyFont="1" applyFill="1" applyAlignment="1">
      <alignment vertical="center" wrapText="1"/>
    </xf>
    <xf numFmtId="0" fontId="49" fillId="5" borderId="0" xfId="75" applyNumberFormat="1" applyFont="1" applyFill="1"/>
    <xf numFmtId="0" fontId="51" fillId="8" borderId="0" xfId="75" applyNumberFormat="1" applyFont="1" applyFill="1" applyAlignment="1">
      <alignment vertical="center" wrapText="1"/>
    </xf>
    <xf numFmtId="0" fontId="47" fillId="8" borderId="0" xfId="75" applyNumberFormat="1" applyFont="1" applyFill="1"/>
    <xf numFmtId="0" fontId="47" fillId="9" borderId="0" xfId="75" applyNumberFormat="1" applyFont="1" applyFill="1"/>
    <xf numFmtId="0" fontId="47" fillId="10" borderId="0" xfId="75" applyNumberFormat="1" applyFont="1" applyFill="1"/>
    <xf numFmtId="0" fontId="15" fillId="3" borderId="0" xfId="198" applyFont="1" applyFill="1" applyAlignment="1">
      <alignment horizontal="center" vertical="center" wrapText="1"/>
    </xf>
    <xf numFmtId="0" fontId="60" fillId="0" borderId="0" xfId="0" applyFont="1"/>
    <xf numFmtId="0" fontId="80" fillId="0" borderId="112" xfId="0" applyFont="1" applyBorder="1" applyAlignment="1">
      <alignment horizontal="center"/>
    </xf>
    <xf numFmtId="12" fontId="14" fillId="0" borderId="0" xfId="0" applyNumberFormat="1" applyFont="1" applyAlignment="1">
      <alignment horizontal="left" vertical="center" wrapText="1"/>
    </xf>
    <xf numFmtId="12" fontId="14" fillId="0" borderId="0" xfId="0" applyNumberFormat="1" applyFont="1" applyAlignment="1">
      <alignment horizontal="center" vertical="center" wrapText="1"/>
    </xf>
    <xf numFmtId="12" fontId="24" fillId="0" borderId="0" xfId="0" applyNumberFormat="1" applyFont="1" applyAlignment="1">
      <alignment horizontal="left" vertical="center"/>
    </xf>
    <xf numFmtId="0" fontId="60" fillId="0" borderId="0" xfId="0" applyFont="1" applyAlignment="1">
      <alignment horizontal="center" vertical="center" wrapText="1"/>
    </xf>
    <xf numFmtId="0" fontId="14" fillId="4" borderId="65" xfId="0" applyFont="1" applyFill="1" applyBorder="1" applyAlignment="1">
      <alignment vertical="center"/>
    </xf>
    <xf numFmtId="0" fontId="14" fillId="4" borderId="29" xfId="0" applyFont="1" applyFill="1" applyBorder="1" applyAlignment="1">
      <alignment vertical="center"/>
    </xf>
    <xf numFmtId="0" fontId="26" fillId="0" borderId="15" xfId="0" applyFont="1" applyBorder="1" applyProtection="1">
      <protection locked="0"/>
    </xf>
    <xf numFmtId="0" fontId="94" fillId="0" borderId="0" xfId="0" applyFont="1" applyAlignment="1">
      <alignment horizontal="center" vertical="center" wrapText="1"/>
    </xf>
    <xf numFmtId="0" fontId="93" fillId="0" borderId="0" xfId="0" applyFont="1"/>
    <xf numFmtId="0" fontId="95" fillId="0" borderId="0" xfId="0" applyFont="1" applyAlignment="1">
      <alignment horizontal="center" vertical="center"/>
    </xf>
    <xf numFmtId="0" fontId="64" fillId="0" borderId="0" xfId="149" applyFont="1" applyAlignment="1">
      <alignment horizontal="left" vertical="center" wrapText="1"/>
    </xf>
    <xf numFmtId="0" fontId="93" fillId="0" borderId="7" xfId="0" applyFont="1" applyBorder="1" applyAlignment="1">
      <alignment horizontal="center"/>
    </xf>
    <xf numFmtId="0" fontId="93" fillId="0" borderId="8" xfId="0" applyFont="1" applyBorder="1" applyAlignment="1">
      <alignment horizontal="center"/>
    </xf>
    <xf numFmtId="0" fontId="93" fillId="0" borderId="9" xfId="0" applyFont="1" applyBorder="1" applyAlignment="1">
      <alignment horizontal="center"/>
    </xf>
    <xf numFmtId="0" fontId="93" fillId="0" borderId="10" xfId="0" applyFont="1" applyBorder="1" applyAlignment="1">
      <alignment horizontal="center"/>
    </xf>
    <xf numFmtId="0" fontId="93" fillId="0" borderId="6" xfId="0" applyFont="1" applyBorder="1"/>
    <xf numFmtId="0" fontId="93" fillId="0" borderId="2" xfId="0" applyFont="1" applyBorder="1" applyProtection="1">
      <protection locked="0"/>
    </xf>
    <xf numFmtId="0" fontId="93" fillId="0" borderId="11" xfId="0" applyFont="1" applyBorder="1"/>
    <xf numFmtId="0" fontId="93" fillId="0" borderId="15" xfId="0" applyFont="1" applyBorder="1"/>
    <xf numFmtId="0" fontId="93" fillId="0" borderId="9" xfId="0" applyFont="1" applyBorder="1"/>
    <xf numFmtId="0" fontId="93" fillId="0" borderId="10" xfId="0" applyFont="1" applyBorder="1"/>
    <xf numFmtId="0" fontId="93" fillId="0" borderId="14" xfId="0" applyFont="1" applyBorder="1"/>
    <xf numFmtId="187" fontId="62" fillId="0" borderId="1" xfId="0" applyNumberFormat="1" applyFont="1" applyBorder="1" applyAlignment="1">
      <alignment horizontal="left" vertical="center"/>
    </xf>
    <xf numFmtId="187" fontId="62" fillId="0" borderId="0" xfId="0" applyNumberFormat="1" applyFont="1" applyAlignment="1">
      <alignment horizontal="left" vertical="center"/>
    </xf>
    <xf numFmtId="190" fontId="62" fillId="0" borderId="4" xfId="0" applyNumberFormat="1" applyFont="1" applyBorder="1" applyAlignment="1">
      <alignment horizontal="left" vertical="center"/>
    </xf>
    <xf numFmtId="0" fontId="93" fillId="0" borderId="12" xfId="0" applyFont="1" applyBorder="1"/>
    <xf numFmtId="0" fontId="93" fillId="0" borderId="5" xfId="0" applyFont="1" applyBorder="1" applyProtection="1">
      <protection locked="0"/>
    </xf>
    <xf numFmtId="0" fontId="93" fillId="0" borderId="5" xfId="0" applyFont="1" applyBorder="1"/>
    <xf numFmtId="0" fontId="93" fillId="0" borderId="13" xfId="0" applyFont="1" applyBorder="1"/>
    <xf numFmtId="190" fontId="62" fillId="0" borderId="0" xfId="0" applyNumberFormat="1" applyFont="1" applyAlignment="1">
      <alignment horizontal="left" vertical="center"/>
    </xf>
    <xf numFmtId="0" fontId="62" fillId="0" borderId="0" xfId="0" applyFont="1" applyAlignment="1">
      <alignment horizontal="left" vertical="center" wrapText="1"/>
    </xf>
    <xf numFmtId="0" fontId="93" fillId="0" borderId="35" xfId="0" applyFont="1" applyBorder="1" applyAlignment="1">
      <alignment horizontal="center" vertical="center" wrapText="1"/>
    </xf>
    <xf numFmtId="0" fontId="93" fillId="0" borderId="10" xfId="0" applyFont="1" applyBorder="1" applyAlignment="1">
      <alignment horizontal="center" vertical="center" wrapText="1"/>
    </xf>
    <xf numFmtId="0" fontId="93" fillId="0" borderId="0" xfId="0" applyFont="1" applyAlignment="1">
      <alignment horizontal="center" wrapText="1"/>
    </xf>
    <xf numFmtId="0" fontId="93" fillId="0" borderId="9" xfId="0" applyFont="1" applyBorder="1" applyAlignment="1">
      <alignment horizontal="center" vertical="center" wrapText="1"/>
    </xf>
    <xf numFmtId="0" fontId="93" fillId="0" borderId="10" xfId="0" applyFont="1" applyBorder="1" applyAlignment="1">
      <alignment horizontal="center" wrapText="1"/>
    </xf>
    <xf numFmtId="0" fontId="93" fillId="0" borderId="0" xfId="0" applyFont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62" fillId="4" borderId="11" xfId="0" applyFont="1" applyFill="1" applyBorder="1" applyAlignment="1">
      <alignment horizontal="center" vertical="center"/>
    </xf>
    <xf numFmtId="0" fontId="66" fillId="4" borderId="11" xfId="195" applyFont="1" applyFill="1" applyBorder="1" applyAlignment="1">
      <alignment horizontal="center" vertical="center" wrapText="1"/>
    </xf>
    <xf numFmtId="0" fontId="66" fillId="4" borderId="0" xfId="195" applyFont="1" applyFill="1" applyAlignment="1">
      <alignment horizontal="center" vertical="center" wrapText="1"/>
    </xf>
    <xf numFmtId="0" fontId="62" fillId="4" borderId="11" xfId="195" applyFont="1" applyFill="1" applyBorder="1" applyAlignment="1">
      <alignment horizontal="center" vertical="center" wrapText="1"/>
    </xf>
    <xf numFmtId="0" fontId="62" fillId="4" borderId="0" xfId="195" applyFont="1" applyFill="1" applyAlignment="1">
      <alignment horizontal="center" vertical="center" wrapText="1"/>
    </xf>
    <xf numFmtId="0" fontId="66" fillId="15" borderId="11" xfId="195" applyFont="1" applyFill="1" applyBorder="1" applyAlignment="1">
      <alignment horizontal="center" vertical="center" wrapText="1"/>
    </xf>
    <xf numFmtId="0" fontId="66" fillId="15" borderId="0" xfId="195" applyFont="1" applyFill="1" applyAlignment="1">
      <alignment horizontal="center" vertical="center" wrapText="1"/>
    </xf>
    <xf numFmtId="170" fontId="62" fillId="4" borderId="11" xfId="195" applyNumberFormat="1" applyFont="1" applyFill="1" applyBorder="1" applyAlignment="1">
      <alignment horizontal="center" vertical="center" wrapText="1"/>
    </xf>
    <xf numFmtId="170" fontId="62" fillId="4" borderId="0" xfId="195" applyNumberFormat="1" applyFont="1" applyFill="1" applyAlignment="1">
      <alignment horizontal="center" vertical="center" wrapText="1"/>
    </xf>
    <xf numFmtId="1" fontId="62" fillId="4" borderId="11" xfId="195" applyNumberFormat="1" applyFont="1" applyFill="1" applyBorder="1" applyAlignment="1">
      <alignment horizontal="center" vertical="center" wrapText="1"/>
    </xf>
    <xf numFmtId="1" fontId="62" fillId="4" borderId="0" xfId="195" applyNumberFormat="1" applyFont="1" applyFill="1" applyAlignment="1">
      <alignment horizontal="center" vertical="center" wrapText="1"/>
    </xf>
    <xf numFmtId="0" fontId="66" fillId="15" borderId="12" xfId="195" applyFont="1" applyFill="1" applyBorder="1" applyAlignment="1">
      <alignment horizontal="center" vertical="center" wrapText="1"/>
    </xf>
    <xf numFmtId="0" fontId="66" fillId="15" borderId="5" xfId="195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" vertical="top"/>
    </xf>
    <xf numFmtId="0" fontId="93" fillId="0" borderId="2" xfId="0" applyFont="1" applyBorder="1"/>
    <xf numFmtId="0" fontId="93" fillId="0" borderId="7" xfId="0" applyFont="1" applyBorder="1" applyAlignment="1" applyProtection="1">
      <alignment horizontal="center"/>
      <protection locked="0"/>
    </xf>
    <xf numFmtId="0" fontId="93" fillId="0" borderId="6" xfId="0" applyFont="1" applyBorder="1" applyAlignment="1" applyProtection="1">
      <alignment horizontal="center"/>
      <protection locked="0"/>
    </xf>
    <xf numFmtId="0" fontId="93" fillId="0" borderId="9" xfId="0" applyFont="1" applyBorder="1" applyAlignment="1" applyProtection="1">
      <alignment horizontal="center"/>
      <protection locked="0"/>
    </xf>
    <xf numFmtId="0" fontId="93" fillId="0" borderId="14" xfId="0" applyFont="1" applyBorder="1" applyAlignment="1">
      <alignment horizontal="center"/>
    </xf>
    <xf numFmtId="0" fontId="93" fillId="0" borderId="11" xfId="0" applyFont="1" applyBorder="1" applyAlignment="1" applyProtection="1">
      <alignment horizontal="center"/>
      <protection locked="0"/>
    </xf>
    <xf numFmtId="0" fontId="93" fillId="0" borderId="15" xfId="0" applyFont="1" applyBorder="1" applyAlignment="1">
      <alignment horizontal="center"/>
    </xf>
    <xf numFmtId="0" fontId="93" fillId="0" borderId="12" xfId="0" applyFont="1" applyBorder="1" applyAlignment="1" applyProtection="1">
      <alignment horizontal="center"/>
      <protection locked="0"/>
    </xf>
    <xf numFmtId="0" fontId="93" fillId="0" borderId="13" xfId="0" applyFont="1" applyBorder="1" applyAlignment="1">
      <alignment horizontal="center"/>
    </xf>
    <xf numFmtId="171" fontId="55" fillId="0" borderId="10" xfId="0" applyNumberFormat="1" applyFont="1" applyBorder="1" applyAlignment="1">
      <alignment horizontal="center" vertical="center"/>
    </xf>
    <xf numFmtId="0" fontId="91" fillId="0" borderId="0" xfId="82" applyFont="1"/>
    <xf numFmtId="0" fontId="54" fillId="0" borderId="0" xfId="0" applyFont="1" applyAlignment="1">
      <alignment horizontal="center" vertical="center"/>
    </xf>
    <xf numFmtId="0" fontId="54" fillId="0" borderId="145" xfId="0" applyFont="1" applyBorder="1" applyAlignment="1">
      <alignment horizontal="center" vertical="center" wrapText="1"/>
    </xf>
    <xf numFmtId="171" fontId="93" fillId="0" borderId="146" xfId="0" applyNumberFormat="1" applyFont="1" applyBorder="1" applyAlignment="1">
      <alignment horizontal="center"/>
    </xf>
    <xf numFmtId="170" fontId="93" fillId="0" borderId="136" xfId="0" applyNumberFormat="1" applyFont="1" applyBorder="1" applyAlignment="1">
      <alignment horizontal="center"/>
    </xf>
    <xf numFmtId="170" fontId="93" fillId="0" borderId="11" xfId="0" applyNumberFormat="1" applyFont="1" applyBorder="1" applyAlignment="1">
      <alignment horizontal="center"/>
    </xf>
    <xf numFmtId="170" fontId="93" fillId="0" borderId="137" xfId="0" applyNumberFormat="1" applyFont="1" applyBorder="1" applyAlignment="1">
      <alignment horizontal="center"/>
    </xf>
    <xf numFmtId="170" fontId="93" fillId="0" borderId="149" xfId="0" applyNumberFormat="1" applyFont="1" applyBorder="1" applyAlignment="1">
      <alignment horizontal="center"/>
    </xf>
    <xf numFmtId="0" fontId="91" fillId="0" borderId="0" xfId="0" applyFont="1" applyAlignment="1">
      <alignment vertical="center"/>
    </xf>
    <xf numFmtId="0" fontId="93" fillId="0" borderId="7" xfId="0" applyFont="1" applyBorder="1" applyAlignment="1">
      <alignment horizontal="center" vertical="center"/>
    </xf>
    <xf numFmtId="0" fontId="93" fillId="0" borderId="2" xfId="0" applyFont="1" applyBorder="1" applyAlignment="1" applyProtection="1">
      <alignment horizontal="center" vertical="center"/>
      <protection locked="0"/>
    </xf>
    <xf numFmtId="0" fontId="93" fillId="0" borderId="135" xfId="0" applyFont="1" applyBorder="1" applyAlignment="1" applyProtection="1">
      <alignment horizontal="center" vertical="center"/>
      <protection locked="0"/>
    </xf>
    <xf numFmtId="0" fontId="93" fillId="0" borderId="141" xfId="0" applyFont="1" applyBorder="1" applyAlignment="1" applyProtection="1">
      <alignment horizontal="center" vertical="center"/>
      <protection locked="0"/>
    </xf>
    <xf numFmtId="0" fontId="93" fillId="0" borderId="142" xfId="0" applyFont="1" applyBorder="1" applyAlignment="1" applyProtection="1">
      <alignment horizontal="center" vertical="center"/>
      <protection locked="0"/>
    </xf>
    <xf numFmtId="0" fontId="62" fillId="3" borderId="143" xfId="198" applyFont="1" applyFill="1" applyBorder="1" applyAlignment="1">
      <alignment horizontal="center" vertical="center" wrapText="1"/>
    </xf>
    <xf numFmtId="0" fontId="93" fillId="0" borderId="144" xfId="0" applyFont="1" applyBorder="1" applyAlignment="1">
      <alignment horizontal="center" wrapText="1"/>
    </xf>
    <xf numFmtId="0" fontId="93" fillId="0" borderId="140" xfId="0" applyFont="1" applyBorder="1" applyAlignment="1">
      <alignment horizontal="center"/>
    </xf>
    <xf numFmtId="0" fontId="93" fillId="0" borderId="135" xfId="0" applyFont="1" applyBorder="1" applyAlignment="1" applyProtection="1">
      <alignment horizontal="center"/>
      <protection locked="0"/>
    </xf>
    <xf numFmtId="0" fontId="91" fillId="14" borderId="0" xfId="0" applyFont="1" applyFill="1" applyAlignment="1">
      <alignment horizontal="center" vertical="center"/>
    </xf>
    <xf numFmtId="173" fontId="62" fillId="0" borderId="0" xfId="0" applyNumberFormat="1" applyFont="1" applyAlignment="1">
      <alignment horizontal="center" vertical="center"/>
    </xf>
    <xf numFmtId="173" fontId="66" fillId="0" borderId="0" xfId="0" applyNumberFormat="1" applyFont="1" applyAlignment="1">
      <alignment horizontal="center" vertical="center"/>
    </xf>
    <xf numFmtId="170" fontId="62" fillId="0" borderId="0" xfId="0" applyNumberFormat="1" applyFont="1" applyAlignment="1">
      <alignment horizontal="center" vertical="center"/>
    </xf>
    <xf numFmtId="170" fontId="66" fillId="0" borderId="0" xfId="0" applyNumberFormat="1" applyFont="1" applyAlignment="1">
      <alignment horizontal="center" vertical="center"/>
    </xf>
    <xf numFmtId="170" fontId="91" fillId="0" borderId="0" xfId="0" applyNumberFormat="1" applyFont="1" applyAlignment="1">
      <alignment vertical="center"/>
    </xf>
    <xf numFmtId="0" fontId="66" fillId="3" borderId="0" xfId="197" applyFont="1" applyFill="1" applyAlignment="1">
      <alignment horizontal="center" vertical="center" wrapText="1"/>
    </xf>
    <xf numFmtId="0" fontId="98" fillId="0" borderId="0" xfId="0" applyFont="1" applyAlignment="1">
      <alignment vertical="center"/>
    </xf>
    <xf numFmtId="0" fontId="62" fillId="0" borderId="0" xfId="0" applyFont="1" applyAlignment="1">
      <alignment horizontal="left" vertical="center"/>
    </xf>
    <xf numFmtId="0" fontId="98" fillId="0" borderId="0" xfId="0" applyFont="1" applyAlignment="1">
      <alignment horizontal="center" vertical="center"/>
    </xf>
    <xf numFmtId="0" fontId="62" fillId="14" borderId="0" xfId="0" applyFont="1" applyFill="1" applyAlignment="1">
      <alignment vertical="center"/>
    </xf>
    <xf numFmtId="170" fontId="91" fillId="14" borderId="0" xfId="0" applyNumberFormat="1" applyFont="1" applyFill="1" applyAlignment="1">
      <alignment horizontal="center" vertical="center"/>
    </xf>
    <xf numFmtId="170" fontId="91" fillId="0" borderId="0" xfId="0" applyNumberFormat="1" applyFont="1" applyAlignment="1">
      <alignment horizontal="center" vertical="center"/>
    </xf>
    <xf numFmtId="170" fontId="91" fillId="14" borderId="0" xfId="0" applyNumberFormat="1" applyFont="1" applyFill="1" applyAlignment="1" applyProtection="1">
      <alignment horizontal="center" vertical="center"/>
      <protection locked="0"/>
    </xf>
    <xf numFmtId="170" fontId="91" fillId="0" borderId="0" xfId="0" applyNumberFormat="1" applyFont="1" applyAlignment="1" applyProtection="1">
      <alignment horizontal="center" vertical="center"/>
      <protection locked="0"/>
    </xf>
    <xf numFmtId="2" fontId="91" fillId="14" borderId="0" xfId="0" applyNumberFormat="1" applyFont="1" applyFill="1" applyAlignment="1">
      <alignment horizontal="center" vertical="center"/>
    </xf>
    <xf numFmtId="2" fontId="91" fillId="0" borderId="0" xfId="0" applyNumberFormat="1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10" fontId="66" fillId="4" borderId="0" xfId="0" applyNumberFormat="1" applyFont="1" applyFill="1" applyAlignment="1">
      <alignment horizontal="center" vertical="center"/>
    </xf>
    <xf numFmtId="0" fontId="62" fillId="18" borderId="0" xfId="0" applyFont="1" applyFill="1" applyAlignment="1">
      <alignment horizontal="center" vertical="center"/>
    </xf>
    <xf numFmtId="170" fontId="62" fillId="0" borderId="134" xfId="0" applyNumberFormat="1" applyFont="1" applyBorder="1" applyAlignment="1">
      <alignment horizontal="center" vertical="center"/>
    </xf>
    <xf numFmtId="0" fontId="93" fillId="0" borderId="3" xfId="0" applyFont="1" applyBorder="1" applyAlignment="1">
      <alignment horizontal="center"/>
    </xf>
    <xf numFmtId="0" fontId="93" fillId="0" borderId="6" xfId="0" applyFont="1" applyBorder="1" applyAlignment="1">
      <alignment horizontal="center" vertical="center"/>
    </xf>
    <xf numFmtId="0" fontId="93" fillId="0" borderId="2" xfId="0" applyFont="1" applyBorder="1" applyAlignment="1">
      <alignment horizontal="center" vertical="center"/>
    </xf>
    <xf numFmtId="0" fontId="93" fillId="0" borderId="135" xfId="0" applyFont="1" applyBorder="1" applyAlignment="1">
      <alignment horizontal="center" vertical="center"/>
    </xf>
    <xf numFmtId="170" fontId="62" fillId="0" borderId="136" xfId="0" applyNumberFormat="1" applyFont="1" applyBorder="1" applyAlignment="1">
      <alignment horizontal="center" vertical="center"/>
    </xf>
    <xf numFmtId="0" fontId="93" fillId="0" borderId="1" xfId="0" applyFont="1" applyBorder="1" applyAlignment="1">
      <alignment horizontal="center"/>
    </xf>
    <xf numFmtId="0" fontId="99" fillId="0" borderId="136" xfId="0" applyFont="1" applyBorder="1"/>
    <xf numFmtId="0" fontId="98" fillId="0" borderId="137" xfId="0" applyFont="1" applyBorder="1" applyAlignment="1">
      <alignment horizontal="center" vertical="center"/>
    </xf>
    <xf numFmtId="0" fontId="93" fillId="0" borderId="138" xfId="0" applyFont="1" applyBorder="1" applyAlignment="1">
      <alignment horizontal="center"/>
    </xf>
    <xf numFmtId="0" fontId="66" fillId="15" borderId="0" xfId="198" applyFont="1" applyFill="1" applyAlignment="1">
      <alignment vertical="center" wrapText="1"/>
    </xf>
    <xf numFmtId="0" fontId="66" fillId="15" borderId="0" xfId="198" applyFont="1" applyFill="1" applyAlignment="1">
      <alignment horizontal="center" vertical="center" wrapText="1"/>
    </xf>
    <xf numFmtId="170" fontId="62" fillId="4" borderId="0" xfId="0" applyNumberFormat="1" applyFont="1" applyFill="1" applyAlignment="1">
      <alignment horizontal="center" vertical="center"/>
    </xf>
    <xf numFmtId="0" fontId="66" fillId="4" borderId="0" xfId="198" applyFont="1" applyFill="1" applyAlignment="1">
      <alignment horizontal="center" vertical="center" wrapText="1"/>
    </xf>
    <xf numFmtId="0" fontId="93" fillId="0" borderId="0" xfId="0" applyFont="1" applyAlignment="1" applyProtection="1">
      <alignment horizontal="center"/>
      <protection locked="0"/>
    </xf>
    <xf numFmtId="0" fontId="93" fillId="0" borderId="128" xfId="0" applyFont="1" applyBorder="1" applyAlignment="1" applyProtection="1">
      <alignment horizontal="center"/>
      <protection locked="0"/>
    </xf>
    <xf numFmtId="0" fontId="62" fillId="4" borderId="0" xfId="198" applyFont="1" applyFill="1" applyAlignment="1">
      <alignment horizontal="center" vertical="center" wrapText="1"/>
    </xf>
    <xf numFmtId="0" fontId="62" fillId="0" borderId="24" xfId="0" applyFont="1" applyBorder="1" applyAlignment="1">
      <alignment vertical="center"/>
    </xf>
    <xf numFmtId="0" fontId="62" fillId="0" borderId="25" xfId="0" applyFont="1" applyBorder="1" applyAlignment="1">
      <alignment vertical="center"/>
    </xf>
    <xf numFmtId="0" fontId="93" fillId="0" borderId="16" xfId="0" applyFont="1" applyBorder="1" applyAlignment="1" applyProtection="1">
      <alignment horizontal="center"/>
      <protection locked="0"/>
    </xf>
    <xf numFmtId="0" fontId="93" fillId="0" borderId="129" xfId="0" applyFont="1" applyBorder="1" applyAlignment="1" applyProtection="1">
      <alignment horizontal="center"/>
      <protection locked="0"/>
    </xf>
    <xf numFmtId="0" fontId="66" fillId="4" borderId="0" xfId="197" applyFont="1" applyFill="1" applyAlignment="1">
      <alignment horizontal="center" vertical="center" wrapText="1"/>
    </xf>
    <xf numFmtId="0" fontId="93" fillId="0" borderId="130" xfId="0" applyFont="1" applyBorder="1" applyAlignment="1" applyProtection="1">
      <alignment horizontal="center" vertical="center"/>
      <protection locked="0"/>
    </xf>
    <xf numFmtId="170" fontId="62" fillId="4" borderId="106" xfId="0" applyNumberFormat="1" applyFont="1" applyFill="1" applyBorder="1" applyAlignment="1">
      <alignment horizontal="center" vertical="center" wrapText="1"/>
    </xf>
    <xf numFmtId="1" fontId="62" fillId="4" borderId="0" xfId="0" applyNumberFormat="1" applyFont="1" applyFill="1" applyAlignment="1">
      <alignment horizontal="center" vertical="center"/>
    </xf>
    <xf numFmtId="0" fontId="64" fillId="0" borderId="24" xfId="0" applyFont="1" applyBorder="1" applyAlignment="1">
      <alignment horizontal="left" vertical="center" wrapText="1"/>
    </xf>
    <xf numFmtId="2" fontId="91" fillId="0" borderId="128" xfId="0" applyNumberFormat="1" applyFont="1" applyBorder="1" applyAlignment="1">
      <alignment horizontal="center" vertical="center"/>
    </xf>
    <xf numFmtId="12" fontId="62" fillId="0" borderId="25" xfId="0" applyNumberFormat="1" applyFont="1" applyBorder="1" applyAlignment="1">
      <alignment horizontal="left" vertical="center"/>
    </xf>
    <xf numFmtId="4" fontId="91" fillId="0" borderId="129" xfId="0" applyNumberFormat="1" applyFont="1" applyBorder="1" applyAlignment="1">
      <alignment horizontal="center" vertical="center"/>
    </xf>
    <xf numFmtId="12" fontId="62" fillId="0" borderId="0" xfId="0" applyNumberFormat="1" applyFont="1" applyAlignment="1">
      <alignment horizontal="left" vertical="center"/>
    </xf>
    <xf numFmtId="12" fontId="62" fillId="0" borderId="0" xfId="0" applyNumberFormat="1" applyFont="1" applyAlignment="1">
      <alignment horizontal="center" vertical="center"/>
    </xf>
    <xf numFmtId="188" fontId="91" fillId="0" borderId="0" xfId="0" applyNumberFormat="1" applyFont="1" applyAlignment="1">
      <alignment horizontal="center" vertical="center"/>
    </xf>
    <xf numFmtId="0" fontId="91" fillId="0" borderId="23" xfId="75" applyNumberFormat="1" applyFont="1" applyBorder="1" applyAlignment="1">
      <alignment horizontal="center" vertical="center"/>
    </xf>
    <xf numFmtId="0" fontId="91" fillId="0" borderId="17" xfId="75" applyNumberFormat="1" applyFont="1" applyBorder="1" applyAlignment="1">
      <alignment horizontal="center" vertical="center" wrapText="1"/>
    </xf>
    <xf numFmtId="170" fontId="91" fillId="0" borderId="127" xfId="75" applyNumberFormat="1" applyFont="1" applyBorder="1" applyAlignment="1">
      <alignment horizontal="center" vertical="center" wrapText="1"/>
    </xf>
    <xf numFmtId="0" fontId="91" fillId="0" borderId="24" xfId="75" applyNumberFormat="1" applyFont="1" applyBorder="1" applyAlignment="1">
      <alignment horizontal="center"/>
    </xf>
    <xf numFmtId="0" fontId="91" fillId="7" borderId="0" xfId="75" applyNumberFormat="1" applyFont="1" applyFill="1" applyAlignment="1">
      <alignment horizontal="center"/>
    </xf>
    <xf numFmtId="0" fontId="91" fillId="0" borderId="0" xfId="75" applyNumberFormat="1" applyFont="1" applyAlignment="1">
      <alignment horizontal="center" vertical="center"/>
    </xf>
    <xf numFmtId="170" fontId="91" fillId="0" borderId="0" xfId="75" applyNumberFormat="1" applyFont="1" applyAlignment="1">
      <alignment horizontal="center" vertical="center"/>
    </xf>
    <xf numFmtId="0" fontId="93" fillId="0" borderId="0" xfId="75" applyNumberFormat="1" applyFont="1" applyAlignment="1">
      <alignment horizontal="left"/>
    </xf>
    <xf numFmtId="170" fontId="91" fillId="0" borderId="128" xfId="75" applyNumberFormat="1" applyFont="1" applyBorder="1" applyAlignment="1">
      <alignment horizontal="center" vertical="center"/>
    </xf>
    <xf numFmtId="0" fontId="91" fillId="0" borderId="24" xfId="75" applyNumberFormat="1" applyFont="1" applyBorder="1" applyAlignment="1">
      <alignment horizontal="center" vertical="center"/>
    </xf>
    <xf numFmtId="0" fontId="84" fillId="7" borderId="0" xfId="75" applyNumberFormat="1" applyFont="1" applyFill="1" applyAlignment="1">
      <alignment horizontal="center" vertical="center" wrapText="1"/>
    </xf>
    <xf numFmtId="1" fontId="91" fillId="0" borderId="0" xfId="75" applyFont="1" applyAlignment="1">
      <alignment horizontal="center" vertical="center"/>
    </xf>
    <xf numFmtId="0" fontId="93" fillId="0" borderId="0" xfId="0" applyFont="1" applyAlignment="1" applyProtection="1">
      <alignment horizontal="left"/>
      <protection locked="0"/>
    </xf>
    <xf numFmtId="173" fontId="91" fillId="0" borderId="128" xfId="75" applyNumberFormat="1" applyFont="1" applyBorder="1" applyAlignment="1">
      <alignment horizontal="center"/>
    </xf>
    <xf numFmtId="1" fontId="66" fillId="4" borderId="0" xfId="198" applyNumberFormat="1" applyFont="1" applyFill="1" applyAlignment="1">
      <alignment horizontal="center" vertical="center" wrapText="1"/>
    </xf>
    <xf numFmtId="0" fontId="91" fillId="8" borderId="0" xfId="75" applyNumberFormat="1" applyFont="1" applyFill="1" applyAlignment="1">
      <alignment horizontal="center" vertical="center"/>
    </xf>
    <xf numFmtId="2" fontId="91" fillId="0" borderId="128" xfId="75" applyNumberFormat="1" applyFont="1" applyBorder="1" applyAlignment="1">
      <alignment horizontal="center"/>
    </xf>
    <xf numFmtId="0" fontId="91" fillId="9" borderId="0" xfId="75" applyNumberFormat="1" applyFont="1" applyFill="1" applyAlignment="1">
      <alignment horizontal="center" vertical="center"/>
    </xf>
    <xf numFmtId="0" fontId="91" fillId="10" borderId="0" xfId="75" applyNumberFormat="1" applyFont="1" applyFill="1" applyAlignment="1">
      <alignment horizontal="center" vertical="center"/>
    </xf>
    <xf numFmtId="0" fontId="91" fillId="11" borderId="0" xfId="75" applyNumberFormat="1" applyFont="1" applyFill="1" applyAlignment="1">
      <alignment horizontal="center" vertical="center"/>
    </xf>
    <xf numFmtId="0" fontId="91" fillId="12" borderId="0" xfId="75" applyNumberFormat="1" applyFont="1" applyFill="1" applyAlignment="1">
      <alignment horizontal="center" vertical="center"/>
    </xf>
    <xf numFmtId="173" fontId="66" fillId="4" borderId="0" xfId="197" applyNumberFormat="1" applyFont="1" applyFill="1" applyAlignment="1">
      <alignment horizontal="center" vertical="center" wrapText="1"/>
    </xf>
    <xf numFmtId="0" fontId="91" fillId="13" borderId="0" xfId="75" applyNumberFormat="1" applyFont="1" applyFill="1" applyAlignment="1">
      <alignment horizontal="center" vertical="center"/>
    </xf>
    <xf numFmtId="0" fontId="91" fillId="0" borderId="0" xfId="75" applyNumberFormat="1" applyFont="1" applyAlignment="1">
      <alignment horizontal="center"/>
    </xf>
    <xf numFmtId="0" fontId="91" fillId="0" borderId="129" xfId="75" applyNumberFormat="1" applyFont="1" applyBorder="1" applyAlignment="1">
      <alignment horizontal="left"/>
    </xf>
    <xf numFmtId="0" fontId="64" fillId="0" borderId="0" xfId="149" applyFont="1" applyAlignment="1">
      <alignment horizontal="center" wrapText="1"/>
    </xf>
    <xf numFmtId="0" fontId="64" fillId="0" borderId="0" xfId="151" applyFont="1" applyAlignment="1">
      <alignment horizontal="center" vertical="top" wrapText="1"/>
    </xf>
    <xf numFmtId="0" fontId="97" fillId="0" borderId="0" xfId="0" applyFont="1" applyAlignment="1">
      <alignment horizontal="center" vertical="center"/>
    </xf>
    <xf numFmtId="187" fontId="62" fillId="0" borderId="0" xfId="0" applyNumberFormat="1" applyFont="1" applyAlignment="1">
      <alignment horizontal="left"/>
    </xf>
    <xf numFmtId="0" fontId="55" fillId="3" borderId="0" xfId="0" applyFont="1" applyFill="1" applyAlignment="1">
      <alignment horizontal="center" vertical="center"/>
    </xf>
    <xf numFmtId="0" fontId="102" fillId="0" borderId="0" xfId="0" applyFont="1" applyAlignment="1">
      <alignment horizontal="center" vertical="center" wrapText="1"/>
    </xf>
    <xf numFmtId="0" fontId="93" fillId="0" borderId="0" xfId="0" applyFont="1" applyAlignment="1">
      <alignment horizontal="center"/>
    </xf>
    <xf numFmtId="0" fontId="93" fillId="16" borderId="0" xfId="0" applyFont="1" applyFill="1" applyAlignment="1">
      <alignment horizontal="center"/>
    </xf>
    <xf numFmtId="171" fontId="55" fillId="0" borderId="0" xfId="0" applyNumberFormat="1" applyFont="1" applyAlignment="1">
      <alignment vertical="center"/>
    </xf>
    <xf numFmtId="0" fontId="54" fillId="0" borderId="0" xfId="0" applyFont="1" applyAlignment="1">
      <alignment horizontal="center" vertical="center" wrapText="1"/>
    </xf>
    <xf numFmtId="171" fontId="93" fillId="0" borderId="0" xfId="0" applyNumberFormat="1" applyFont="1" applyAlignment="1">
      <alignment horizontal="center"/>
    </xf>
    <xf numFmtId="0" fontId="99" fillId="0" borderId="0" xfId="0" applyFont="1" applyAlignment="1">
      <alignment horizontal="center" vertical="center" wrapText="1"/>
    </xf>
    <xf numFmtId="0" fontId="55" fillId="0" borderId="0" xfId="0" applyFont="1" applyAlignment="1">
      <alignment vertical="center"/>
    </xf>
    <xf numFmtId="16" fontId="54" fillId="0" borderId="0" xfId="0" applyNumberFormat="1" applyFont="1" applyAlignment="1">
      <alignment horizontal="center" vertical="center"/>
    </xf>
    <xf numFmtId="0" fontId="55" fillId="0" borderId="0" xfId="0" applyFont="1" applyAlignment="1">
      <alignment vertical="top"/>
    </xf>
    <xf numFmtId="0" fontId="54" fillId="0" borderId="0" xfId="104" applyFont="1" applyAlignment="1">
      <alignment horizontal="center" vertical="center"/>
    </xf>
    <xf numFmtId="170" fontId="54" fillId="4" borderId="0" xfId="0" applyNumberFormat="1" applyFont="1" applyFill="1" applyAlignment="1">
      <alignment horizontal="center" vertical="center"/>
    </xf>
    <xf numFmtId="170" fontId="93" fillId="0" borderId="0" xfId="0" applyNumberFormat="1" applyFont="1"/>
    <xf numFmtId="1" fontId="54" fillId="0" borderId="0" xfId="0" applyNumberFormat="1" applyFont="1" applyAlignment="1">
      <alignment horizontal="center" vertical="center"/>
    </xf>
    <xf numFmtId="170" fontId="54" fillId="0" borderId="0" xfId="0" applyNumberFormat="1" applyFont="1" applyAlignment="1">
      <alignment horizontal="center" vertical="center"/>
    </xf>
    <xf numFmtId="171" fontId="54" fillId="17" borderId="0" xfId="0" applyNumberFormat="1" applyFont="1" applyFill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97" fillId="0" borderId="0" xfId="0" applyFont="1" applyAlignment="1">
      <alignment horizontal="left"/>
    </xf>
    <xf numFmtId="0" fontId="62" fillId="0" borderId="0" xfId="0" applyFont="1" applyAlignment="1">
      <alignment vertical="center"/>
    </xf>
    <xf numFmtId="0" fontId="103" fillId="0" borderId="0" xfId="150" applyFont="1" applyAlignment="1">
      <alignment wrapText="1"/>
    </xf>
    <xf numFmtId="0" fontId="103" fillId="0" borderId="0" xfId="150" applyFont="1" applyAlignment="1">
      <alignment horizontal="center" wrapText="1"/>
    </xf>
    <xf numFmtId="0" fontId="91" fillId="0" borderId="0" xfId="0" applyFont="1" applyAlignment="1" applyProtection="1">
      <alignment vertical="center"/>
      <protection locked="0"/>
    </xf>
    <xf numFmtId="0" fontId="66" fillId="3" borderId="0" xfId="0" applyFont="1" applyFill="1" applyAlignment="1">
      <alignment horizontal="center" vertical="center" wrapText="1"/>
    </xf>
    <xf numFmtId="0" fontId="105" fillId="3" borderId="1" xfId="195" applyFont="1" applyFill="1" applyBorder="1" applyAlignment="1">
      <alignment horizontal="center" vertical="center" wrapText="1"/>
    </xf>
    <xf numFmtId="0" fontId="92" fillId="4" borderId="1" xfId="195" applyFont="1" applyFill="1" applyBorder="1" applyAlignment="1">
      <alignment horizontal="center" vertical="center" wrapText="1"/>
    </xf>
    <xf numFmtId="0" fontId="92" fillId="4" borderId="4" xfId="195" applyFont="1" applyFill="1" applyBorder="1" applyAlignment="1">
      <alignment horizontal="center" vertical="center" wrapText="1"/>
    </xf>
    <xf numFmtId="0" fontId="35" fillId="2" borderId="8" xfId="0" applyFont="1" applyFill="1" applyBorder="1" applyAlignment="1" applyProtection="1">
      <alignment vertical="center"/>
      <protection locked="0"/>
    </xf>
    <xf numFmtId="0" fontId="26" fillId="0" borderId="11" xfId="0" applyFont="1" applyBorder="1" applyProtection="1">
      <protection locked="0"/>
    </xf>
    <xf numFmtId="0" fontId="93" fillId="0" borderId="11" xfId="0" applyFont="1" applyBorder="1" applyProtection="1">
      <protection locked="0"/>
    </xf>
    <xf numFmtId="0" fontId="93" fillId="0" borderId="12" xfId="0" applyFont="1" applyBorder="1" applyProtection="1">
      <protection locked="0"/>
    </xf>
    <xf numFmtId="0" fontId="93" fillId="0" borderId="0" xfId="0" applyFont="1" applyAlignment="1">
      <alignment horizontal="center" vertical="center" wrapText="1"/>
    </xf>
    <xf numFmtId="0" fontId="93" fillId="0" borderId="8" xfId="0" applyFont="1" applyBorder="1"/>
    <xf numFmtId="0" fontId="86" fillId="0" borderId="5" xfId="0" applyFont="1" applyBorder="1"/>
    <xf numFmtId="0" fontId="93" fillId="0" borderId="8" xfId="0" applyFont="1" applyBorder="1" applyAlignment="1" applyProtection="1">
      <alignment horizontal="center"/>
      <protection locked="0"/>
    </xf>
    <xf numFmtId="0" fontId="26" fillId="0" borderId="10" xfId="0" applyFont="1" applyBorder="1" applyAlignment="1">
      <alignment horizontal="center" vertical="center"/>
    </xf>
    <xf numFmtId="0" fontId="86" fillId="19" borderId="19" xfId="0" applyFont="1" applyFill="1" applyBorder="1" applyAlignment="1">
      <alignment horizontal="center" vertical="center"/>
    </xf>
    <xf numFmtId="0" fontId="86" fillId="19" borderId="0" xfId="0" applyFont="1" applyFill="1" applyAlignment="1">
      <alignment horizontal="center" vertical="center"/>
    </xf>
    <xf numFmtId="0" fontId="86" fillId="19" borderId="11" xfId="0" applyFont="1" applyFill="1" applyBorder="1"/>
    <xf numFmtId="0" fontId="86" fillId="19" borderId="0" xfId="0" applyFont="1" applyFill="1"/>
    <xf numFmtId="0" fontId="26" fillId="19" borderId="0" xfId="0" applyFont="1" applyFill="1"/>
    <xf numFmtId="0" fontId="86" fillId="19" borderId="19" xfId="0" applyFont="1" applyFill="1" applyBorder="1"/>
    <xf numFmtId="0" fontId="86" fillId="19" borderId="11" xfId="0" applyFont="1" applyFill="1" applyBorder="1" applyAlignment="1">
      <alignment horizontal="center" vertical="center"/>
    </xf>
    <xf numFmtId="0" fontId="87" fillId="19" borderId="11" xfId="0" applyFont="1" applyFill="1" applyBorder="1" applyAlignment="1">
      <alignment horizontal="center" vertical="center"/>
    </xf>
    <xf numFmtId="0" fontId="87" fillId="19" borderId="0" xfId="0" applyFont="1" applyFill="1" applyAlignment="1">
      <alignment horizontal="center" vertical="center"/>
    </xf>
    <xf numFmtId="1" fontId="87" fillId="19" borderId="11" xfId="0" applyNumberFormat="1" applyFont="1" applyFill="1" applyBorder="1" applyAlignment="1">
      <alignment horizontal="center" vertical="center"/>
    </xf>
    <xf numFmtId="1" fontId="87" fillId="19" borderId="0" xfId="0" applyNumberFormat="1" applyFont="1" applyFill="1" applyAlignment="1">
      <alignment horizontal="center" vertical="center"/>
    </xf>
    <xf numFmtId="0" fontId="70" fillId="22" borderId="11" xfId="195" applyFont="1" applyFill="1" applyBorder="1" applyAlignment="1">
      <alignment vertical="center" wrapText="1"/>
    </xf>
    <xf numFmtId="0" fontId="70" fillId="22" borderId="0" xfId="195" applyFont="1" applyFill="1" applyAlignment="1">
      <alignment vertical="center" wrapText="1"/>
    </xf>
    <xf numFmtId="0" fontId="70" fillId="22" borderId="11" xfId="195" applyFont="1" applyFill="1" applyBorder="1" applyAlignment="1">
      <alignment horizontal="center" vertical="center" wrapText="1"/>
    </xf>
    <xf numFmtId="0" fontId="70" fillId="22" borderId="0" xfId="195" applyFont="1" applyFill="1" applyAlignment="1">
      <alignment horizontal="center" vertical="center" wrapText="1"/>
    </xf>
    <xf numFmtId="170" fontId="87" fillId="19" borderId="11" xfId="0" applyNumberFormat="1" applyFont="1" applyFill="1" applyBorder="1" applyAlignment="1">
      <alignment horizontal="center" vertical="center"/>
    </xf>
    <xf numFmtId="170" fontId="87" fillId="19" borderId="0" xfId="0" applyNumberFormat="1" applyFont="1" applyFill="1" applyAlignment="1">
      <alignment horizontal="center" vertical="center"/>
    </xf>
    <xf numFmtId="170" fontId="87" fillId="19" borderId="11" xfId="195" applyNumberFormat="1" applyFont="1" applyFill="1" applyBorder="1" applyAlignment="1">
      <alignment horizontal="center" vertical="center" wrapText="1"/>
    </xf>
    <xf numFmtId="170" fontId="87" fillId="19" borderId="0" xfId="195" applyNumberFormat="1" applyFont="1" applyFill="1" applyAlignment="1">
      <alignment horizontal="center" vertical="center" wrapText="1"/>
    </xf>
    <xf numFmtId="0" fontId="87" fillId="19" borderId="11" xfId="195" applyFont="1" applyFill="1" applyBorder="1" applyAlignment="1">
      <alignment horizontal="center" vertical="center" wrapText="1"/>
    </xf>
    <xf numFmtId="0" fontId="87" fillId="19" borderId="0" xfId="195" applyFont="1" applyFill="1" applyAlignment="1">
      <alignment horizontal="center" vertical="center" wrapText="1"/>
    </xf>
    <xf numFmtId="0" fontId="70" fillId="22" borderId="12" xfId="195" applyFont="1" applyFill="1" applyBorder="1" applyAlignment="1">
      <alignment horizontal="center" vertical="center" wrapText="1"/>
    </xf>
    <xf numFmtId="0" fontId="70" fillId="22" borderId="5" xfId="195" applyFont="1" applyFill="1" applyBorder="1" applyAlignment="1">
      <alignment horizontal="center" vertical="center" wrapText="1"/>
    </xf>
    <xf numFmtId="0" fontId="26" fillId="19" borderId="14" xfId="0" applyFont="1" applyFill="1" applyBorder="1" applyAlignment="1">
      <alignment horizontal="center" vertical="center"/>
    </xf>
    <xf numFmtId="0" fontId="86" fillId="19" borderId="15" xfId="0" applyFont="1" applyFill="1" applyBorder="1" applyAlignment="1">
      <alignment horizontal="center" vertical="center"/>
    </xf>
    <xf numFmtId="0" fontId="87" fillId="19" borderId="15" xfId="0" applyFont="1" applyFill="1" applyBorder="1" applyAlignment="1">
      <alignment horizontal="center" vertical="center"/>
    </xf>
    <xf numFmtId="0" fontId="70" fillId="22" borderId="15" xfId="90" applyFont="1" applyFill="1" applyBorder="1" applyAlignment="1">
      <alignment vertical="center" wrapText="1"/>
    </xf>
    <xf numFmtId="170" fontId="87" fillId="19" borderId="15" xfId="0" applyNumberFormat="1" applyFont="1" applyFill="1" applyBorder="1" applyAlignment="1">
      <alignment horizontal="center" vertical="center"/>
    </xf>
    <xf numFmtId="1" fontId="87" fillId="19" borderId="15" xfId="0" applyNumberFormat="1" applyFont="1" applyFill="1" applyBorder="1" applyAlignment="1">
      <alignment horizontal="center" vertical="center"/>
    </xf>
    <xf numFmtId="170" fontId="87" fillId="19" borderId="15" xfId="90" applyNumberFormat="1" applyFont="1" applyFill="1" applyBorder="1" applyAlignment="1">
      <alignment horizontal="center" vertical="center" wrapText="1"/>
    </xf>
    <xf numFmtId="0" fontId="87" fillId="19" borderId="15" xfId="90" applyFont="1" applyFill="1" applyBorder="1" applyAlignment="1">
      <alignment horizontal="center" vertical="center" wrapText="1"/>
    </xf>
    <xf numFmtId="0" fontId="87" fillId="19" borderId="15" xfId="0" quotePrefix="1" applyFont="1" applyFill="1" applyBorder="1" applyAlignment="1">
      <alignment horizontal="center" vertical="center"/>
    </xf>
    <xf numFmtId="0" fontId="70" fillId="22" borderId="13" xfId="9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/>
    </xf>
    <xf numFmtId="0" fontId="86" fillId="19" borderId="15" xfId="0" applyFont="1" applyFill="1" applyBorder="1"/>
    <xf numFmtId="0" fontId="70" fillId="22" borderId="15" xfId="90" applyFont="1" applyFill="1" applyBorder="1" applyAlignment="1">
      <alignment horizontal="center" vertical="center" wrapText="1"/>
    </xf>
    <xf numFmtId="0" fontId="93" fillId="0" borderId="15" xfId="0" applyFont="1" applyBorder="1" applyAlignment="1">
      <alignment horizontal="center" vertical="center"/>
    </xf>
    <xf numFmtId="0" fontId="66" fillId="4" borderId="15" xfId="90" applyFont="1" applyFill="1" applyBorder="1" applyAlignment="1">
      <alignment horizontal="center" vertical="center" wrapText="1"/>
    </xf>
    <xf numFmtId="0" fontId="66" fillId="15" borderId="15" xfId="90" applyFont="1" applyFill="1" applyBorder="1" applyAlignment="1">
      <alignment horizontal="center" vertical="center" wrapText="1"/>
    </xf>
    <xf numFmtId="0" fontId="66" fillId="15" borderId="13" xfId="90" applyFont="1" applyFill="1" applyBorder="1" applyAlignment="1">
      <alignment horizontal="center" vertical="center" wrapText="1"/>
    </xf>
    <xf numFmtId="0" fontId="93" fillId="0" borderId="14" xfId="0" applyFont="1" applyBorder="1" applyAlignment="1">
      <alignment horizontal="center" vertical="center"/>
    </xf>
    <xf numFmtId="1" fontId="54" fillId="0" borderId="16" xfId="0" applyNumberFormat="1" applyFont="1" applyBorder="1" applyAlignment="1">
      <alignment horizontal="center" vertical="center"/>
    </xf>
    <xf numFmtId="1" fontId="54" fillId="0" borderId="129" xfId="0" applyNumberFormat="1" applyFont="1" applyBorder="1" applyAlignment="1">
      <alignment horizontal="center" vertical="center"/>
    </xf>
    <xf numFmtId="0" fontId="36" fillId="0" borderId="0" xfId="0" applyFont="1" applyAlignment="1">
      <alignment vertical="top"/>
    </xf>
    <xf numFmtId="0" fontId="29" fillId="3" borderId="5" xfId="0" applyFont="1" applyFill="1" applyBorder="1" applyAlignment="1">
      <alignment horizontal="center" vertical="center"/>
    </xf>
    <xf numFmtId="0" fontId="12" fillId="0" borderId="128" xfId="0" applyFont="1" applyBorder="1" applyAlignment="1">
      <alignment horizontal="center" vertical="center" wrapText="1"/>
    </xf>
    <xf numFmtId="0" fontId="54" fillId="0" borderId="25" xfId="104" applyFont="1" applyBorder="1" applyAlignment="1">
      <alignment horizontal="center" vertical="center"/>
    </xf>
    <xf numFmtId="0" fontId="54" fillId="0" borderId="16" xfId="0" applyFont="1" applyBorder="1" applyAlignment="1">
      <alignment horizontal="center" vertical="center"/>
    </xf>
    <xf numFmtId="0" fontId="36" fillId="0" borderId="0" xfId="0" applyFont="1" applyAlignment="1">
      <alignment vertical="center"/>
    </xf>
    <xf numFmtId="16" fontId="54" fillId="0" borderId="24" xfId="0" applyNumberFormat="1" applyFont="1" applyBorder="1" applyAlignment="1">
      <alignment horizontal="center" vertical="center"/>
    </xf>
    <xf numFmtId="1" fontId="54" fillId="0" borderId="128" xfId="0" applyNumberFormat="1" applyFont="1" applyBorder="1" applyAlignment="1">
      <alignment horizontal="center" vertical="center"/>
    </xf>
    <xf numFmtId="16" fontId="29" fillId="0" borderId="0" xfId="0" applyNumberFormat="1" applyFont="1" applyAlignment="1">
      <alignment horizontal="center" vertical="center"/>
    </xf>
    <xf numFmtId="0" fontId="29" fillId="0" borderId="0" xfId="0" applyFont="1" applyAlignment="1" applyProtection="1">
      <alignment horizontal="center"/>
      <protection locked="0"/>
    </xf>
    <xf numFmtId="0" fontId="29" fillId="0" borderId="0" xfId="104" applyFont="1" applyAlignment="1">
      <alignment horizontal="center" vertical="center"/>
    </xf>
    <xf numFmtId="16" fontId="54" fillId="0" borderId="17" xfId="0" applyNumberFormat="1" applyFont="1" applyBorder="1" applyAlignment="1">
      <alignment horizontal="center" vertical="center" wrapText="1"/>
    </xf>
    <xf numFmtId="0" fontId="54" fillId="0" borderId="17" xfId="0" applyFont="1" applyBorder="1" applyAlignment="1">
      <alignment horizontal="center" vertical="center" wrapText="1"/>
    </xf>
    <xf numFmtId="0" fontId="54" fillId="0" borderId="127" xfId="0" applyFont="1" applyBorder="1" applyAlignment="1">
      <alignment horizontal="center" vertical="center" wrapText="1"/>
    </xf>
    <xf numFmtId="0" fontId="54" fillId="0" borderId="5" xfId="104" applyFont="1" applyBorder="1" applyAlignment="1">
      <alignment horizontal="center" vertical="center" wrapText="1"/>
    </xf>
    <xf numFmtId="0" fontId="54" fillId="0" borderId="5" xfId="0" applyFont="1" applyBorder="1" applyAlignment="1">
      <alignment horizontal="center" vertical="center" wrapText="1"/>
    </xf>
    <xf numFmtId="0" fontId="54" fillId="0" borderId="151" xfId="0" applyFont="1" applyBorder="1" applyAlignment="1">
      <alignment horizontal="center" vertical="center" wrapText="1"/>
    </xf>
    <xf numFmtId="16" fontId="29" fillId="0" borderId="0" xfId="0" applyNumberFormat="1" applyFont="1" applyAlignment="1">
      <alignment horizontal="center" vertical="center" wrapText="1"/>
    </xf>
    <xf numFmtId="173" fontId="39" fillId="0" borderId="0" xfId="0" applyNumberFormat="1" applyFont="1" applyAlignment="1">
      <alignment horizontal="center" vertical="center" wrapText="1"/>
    </xf>
    <xf numFmtId="0" fontId="29" fillId="0" borderId="5" xfId="104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93" fillId="0" borderId="17" xfId="0" applyFont="1" applyBorder="1" applyAlignment="1">
      <alignment horizontal="center" vertical="center" wrapText="1"/>
    </xf>
    <xf numFmtId="0" fontId="93" fillId="0" borderId="127" xfId="0" applyFont="1" applyBorder="1" applyAlignment="1">
      <alignment horizontal="center" vertical="center" wrapText="1"/>
    </xf>
    <xf numFmtId="1" fontId="54" fillId="0" borderId="10" xfId="0" applyNumberFormat="1" applyFont="1" applyBorder="1" applyAlignment="1">
      <alignment horizontal="center" vertical="center" wrapText="1"/>
    </xf>
    <xf numFmtId="1" fontId="54" fillId="0" borderId="150" xfId="0" applyNumberFormat="1" applyFont="1" applyBorder="1" applyAlignment="1">
      <alignment horizontal="center" vertical="center" wrapText="1"/>
    </xf>
    <xf numFmtId="1" fontId="54" fillId="0" borderId="0" xfId="0" applyNumberFormat="1" applyFont="1" applyAlignment="1">
      <alignment horizontal="center" vertical="center" wrapText="1"/>
    </xf>
    <xf numFmtId="1" fontId="54" fillId="0" borderId="128" xfId="0" applyNumberFormat="1" applyFont="1" applyBorder="1" applyAlignment="1">
      <alignment horizontal="center" vertical="center" wrapText="1"/>
    </xf>
    <xf numFmtId="1" fontId="54" fillId="0" borderId="5" xfId="0" applyNumberFormat="1" applyFont="1" applyBorder="1" applyAlignment="1">
      <alignment horizontal="center" vertical="center" wrapText="1"/>
    </xf>
    <xf numFmtId="1" fontId="89" fillId="0" borderId="0" xfId="0" applyNumberFormat="1" applyFont="1" applyAlignment="1">
      <alignment horizontal="center" vertical="center" wrapText="1"/>
    </xf>
    <xf numFmtId="170" fontId="89" fillId="0" borderId="128" xfId="0" applyNumberFormat="1" applyFont="1" applyBorder="1" applyAlignment="1">
      <alignment horizontal="center" vertical="center" wrapText="1"/>
    </xf>
    <xf numFmtId="1" fontId="89" fillId="19" borderId="16" xfId="0" applyNumberFormat="1" applyFont="1" applyFill="1" applyBorder="1" applyAlignment="1">
      <alignment horizontal="center" vertical="center" wrapText="1"/>
    </xf>
    <xf numFmtId="0" fontId="26" fillId="0" borderId="51" xfId="0" applyFont="1" applyBorder="1" applyAlignment="1" applyProtection="1">
      <alignment horizontal="left" vertical="center"/>
      <protection locked="0"/>
    </xf>
    <xf numFmtId="0" fontId="26" fillId="0" borderId="12" xfId="0" applyFont="1" applyBorder="1" applyAlignment="1" applyProtection="1">
      <alignment horizontal="left" vertical="center"/>
      <protection locked="0"/>
    </xf>
    <xf numFmtId="0" fontId="26" fillId="0" borderId="11" xfId="0" applyFont="1" applyBorder="1" applyAlignment="1" applyProtection="1">
      <alignment horizontal="left" vertical="center"/>
      <protection locked="0"/>
    </xf>
    <xf numFmtId="0" fontId="93" fillId="0" borderId="51" xfId="0" applyFont="1" applyBorder="1" applyAlignment="1">
      <alignment horizontal="left" vertical="center"/>
    </xf>
    <xf numFmtId="0" fontId="55" fillId="0" borderId="9" xfId="0" applyFont="1" applyBorder="1" applyAlignment="1">
      <alignment horizontal="left" vertical="center"/>
    </xf>
    <xf numFmtId="0" fontId="93" fillId="0" borderId="11" xfId="0" applyFont="1" applyBorder="1" applyAlignment="1">
      <alignment horizontal="left" vertical="center"/>
    </xf>
    <xf numFmtId="0" fontId="86" fillId="0" borderId="11" xfId="0" applyFont="1" applyBorder="1" applyAlignment="1">
      <alignment horizontal="left" vertical="center"/>
    </xf>
    <xf numFmtId="0" fontId="90" fillId="0" borderId="11" xfId="0" applyFont="1" applyBorder="1" applyAlignment="1">
      <alignment horizontal="left" vertical="center"/>
    </xf>
    <xf numFmtId="0" fontId="86" fillId="19" borderId="16" xfId="0" applyFont="1" applyFill="1" applyBorder="1" applyAlignment="1" applyProtection="1">
      <alignment horizontal="left" vertical="center" wrapText="1"/>
      <protection locked="0"/>
    </xf>
    <xf numFmtId="0" fontId="86" fillId="19" borderId="128" xfId="0" applyFont="1" applyFill="1" applyBorder="1" applyAlignment="1">
      <alignment horizontal="center" vertical="center"/>
    </xf>
    <xf numFmtId="0" fontId="86" fillId="19" borderId="128" xfId="0" applyFont="1" applyFill="1" applyBorder="1" applyAlignment="1">
      <alignment horizontal="center"/>
    </xf>
    <xf numFmtId="173" fontId="86" fillId="19" borderId="129" xfId="0" applyNumberFormat="1" applyFont="1" applyFill="1" applyBorder="1" applyAlignment="1">
      <alignment horizontal="center"/>
    </xf>
    <xf numFmtId="0" fontId="26" fillId="0" borderId="0" xfId="0" quotePrefix="1" applyFont="1" applyAlignment="1" applyProtection="1">
      <alignment horizontal="center" vertical="center" wrapText="1"/>
      <protection locked="0"/>
    </xf>
    <xf numFmtId="0" fontId="26" fillId="0" borderId="5" xfId="0" quotePrefix="1" applyFont="1" applyBorder="1" applyAlignment="1" applyProtection="1">
      <alignment horizontal="center" vertical="center" wrapText="1"/>
      <protection locked="0"/>
    </xf>
    <xf numFmtId="0" fontId="88" fillId="19" borderId="16" xfId="0" quotePrefix="1" applyFont="1" applyFill="1" applyBorder="1" applyAlignment="1">
      <alignment horizontal="center" vertical="center" wrapText="1"/>
    </xf>
    <xf numFmtId="0" fontId="26" fillId="0" borderId="10" xfId="0" applyFont="1" applyBorder="1" applyProtection="1">
      <protection locked="0"/>
    </xf>
    <xf numFmtId="0" fontId="26" fillId="0" borderId="14" xfId="0" applyFont="1" applyBorder="1" applyProtection="1">
      <protection locked="0"/>
    </xf>
    <xf numFmtId="0" fontId="26" fillId="0" borderId="13" xfId="0" applyFont="1" applyBorder="1" applyProtection="1">
      <protection locked="0"/>
    </xf>
    <xf numFmtId="1" fontId="93" fillId="0" borderId="2" xfId="0" applyNumberFormat="1" applyFont="1" applyBorder="1" applyAlignment="1" applyProtection="1">
      <alignment horizontal="center" vertical="center"/>
      <protection locked="0"/>
    </xf>
    <xf numFmtId="16" fontId="93" fillId="0" borderId="2" xfId="0" applyNumberFormat="1" applyFont="1" applyBorder="1" applyAlignment="1" applyProtection="1">
      <alignment horizontal="center" vertical="center"/>
      <protection locked="0"/>
    </xf>
    <xf numFmtId="1" fontId="26" fillId="0" borderId="2" xfId="0" applyNumberFormat="1" applyFont="1" applyBorder="1" applyAlignment="1" applyProtection="1">
      <alignment horizontal="center" vertical="center"/>
      <protection locked="0"/>
    </xf>
    <xf numFmtId="0" fontId="26" fillId="0" borderId="2" xfId="0" applyFont="1" applyBorder="1" applyAlignment="1" applyProtection="1">
      <alignment horizontal="center" vertical="center" wrapText="1"/>
      <protection locked="0"/>
    </xf>
    <xf numFmtId="0" fontId="62" fillId="3" borderId="2" xfId="198" applyFont="1" applyFill="1" applyBorder="1" applyAlignment="1">
      <alignment horizontal="center" vertical="center" wrapText="1"/>
    </xf>
    <xf numFmtId="10" fontId="93" fillId="0" borderId="0" xfId="0" applyNumberFormat="1" applyFont="1"/>
    <xf numFmtId="10" fontId="93" fillId="0" borderId="0" xfId="0" applyNumberFormat="1" applyFont="1" applyProtection="1">
      <protection locked="0"/>
    </xf>
    <xf numFmtId="173" fontId="26" fillId="0" borderId="0" xfId="0" applyNumberFormat="1" applyFont="1" applyProtection="1">
      <protection locked="0"/>
    </xf>
    <xf numFmtId="10" fontId="26" fillId="0" borderId="0" xfId="0" applyNumberFormat="1" applyFont="1" applyProtection="1">
      <protection locked="0"/>
    </xf>
    <xf numFmtId="0" fontId="33" fillId="0" borderId="0" xfId="0" applyFont="1" applyAlignment="1">
      <alignment horizontal="center"/>
    </xf>
    <xf numFmtId="173" fontId="86" fillId="0" borderId="16" xfId="0" applyNumberFormat="1" applyFont="1" applyBorder="1" applyAlignment="1">
      <alignment horizontal="center"/>
    </xf>
    <xf numFmtId="0" fontId="98" fillId="14" borderId="128" xfId="0" applyFont="1" applyFill="1" applyBorder="1" applyAlignment="1">
      <alignment horizontal="center" vertical="center"/>
    </xf>
    <xf numFmtId="0" fontId="98" fillId="14" borderId="129" xfId="0" applyFont="1" applyFill="1" applyBorder="1" applyAlignment="1">
      <alignment horizontal="center" vertical="center"/>
    </xf>
    <xf numFmtId="0" fontId="86" fillId="0" borderId="0" xfId="0" applyFont="1" applyProtection="1">
      <protection locked="0"/>
    </xf>
    <xf numFmtId="170" fontId="38" fillId="0" borderId="12" xfId="82" applyNumberFormat="1" applyFont="1" applyBorder="1" applyAlignment="1" applyProtection="1">
      <alignment horizontal="right" vertical="center"/>
      <protection locked="0"/>
    </xf>
    <xf numFmtId="0" fontId="38" fillId="0" borderId="5" xfId="82" applyFont="1" applyBorder="1" applyAlignment="1" applyProtection="1">
      <alignment horizontal="left" vertical="center"/>
      <protection locked="0"/>
    </xf>
    <xf numFmtId="0" fontId="38" fillId="0" borderId="5" xfId="82" applyFont="1" applyBorder="1" applyAlignment="1" applyProtection="1">
      <alignment horizontal="right" vertical="center"/>
      <protection locked="0"/>
    </xf>
    <xf numFmtId="173" fontId="38" fillId="0" borderId="5" xfId="82" applyNumberFormat="1" applyFont="1" applyBorder="1" applyAlignment="1" applyProtection="1">
      <alignment horizontal="left" vertical="center"/>
      <protection locked="0"/>
    </xf>
    <xf numFmtId="173" fontId="91" fillId="0" borderId="0" xfId="75" applyNumberFormat="1" applyFont="1" applyAlignment="1">
      <alignment horizontal="center" vertical="center"/>
    </xf>
    <xf numFmtId="173" fontId="91" fillId="0" borderId="0" xfId="75" applyNumberFormat="1" applyFont="1" applyAlignment="1">
      <alignment horizontal="center"/>
    </xf>
    <xf numFmtId="0" fontId="87" fillId="19" borderId="0" xfId="0" quotePrefix="1" applyFont="1" applyFill="1" applyAlignment="1">
      <alignment horizontal="center" vertical="center"/>
    </xf>
    <xf numFmtId="1" fontId="93" fillId="0" borderId="0" xfId="0" applyNumberFormat="1" applyFont="1" applyAlignment="1">
      <alignment horizontal="center" vertical="center" wrapText="1"/>
    </xf>
    <xf numFmtId="0" fontId="29" fillId="3" borderId="5" xfId="0" applyFont="1" applyFill="1" applyBorder="1" applyAlignment="1">
      <alignment horizontal="center" vertical="center" wrapText="1"/>
    </xf>
    <xf numFmtId="170" fontId="52" fillId="0" borderId="0" xfId="0" applyNumberFormat="1" applyFont="1" applyAlignment="1" applyProtection="1">
      <alignment horizontal="center" vertical="center" wrapText="1"/>
      <protection locked="0"/>
    </xf>
    <xf numFmtId="0" fontId="91" fillId="14" borderId="0" xfId="0" applyFont="1" applyFill="1" applyAlignment="1">
      <alignment horizontal="center" vertical="center" wrapText="1"/>
    </xf>
    <xf numFmtId="0" fontId="93" fillId="0" borderId="0" xfId="0" applyFont="1" applyAlignment="1" applyProtection="1">
      <alignment horizontal="center" vertical="center"/>
      <protection locked="0"/>
    </xf>
    <xf numFmtId="0" fontId="93" fillId="0" borderId="16" xfId="0" applyFont="1" applyBorder="1" applyAlignment="1" applyProtection="1">
      <alignment horizontal="center" vertical="center"/>
      <protection locked="0"/>
    </xf>
    <xf numFmtId="0" fontId="28" fillId="23" borderId="2" xfId="132" applyFont="1" applyFill="1" applyBorder="1" applyAlignment="1">
      <alignment horizontal="center" vertical="center" wrapText="1"/>
    </xf>
    <xf numFmtId="0" fontId="77" fillId="0" borderId="0" xfId="132" applyFont="1" applyAlignment="1">
      <alignment horizontal="center" vertical="center"/>
    </xf>
    <xf numFmtId="0" fontId="78" fillId="0" borderId="0" xfId="132" applyFont="1"/>
    <xf numFmtId="0" fontId="10" fillId="0" borderId="0" xfId="132"/>
    <xf numFmtId="0" fontId="28" fillId="8" borderId="2" xfId="132" applyFont="1" applyFill="1" applyBorder="1" applyAlignment="1">
      <alignment horizontal="center" vertical="center" wrapText="1"/>
    </xf>
    <xf numFmtId="0" fontId="26" fillId="19" borderId="15" xfId="0" quotePrefix="1" applyFont="1" applyFill="1" applyBorder="1" applyAlignment="1">
      <alignment horizontal="center" vertical="center"/>
    </xf>
    <xf numFmtId="0" fontId="66" fillId="4" borderId="29" xfId="195" applyFont="1" applyFill="1" applyBorder="1" applyAlignment="1">
      <alignment horizontal="right" vertical="center" wrapText="1" indent="1"/>
    </xf>
    <xf numFmtId="0" fontId="85" fillId="3" borderId="7" xfId="150" applyFont="1" applyFill="1" applyBorder="1" applyAlignment="1">
      <alignment horizontal="center" vertical="center"/>
    </xf>
    <xf numFmtId="0" fontId="93" fillId="0" borderId="6" xfId="0" applyFont="1" applyBorder="1" applyProtection="1">
      <protection locked="0"/>
    </xf>
    <xf numFmtId="0" fontId="93" fillId="0" borderId="6" xfId="0" applyFont="1" applyBorder="1" applyAlignment="1" applyProtection="1">
      <alignment horizontal="center" vertical="center"/>
      <protection locked="0"/>
    </xf>
    <xf numFmtId="0" fontId="93" fillId="0" borderId="156" xfId="0" applyFont="1" applyBorder="1" applyAlignment="1" applyProtection="1">
      <alignment horizontal="center" vertical="center"/>
      <protection locked="0"/>
    </xf>
    <xf numFmtId="0" fontId="93" fillId="0" borderId="6" xfId="0" applyFont="1" applyBorder="1" applyAlignment="1">
      <alignment horizontal="center"/>
    </xf>
    <xf numFmtId="0" fontId="33" fillId="0" borderId="135" xfId="0" applyFont="1" applyBorder="1" applyProtection="1">
      <protection locked="0"/>
    </xf>
    <xf numFmtId="0" fontId="106" fillId="0" borderId="149" xfId="0" applyFont="1" applyBorder="1" applyAlignment="1" applyProtection="1">
      <alignment wrapText="1"/>
      <protection locked="0"/>
    </xf>
    <xf numFmtId="0" fontId="93" fillId="0" borderId="159" xfId="0" applyFont="1" applyBorder="1" applyAlignment="1" applyProtection="1">
      <alignment horizontal="center"/>
      <protection locked="0"/>
    </xf>
    <xf numFmtId="0" fontId="26" fillId="0" borderId="160" xfId="0" applyFont="1" applyBorder="1" applyProtection="1">
      <protection locked="0"/>
    </xf>
    <xf numFmtId="0" fontId="26" fillId="0" borderId="161" xfId="0" applyFont="1" applyBorder="1" applyProtection="1">
      <protection locked="0"/>
    </xf>
    <xf numFmtId="0" fontId="93" fillId="0" borderId="17" xfId="0" applyFont="1" applyBorder="1" applyAlignment="1">
      <alignment horizontal="center" vertical="center"/>
    </xf>
    <xf numFmtId="0" fontId="93" fillId="0" borderId="127" xfId="0" applyFont="1" applyBorder="1" applyAlignment="1">
      <alignment horizontal="center" vertical="center"/>
    </xf>
    <xf numFmtId="0" fontId="88" fillId="0" borderId="0" xfId="82" applyFont="1"/>
    <xf numFmtId="0" fontId="87" fillId="19" borderId="11" xfId="195" quotePrefix="1" applyFont="1" applyFill="1" applyBorder="1" applyAlignment="1">
      <alignment horizontal="center" vertical="center" wrapText="1"/>
    </xf>
    <xf numFmtId="1" fontId="93" fillId="0" borderId="0" xfId="0" applyNumberFormat="1" applyFont="1" applyAlignment="1" applyProtection="1">
      <alignment horizontal="center"/>
      <protection locked="0"/>
    </xf>
    <xf numFmtId="0" fontId="93" fillId="0" borderId="23" xfId="0" applyFont="1" applyBorder="1" applyAlignment="1">
      <alignment vertical="center"/>
    </xf>
    <xf numFmtId="0" fontId="87" fillId="19" borderId="0" xfId="195" quotePrefix="1" applyFont="1" applyFill="1" applyAlignment="1">
      <alignment horizontal="center" vertical="center" wrapText="1"/>
    </xf>
    <xf numFmtId="0" fontId="87" fillId="19" borderId="15" xfId="90" quotePrefix="1" applyFont="1" applyFill="1" applyBorder="1" applyAlignment="1">
      <alignment horizontal="center" vertical="center" wrapText="1"/>
    </xf>
    <xf numFmtId="2" fontId="86" fillId="19" borderId="128" xfId="0" applyNumberFormat="1" applyFont="1" applyFill="1" applyBorder="1" applyAlignment="1">
      <alignment horizontal="center"/>
    </xf>
    <xf numFmtId="0" fontId="33" fillId="19" borderId="128" xfId="0" applyFont="1" applyFill="1" applyBorder="1" applyAlignment="1">
      <alignment horizontal="center"/>
    </xf>
    <xf numFmtId="0" fontId="28" fillId="4" borderId="2" xfId="132" applyFont="1" applyFill="1" applyBorder="1" applyAlignment="1">
      <alignment horizontal="center" vertical="center" wrapText="1"/>
    </xf>
    <xf numFmtId="49" fontId="28" fillId="4" borderId="2" xfId="132" applyNumberFormat="1" applyFont="1" applyFill="1" applyBorder="1" applyAlignment="1">
      <alignment horizontal="center" vertical="center" wrapText="1"/>
    </xf>
    <xf numFmtId="0" fontId="79" fillId="4" borderId="2" xfId="132" quotePrefix="1" applyFont="1" applyFill="1" applyBorder="1" applyAlignment="1">
      <alignment horizontal="center" vertical="center" wrapText="1"/>
    </xf>
    <xf numFmtId="0" fontId="30" fillId="0" borderId="7" xfId="132" quotePrefix="1" applyFont="1" applyBorder="1" applyAlignment="1">
      <alignment horizontal="center" vertical="center"/>
    </xf>
    <xf numFmtId="170" fontId="26" fillId="0" borderId="0" xfId="0" applyNumberFormat="1" applyFont="1" applyAlignment="1">
      <alignment horizontal="center" vertical="center"/>
    </xf>
    <xf numFmtId="0" fontId="93" fillId="0" borderId="11" xfId="0" applyFont="1" applyBorder="1" applyAlignment="1">
      <alignment vertical="center"/>
    </xf>
    <xf numFmtId="0" fontId="93" fillId="0" borderId="0" xfId="0" applyFont="1" applyAlignment="1">
      <alignment vertical="center"/>
    </xf>
    <xf numFmtId="170" fontId="26" fillId="0" borderId="15" xfId="0" applyNumberFormat="1" applyFont="1" applyBorder="1" applyAlignment="1">
      <alignment horizontal="center" vertical="center"/>
    </xf>
    <xf numFmtId="0" fontId="62" fillId="4" borderId="15" xfId="90" applyFont="1" applyFill="1" applyBorder="1" applyAlignment="1">
      <alignment horizontal="center" vertical="center" wrapText="1"/>
    </xf>
    <xf numFmtId="0" fontId="62" fillId="15" borderId="15" xfId="90" applyFont="1" applyFill="1" applyBorder="1" applyAlignment="1">
      <alignment horizontal="center" vertical="center" wrapText="1"/>
    </xf>
    <xf numFmtId="0" fontId="93" fillId="0" borderId="0" xfId="0" applyFont="1" applyAlignment="1" applyProtection="1">
      <alignment wrapText="1"/>
      <protection locked="0"/>
    </xf>
    <xf numFmtId="0" fontId="29" fillId="0" borderId="5" xfId="0" applyFont="1" applyBorder="1" applyAlignment="1">
      <alignment vertical="center"/>
    </xf>
    <xf numFmtId="0" fontId="60" fillId="3" borderId="7" xfId="0" applyFont="1" applyFill="1" applyBorder="1" applyAlignment="1">
      <alignment horizontal="center" vertical="center" textRotation="90" wrapText="1"/>
    </xf>
    <xf numFmtId="0" fontId="62" fillId="4" borderId="65" xfId="0" applyFont="1" applyFill="1" applyBorder="1" applyAlignment="1">
      <alignment horizontal="left" vertical="center"/>
    </xf>
    <xf numFmtId="0" fontId="62" fillId="4" borderId="29" xfId="0" applyFont="1" applyFill="1" applyBorder="1" applyAlignment="1">
      <alignment horizontal="left" vertical="center"/>
    </xf>
    <xf numFmtId="0" fontId="46" fillId="4" borderId="29" xfId="195" applyFont="1" applyFill="1" applyBorder="1" applyAlignment="1">
      <alignment horizontal="center" vertical="center" wrapText="1"/>
    </xf>
    <xf numFmtId="170" fontId="52" fillId="0" borderId="5" xfId="0" applyNumberFormat="1" applyFont="1" applyBorder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10" fillId="0" borderId="0" xfId="132" applyAlignment="1">
      <alignment horizontal="center" vertical="center"/>
    </xf>
    <xf numFmtId="0" fontId="37" fillId="0" borderId="10" xfId="0" applyFont="1" applyBorder="1" applyAlignment="1">
      <alignment vertical="center"/>
    </xf>
    <xf numFmtId="0" fontId="37" fillId="0" borderId="10" xfId="0" applyFont="1" applyBorder="1" applyAlignment="1" applyProtection="1">
      <alignment vertical="center"/>
      <protection locked="0"/>
    </xf>
    <xf numFmtId="0" fontId="37" fillId="0" borderId="0" xfId="0" applyFont="1" applyAlignment="1">
      <alignment vertical="center"/>
    </xf>
    <xf numFmtId="0" fontId="37" fillId="0" borderId="0" xfId="0" applyFont="1" applyAlignment="1" applyProtection="1">
      <alignment vertical="center"/>
      <protection locked="0"/>
    </xf>
    <xf numFmtId="0" fontId="37" fillId="0" borderId="0" xfId="0" applyFont="1" applyAlignment="1">
      <alignment vertical="center" wrapText="1"/>
    </xf>
    <xf numFmtId="0" fontId="38" fillId="0" borderId="0" xfId="0" applyFont="1" applyAlignment="1" applyProtection="1">
      <alignment vertical="center" wrapText="1"/>
      <protection locked="0"/>
    </xf>
    <xf numFmtId="0" fontId="38" fillId="0" borderId="0" xfId="0" applyFont="1" applyAlignment="1">
      <alignment vertical="center" wrapText="1"/>
    </xf>
    <xf numFmtId="0" fontId="37" fillId="0" borderId="9" xfId="0" applyFont="1" applyBorder="1" applyAlignment="1">
      <alignment vertical="center"/>
    </xf>
    <xf numFmtId="0" fontId="37" fillId="0" borderId="11" xfId="103" applyFont="1" applyBorder="1" applyAlignment="1">
      <alignment vertical="center"/>
    </xf>
    <xf numFmtId="0" fontId="37" fillId="0" borderId="0" xfId="103" applyFont="1" applyAlignment="1">
      <alignment vertical="center"/>
    </xf>
    <xf numFmtId="0" fontId="37" fillId="0" borderId="11" xfId="0" applyFont="1" applyBorder="1" applyAlignment="1">
      <alignment vertical="center"/>
    </xf>
    <xf numFmtId="0" fontId="37" fillId="0" borderId="12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108" fillId="4" borderId="86" xfId="193" applyFont="1" applyFill="1" applyBorder="1" applyAlignment="1">
      <alignment horizontal="left"/>
    </xf>
    <xf numFmtId="0" fontId="108" fillId="4" borderId="87" xfId="193" applyFont="1" applyFill="1" applyBorder="1" applyAlignment="1">
      <alignment horizontal="left"/>
    </xf>
    <xf numFmtId="0" fontId="108" fillId="4" borderId="88" xfId="193" applyFont="1" applyFill="1" applyBorder="1" applyAlignment="1">
      <alignment horizontal="left"/>
    </xf>
    <xf numFmtId="0" fontId="108" fillId="4" borderId="103" xfId="193" applyFont="1" applyFill="1" applyBorder="1" applyAlignment="1">
      <alignment horizontal="left"/>
    </xf>
    <xf numFmtId="0" fontId="108" fillId="4" borderId="104" xfId="193" applyFont="1" applyFill="1" applyBorder="1" applyAlignment="1">
      <alignment horizontal="left"/>
    </xf>
    <xf numFmtId="0" fontId="108" fillId="4" borderId="105" xfId="193" applyFont="1" applyFill="1" applyBorder="1" applyAlignment="1">
      <alignment horizontal="left"/>
    </xf>
    <xf numFmtId="0" fontId="108" fillId="4" borderId="0" xfId="193" applyFont="1" applyFill="1" applyAlignment="1">
      <alignment horizontal="left"/>
    </xf>
    <xf numFmtId="0" fontId="14" fillId="3" borderId="78" xfId="193" applyFont="1" applyFill="1" applyBorder="1" applyAlignment="1">
      <alignment horizontal="left"/>
    </xf>
    <xf numFmtId="0" fontId="14" fillId="3" borderId="79" xfId="193" applyFont="1" applyFill="1" applyBorder="1" applyAlignment="1">
      <alignment horizontal="left"/>
    </xf>
    <xf numFmtId="0" fontId="14" fillId="3" borderId="80" xfId="193" applyFont="1" applyFill="1" applyBorder="1" applyAlignment="1">
      <alignment horizontal="left"/>
    </xf>
    <xf numFmtId="0" fontId="108" fillId="4" borderId="78" xfId="193" applyFont="1" applyFill="1" applyBorder="1"/>
    <xf numFmtId="0" fontId="108" fillId="4" borderId="79" xfId="193" applyFont="1" applyFill="1" applyBorder="1"/>
    <xf numFmtId="0" fontId="108" fillId="4" borderId="80" xfId="193" applyFont="1" applyFill="1" applyBorder="1" applyAlignment="1">
      <alignment horizontal="center"/>
    </xf>
    <xf numFmtId="0" fontId="108" fillId="4" borderId="86" xfId="193" applyFont="1" applyFill="1" applyBorder="1"/>
    <xf numFmtId="0" fontId="108" fillId="4" borderId="87" xfId="193" applyFont="1" applyFill="1" applyBorder="1"/>
    <xf numFmtId="0" fontId="108" fillId="4" borderId="88" xfId="193" applyFont="1" applyFill="1" applyBorder="1" applyAlignment="1">
      <alignment horizontal="center"/>
    </xf>
    <xf numFmtId="0" fontId="109" fillId="4" borderId="88" xfId="193" applyFont="1" applyFill="1" applyBorder="1" applyAlignment="1">
      <alignment horizontal="center"/>
    </xf>
    <xf numFmtId="0" fontId="108" fillId="4" borderId="103" xfId="193" applyFont="1" applyFill="1" applyBorder="1"/>
    <xf numFmtId="0" fontId="108" fillId="4" borderId="104" xfId="193" applyFont="1" applyFill="1" applyBorder="1"/>
    <xf numFmtId="0" fontId="15" fillId="2" borderId="78" xfId="193" applyFont="1" applyFill="1" applyBorder="1" applyAlignment="1">
      <alignment horizontal="left"/>
    </xf>
    <xf numFmtId="0" fontId="15" fillId="2" borderId="79" xfId="193" applyFont="1" applyFill="1" applyBorder="1" applyAlignment="1">
      <alignment horizontal="left"/>
    </xf>
    <xf numFmtId="0" fontId="15" fillId="2" borderId="80" xfId="193" applyFont="1" applyFill="1" applyBorder="1" applyAlignment="1">
      <alignment horizontal="left"/>
    </xf>
    <xf numFmtId="0" fontId="108" fillId="4" borderId="95" xfId="193" applyFont="1" applyFill="1" applyBorder="1"/>
    <xf numFmtId="0" fontId="109" fillId="4" borderId="96" xfId="193" applyFont="1" applyFill="1" applyBorder="1"/>
    <xf numFmtId="0" fontId="108" fillId="4" borderId="96" xfId="193" applyFont="1" applyFill="1" applyBorder="1"/>
    <xf numFmtId="0" fontId="108" fillId="4" borderId="97" xfId="193" applyFont="1" applyFill="1" applyBorder="1" applyAlignment="1">
      <alignment horizontal="center"/>
    </xf>
    <xf numFmtId="0" fontId="38" fillId="4" borderId="79" xfId="193" applyFont="1" applyFill="1" applyBorder="1"/>
    <xf numFmtId="0" fontId="38" fillId="4" borderId="78" xfId="193" applyFont="1" applyFill="1" applyBorder="1"/>
    <xf numFmtId="0" fontId="37" fillId="4" borderId="79" xfId="193" applyFont="1" applyFill="1" applyBorder="1"/>
    <xf numFmtId="0" fontId="38" fillId="4" borderId="80" xfId="193" applyFont="1" applyFill="1" applyBorder="1" applyAlignment="1">
      <alignment horizontal="center"/>
    </xf>
    <xf numFmtId="0" fontId="37" fillId="4" borderId="15" xfId="193" applyFont="1" applyFill="1" applyBorder="1"/>
    <xf numFmtId="0" fontId="37" fillId="4" borderId="78" xfId="193" applyFont="1" applyFill="1" applyBorder="1"/>
    <xf numFmtId="0" fontId="37" fillId="4" borderId="95" xfId="193" applyFont="1" applyFill="1" applyBorder="1"/>
    <xf numFmtId="0" fontId="37" fillId="4" borderId="96" xfId="193" applyFont="1" applyFill="1" applyBorder="1"/>
    <xf numFmtId="0" fontId="37" fillId="4" borderId="96" xfId="193" applyFont="1" applyFill="1" applyBorder="1" applyAlignment="1">
      <alignment horizontal="center"/>
    </xf>
    <xf numFmtId="0" fontId="0" fillId="0" borderId="0" xfId="193" applyFont="1"/>
    <xf numFmtId="0" fontId="0" fillId="0" borderId="0" xfId="78" applyFont="1" applyAlignment="1">
      <alignment vertical="center"/>
    </xf>
    <xf numFmtId="0" fontId="15" fillId="4" borderId="12" xfId="82" applyFont="1" applyFill="1" applyBorder="1" applyAlignment="1" applyProtection="1">
      <alignment horizontal="left" vertical="top" wrapText="1"/>
      <protection locked="0"/>
    </xf>
    <xf numFmtId="0" fontId="15" fillId="4" borderId="5" xfId="82" applyFont="1" applyFill="1" applyBorder="1" applyAlignment="1" applyProtection="1">
      <alignment horizontal="left" vertical="top" wrapText="1"/>
      <protection locked="0"/>
    </xf>
    <xf numFmtId="0" fontId="15" fillId="4" borderId="13" xfId="82" applyFont="1" applyFill="1" applyBorder="1" applyAlignment="1" applyProtection="1">
      <alignment horizontal="left" vertical="top" wrapText="1"/>
      <protection locked="0"/>
    </xf>
    <xf numFmtId="0" fontId="111" fillId="4" borderId="11" xfId="195" applyFont="1" applyFill="1" applyBorder="1" applyAlignment="1">
      <alignment horizontal="center" vertical="center" wrapText="1"/>
    </xf>
    <xf numFmtId="0" fontId="111" fillId="4" borderId="0" xfId="195" applyFont="1" applyFill="1" applyAlignment="1">
      <alignment horizontal="center" vertical="center" wrapText="1"/>
    </xf>
    <xf numFmtId="173" fontId="54" fillId="0" borderId="16" xfId="0" applyNumberFormat="1" applyFont="1" applyBorder="1" applyAlignment="1">
      <alignment horizontal="center" vertical="center"/>
    </xf>
    <xf numFmtId="170" fontId="93" fillId="0" borderId="0" xfId="0" applyNumberFormat="1" applyFont="1" applyAlignment="1">
      <alignment horizontal="center" vertical="center" wrapText="1"/>
    </xf>
    <xf numFmtId="170" fontId="26" fillId="0" borderId="0" xfId="0" applyNumberFormat="1" applyFont="1" applyProtection="1">
      <protection locked="0"/>
    </xf>
    <xf numFmtId="0" fontId="26" fillId="0" borderId="128" xfId="0" quotePrefix="1" applyFont="1" applyBorder="1" applyAlignment="1" applyProtection="1">
      <alignment horizontal="center" vertical="center" wrapText="1"/>
      <protection locked="0"/>
    </xf>
    <xf numFmtId="0" fontId="26" fillId="0" borderId="151" xfId="0" quotePrefix="1" applyFont="1" applyBorder="1" applyAlignment="1" applyProtection="1">
      <alignment horizontal="center" vertical="center" wrapText="1"/>
      <protection locked="0"/>
    </xf>
    <xf numFmtId="170" fontId="87" fillId="19" borderId="16" xfId="0" quotePrefix="1" applyNumberFormat="1" applyFont="1" applyFill="1" applyBorder="1" applyAlignment="1">
      <alignment horizontal="center" vertical="center" wrapText="1"/>
    </xf>
    <xf numFmtId="170" fontId="89" fillId="0" borderId="129" xfId="0" quotePrefix="1" applyNumberFormat="1" applyFont="1" applyBorder="1" applyAlignment="1">
      <alignment horizontal="center" vertical="center"/>
    </xf>
    <xf numFmtId="170" fontId="55" fillId="4" borderId="5" xfId="0" applyNumberFormat="1" applyFont="1" applyFill="1" applyBorder="1" applyAlignment="1">
      <alignment horizontal="center" vertical="center"/>
    </xf>
    <xf numFmtId="170" fontId="53" fillId="0" borderId="10" xfId="0" applyNumberFormat="1" applyFont="1" applyBorder="1" applyAlignment="1">
      <alignment horizontal="center" vertical="center"/>
    </xf>
    <xf numFmtId="0" fontId="62" fillId="0" borderId="17" xfId="75" applyNumberFormat="1" applyFont="1" applyBorder="1" applyAlignment="1">
      <alignment horizontal="center" vertical="center" wrapText="1"/>
    </xf>
    <xf numFmtId="1" fontId="24" fillId="0" borderId="2" xfId="193" applyNumberFormat="1" applyFont="1" applyBorder="1" applyAlignment="1" applyProtection="1">
      <alignment horizontal="center" vertical="center"/>
      <protection locked="0"/>
    </xf>
    <xf numFmtId="0" fontId="109" fillId="4" borderId="97" xfId="193" applyFont="1" applyFill="1" applyBorder="1" applyAlignment="1">
      <alignment horizontal="center"/>
    </xf>
    <xf numFmtId="0" fontId="12" fillId="0" borderId="0" xfId="193" applyAlignment="1">
      <alignment horizontal="center"/>
    </xf>
    <xf numFmtId="0" fontId="38" fillId="4" borderId="95" xfId="193" applyFont="1" applyFill="1" applyBorder="1"/>
    <xf numFmtId="0" fontId="38" fillId="4" borderId="96" xfId="193" applyFont="1" applyFill="1" applyBorder="1"/>
    <xf numFmtId="0" fontId="38" fillId="4" borderId="97" xfId="193" applyFont="1" applyFill="1" applyBorder="1" applyAlignment="1">
      <alignment horizontal="center"/>
    </xf>
    <xf numFmtId="0" fontId="109" fillId="4" borderId="104" xfId="193" applyFont="1" applyFill="1" applyBorder="1"/>
    <xf numFmtId="0" fontId="108" fillId="4" borderId="105" xfId="193" applyFont="1" applyFill="1" applyBorder="1" applyAlignment="1">
      <alignment horizontal="center"/>
    </xf>
    <xf numFmtId="170" fontId="53" fillId="0" borderId="0" xfId="0" applyNumberFormat="1" applyFont="1" applyAlignment="1">
      <alignment horizontal="center" vertical="center" wrapText="1"/>
    </xf>
    <xf numFmtId="170" fontId="53" fillId="0" borderId="10" xfId="0" applyNumberFormat="1" applyFont="1" applyBorder="1" applyAlignment="1">
      <alignment horizontal="center" vertical="center" wrapText="1"/>
    </xf>
    <xf numFmtId="0" fontId="12" fillId="0" borderId="2" xfId="193" applyBorder="1" applyAlignment="1">
      <alignment horizontal="center"/>
    </xf>
    <xf numFmtId="1" fontId="24" fillId="0" borderId="0" xfId="193" applyNumberFormat="1" applyFont="1" applyAlignment="1" applyProtection="1">
      <alignment horizontal="center" vertical="center"/>
      <protection locked="0"/>
    </xf>
    <xf numFmtId="1" fontId="24" fillId="0" borderId="6" xfId="193" applyNumberFormat="1" applyFont="1" applyBorder="1" applyAlignment="1" applyProtection="1">
      <alignment horizontal="center" vertical="center"/>
      <protection locked="0"/>
    </xf>
    <xf numFmtId="1" fontId="24" fillId="0" borderId="8" xfId="193" applyNumberFormat="1" applyFont="1" applyBorder="1" applyAlignment="1" applyProtection="1">
      <alignment horizontal="center" vertical="center"/>
      <protection locked="0"/>
    </xf>
    <xf numFmtId="0" fontId="28" fillId="4" borderId="2" xfId="132" quotePrefix="1" applyFont="1" applyFill="1" applyBorder="1" applyAlignment="1">
      <alignment horizontal="center" vertical="center" wrapText="1"/>
    </xf>
    <xf numFmtId="0" fontId="26" fillId="0" borderId="9" xfId="0" applyFont="1" applyBorder="1"/>
    <xf numFmtId="0" fontId="26" fillId="0" borderId="10" xfId="0" applyFont="1" applyBorder="1"/>
    <xf numFmtId="0" fontId="85" fillId="0" borderId="14" xfId="149" applyFont="1" applyBorder="1" applyAlignment="1" applyProtection="1">
      <alignment vertical="top" wrapText="1"/>
      <protection locked="0"/>
    </xf>
    <xf numFmtId="0" fontId="85" fillId="0" borderId="9" xfId="149" applyFont="1" applyBorder="1" applyAlignment="1">
      <alignment vertical="top" wrapText="1"/>
    </xf>
    <xf numFmtId="0" fontId="26" fillId="0" borderId="9" xfId="0" applyFont="1" applyBorder="1" applyProtection="1">
      <protection locked="0"/>
    </xf>
    <xf numFmtId="0" fontId="26" fillId="0" borderId="12" xfId="0" applyFont="1" applyBorder="1" applyProtection="1">
      <protection locked="0"/>
    </xf>
    <xf numFmtId="0" fontId="85" fillId="0" borderId="12" xfId="149" applyFont="1" applyBorder="1" applyAlignment="1" applyProtection="1">
      <alignment vertical="top" wrapText="1"/>
      <protection locked="0"/>
    </xf>
    <xf numFmtId="0" fontId="85" fillId="0" borderId="5" xfId="149" applyFont="1" applyBorder="1" applyAlignment="1" applyProtection="1">
      <alignment vertical="top" wrapText="1"/>
      <protection locked="0"/>
    </xf>
    <xf numFmtId="0" fontId="85" fillId="0" borderId="13" xfId="149" applyFont="1" applyBorder="1" applyAlignment="1" applyProtection="1">
      <alignment vertical="top" wrapText="1"/>
      <protection locked="0"/>
    </xf>
    <xf numFmtId="0" fontId="38" fillId="0" borderId="0" xfId="0" applyFont="1" applyAlignment="1">
      <alignment vertical="center"/>
    </xf>
    <xf numFmtId="0" fontId="38" fillId="0" borderId="10" xfId="0" applyFont="1" applyBorder="1" applyAlignment="1">
      <alignment vertical="center"/>
    </xf>
    <xf numFmtId="0" fontId="13" fillId="0" borderId="0" xfId="0" applyFont="1" applyAlignment="1">
      <alignment horizontal="center" vertical="center" wrapText="1"/>
    </xf>
    <xf numFmtId="0" fontId="84" fillId="4" borderId="0" xfId="0" applyFont="1" applyFill="1" applyAlignment="1">
      <alignment horizontal="center" vertical="center" wrapText="1"/>
    </xf>
    <xf numFmtId="0" fontId="85" fillId="0" borderId="0" xfId="149" applyFont="1" applyAlignment="1" applyProtection="1">
      <alignment vertical="top" wrapText="1"/>
      <protection locked="0"/>
    </xf>
    <xf numFmtId="0" fontId="85" fillId="0" borderId="11" xfId="149" applyFont="1" applyBorder="1" applyAlignment="1" applyProtection="1">
      <alignment vertical="top" wrapText="1"/>
      <protection locked="0"/>
    </xf>
    <xf numFmtId="0" fontId="85" fillId="0" borderId="15" xfId="149" applyFont="1" applyBorder="1" applyAlignment="1" applyProtection="1">
      <alignment vertical="top" wrapText="1"/>
      <protection locked="0"/>
    </xf>
    <xf numFmtId="0" fontId="85" fillId="0" borderId="11" xfId="149" applyFont="1" applyBorder="1" applyAlignment="1">
      <alignment vertical="top" wrapText="1"/>
    </xf>
    <xf numFmtId="0" fontId="113" fillId="0" borderId="9" xfId="0" applyFont="1" applyBorder="1" applyProtection="1">
      <protection locked="0"/>
    </xf>
    <xf numFmtId="0" fontId="37" fillId="4" borderId="10" xfId="198" applyFont="1" applyFill="1" applyBorder="1" applyAlignment="1">
      <alignment horizontal="center" vertical="center" wrapText="1"/>
    </xf>
    <xf numFmtId="0" fontId="38" fillId="14" borderId="10" xfId="0" applyFont="1" applyFill="1" applyBorder="1" applyAlignment="1">
      <alignment vertical="center"/>
    </xf>
    <xf numFmtId="0" fontId="38" fillId="14" borderId="14" xfId="0" applyFont="1" applyFill="1" applyBorder="1" applyAlignment="1">
      <alignment vertical="center"/>
    </xf>
    <xf numFmtId="0" fontId="113" fillId="0" borderId="11" xfId="0" applyFont="1" applyBorder="1" applyProtection="1">
      <protection locked="0"/>
    </xf>
    <xf numFmtId="170" fontId="84" fillId="0" borderId="0" xfId="0" applyNumberFormat="1" applyFont="1" applyAlignment="1">
      <alignment horizontal="center" vertical="center" wrapText="1"/>
    </xf>
    <xf numFmtId="0" fontId="84" fillId="14" borderId="0" xfId="0" applyFont="1" applyFill="1" applyAlignment="1">
      <alignment vertical="center"/>
    </xf>
    <xf numFmtId="0" fontId="84" fillId="14" borderId="15" xfId="0" applyFont="1" applyFill="1" applyBorder="1" applyAlignment="1">
      <alignment vertical="center"/>
    </xf>
    <xf numFmtId="173" fontId="84" fillId="4" borderId="0" xfId="0" applyNumberFormat="1" applyFont="1" applyFill="1" applyAlignment="1">
      <alignment horizontal="center" vertical="center" wrapText="1"/>
    </xf>
    <xf numFmtId="2" fontId="84" fillId="0" borderId="0" xfId="0" applyNumberFormat="1" applyFont="1" applyAlignment="1">
      <alignment horizontal="center" vertical="center" wrapText="1"/>
    </xf>
    <xf numFmtId="170" fontId="84" fillId="0" borderId="0" xfId="0" applyNumberFormat="1" applyFont="1" applyAlignment="1" applyProtection="1">
      <alignment horizontal="center" vertical="center" wrapText="1"/>
      <protection locked="0"/>
    </xf>
    <xf numFmtId="173" fontId="84" fillId="0" borderId="0" xfId="0" applyNumberFormat="1" applyFont="1" applyAlignment="1">
      <alignment horizontal="center" vertical="center" wrapText="1"/>
    </xf>
    <xf numFmtId="0" fontId="114" fillId="0" borderId="0" xfId="0" applyFont="1"/>
    <xf numFmtId="0" fontId="114" fillId="0" borderId="15" xfId="0" applyFont="1" applyBorder="1"/>
    <xf numFmtId="170" fontId="84" fillId="20" borderId="0" xfId="0" applyNumberFormat="1" applyFont="1" applyFill="1" applyAlignment="1">
      <alignment horizontal="center" vertical="center" wrapText="1"/>
    </xf>
    <xf numFmtId="1" fontId="84" fillId="20" borderId="0" xfId="0" applyNumberFormat="1" applyFont="1" applyFill="1" applyAlignment="1">
      <alignment horizontal="center" vertical="center" wrapText="1"/>
    </xf>
    <xf numFmtId="1" fontId="84" fillId="0" borderId="0" xfId="0" applyNumberFormat="1" applyFont="1" applyAlignment="1">
      <alignment horizontal="center" vertical="center" wrapText="1"/>
    </xf>
    <xf numFmtId="0" fontId="113" fillId="0" borderId="12" xfId="0" applyFont="1" applyBorder="1" applyProtection="1">
      <protection locked="0"/>
    </xf>
    <xf numFmtId="0" fontId="38" fillId="0" borderId="0" xfId="0" applyFont="1" applyAlignment="1">
      <alignment horizontal="center" vertical="center"/>
    </xf>
    <xf numFmtId="170" fontId="108" fillId="4" borderId="0" xfId="0" applyNumberFormat="1" applyFont="1" applyFill="1" applyAlignment="1">
      <alignment horizontal="center" vertical="center"/>
    </xf>
    <xf numFmtId="0" fontId="108" fillId="0" borderId="0" xfId="0" applyFont="1" applyAlignment="1">
      <alignment vertical="center"/>
    </xf>
    <xf numFmtId="4" fontId="116" fillId="4" borderId="0" xfId="0" applyNumberFormat="1" applyFont="1" applyFill="1" applyAlignment="1">
      <alignment horizontal="center" vertical="center"/>
    </xf>
    <xf numFmtId="170" fontId="108" fillId="0" borderId="0" xfId="0" applyNumberFormat="1" applyFont="1" applyAlignment="1">
      <alignment horizontal="center" vertical="center"/>
    </xf>
    <xf numFmtId="0" fontId="116" fillId="4" borderId="0" xfId="0" applyFont="1" applyFill="1" applyAlignment="1">
      <alignment horizontal="center" vertical="center"/>
    </xf>
    <xf numFmtId="170" fontId="108" fillId="4" borderId="0" xfId="0" applyNumberFormat="1" applyFont="1" applyFill="1" applyAlignment="1">
      <alignment horizontal="center" vertical="center" wrapText="1"/>
    </xf>
    <xf numFmtId="12" fontId="116" fillId="4" borderId="0" xfId="0" applyNumberFormat="1" applyFont="1" applyFill="1" applyAlignment="1">
      <alignment vertical="center"/>
    </xf>
    <xf numFmtId="0" fontId="38" fillId="0" borderId="14" xfId="0" applyFont="1" applyBorder="1" applyAlignment="1">
      <alignment vertical="center"/>
    </xf>
    <xf numFmtId="0" fontId="38" fillId="0" borderId="15" xfId="0" applyFont="1" applyBorder="1" applyAlignment="1">
      <alignment vertical="center"/>
    </xf>
    <xf numFmtId="190" fontId="38" fillId="0" borderId="15" xfId="0" applyNumberFormat="1" applyFont="1" applyBorder="1" applyAlignment="1">
      <alignment vertical="center"/>
    </xf>
    <xf numFmtId="0" fontId="38" fillId="0" borderId="5" xfId="0" applyFont="1" applyBorder="1" applyAlignment="1">
      <alignment vertical="center"/>
    </xf>
    <xf numFmtId="190" fontId="38" fillId="0" borderId="5" xfId="0" applyNumberFormat="1" applyFont="1" applyBorder="1" applyAlignment="1">
      <alignment vertical="center"/>
    </xf>
    <xf numFmtId="190" fontId="38" fillId="0" borderId="13" xfId="0" applyNumberFormat="1" applyFont="1" applyBorder="1" applyAlignment="1">
      <alignment vertical="center"/>
    </xf>
    <xf numFmtId="0" fontId="107" fillId="0" borderId="0" xfId="149" applyFont="1" applyAlignment="1">
      <alignment horizontal="left" vertical="center" wrapText="1"/>
    </xf>
    <xf numFmtId="10" fontId="85" fillId="4" borderId="0" xfId="0" applyNumberFormat="1" applyFont="1" applyFill="1" applyAlignment="1">
      <alignment horizontal="center" vertical="center"/>
    </xf>
    <xf numFmtId="170" fontId="84" fillId="21" borderId="0" xfId="0" applyNumberFormat="1" applyFont="1" applyFill="1" applyAlignment="1">
      <alignment horizontal="center" vertical="center"/>
    </xf>
    <xf numFmtId="1" fontId="84" fillId="21" borderId="0" xfId="0" applyNumberFormat="1" applyFont="1" applyFill="1" applyAlignment="1">
      <alignment horizontal="center" vertical="center"/>
    </xf>
    <xf numFmtId="0" fontId="84" fillId="18" borderId="0" xfId="0" applyFont="1" applyFill="1" applyAlignment="1">
      <alignment horizontal="center" vertical="center"/>
    </xf>
    <xf numFmtId="1" fontId="84" fillId="18" borderId="0" xfId="0" applyNumberFormat="1" applyFont="1" applyFill="1" applyAlignment="1">
      <alignment horizontal="center" vertical="center"/>
    </xf>
    <xf numFmtId="170" fontId="84" fillId="18" borderId="0" xfId="0" applyNumberFormat="1" applyFont="1" applyFill="1" applyAlignment="1">
      <alignment horizontal="center" vertical="center"/>
    </xf>
    <xf numFmtId="173" fontId="38" fillId="4" borderId="0" xfId="0" applyNumberFormat="1" applyFont="1" applyFill="1" applyAlignment="1">
      <alignment horizontal="center" vertical="center"/>
    </xf>
    <xf numFmtId="0" fontId="112" fillId="3" borderId="0" xfId="0" applyFont="1" applyFill="1" applyAlignment="1">
      <alignment horizontal="center" vertical="center"/>
    </xf>
    <xf numFmtId="0" fontId="43" fillId="0" borderId="0" xfId="151" applyFont="1" applyAlignment="1">
      <alignment horizontal="center" vertical="center" wrapText="1"/>
    </xf>
    <xf numFmtId="0" fontId="12" fillId="0" borderId="0" xfId="89" applyProtection="1">
      <protection locked="0"/>
    </xf>
    <xf numFmtId="0" fontId="12" fillId="0" borderId="15" xfId="89" applyBorder="1" applyProtection="1">
      <protection locked="0"/>
    </xf>
    <xf numFmtId="0" fontId="117" fillId="0" borderId="5" xfId="89" applyFont="1" applyBorder="1" applyProtection="1">
      <protection locked="0"/>
    </xf>
    <xf numFmtId="0" fontId="117" fillId="0" borderId="13" xfId="89" applyFont="1" applyBorder="1" applyProtection="1">
      <protection locked="0"/>
    </xf>
    <xf numFmtId="0" fontId="15" fillId="4" borderId="0" xfId="201" applyFont="1" applyFill="1" applyAlignment="1">
      <alignment vertical="center"/>
    </xf>
    <xf numFmtId="0" fontId="116" fillId="4" borderId="5" xfId="0" applyFont="1" applyFill="1" applyBorder="1" applyAlignment="1">
      <alignment horizontal="left" vertical="center" wrapText="1"/>
    </xf>
    <xf numFmtId="0" fontId="38" fillId="0" borderId="5" xfId="0" applyFont="1" applyBorder="1" applyAlignment="1">
      <alignment horizontal="center" vertical="center"/>
    </xf>
    <xf numFmtId="170" fontId="108" fillId="4" borderId="5" xfId="0" applyNumberFormat="1" applyFont="1" applyFill="1" applyBorder="1" applyAlignment="1">
      <alignment horizontal="center" vertical="center" wrapText="1"/>
    </xf>
    <xf numFmtId="0" fontId="108" fillId="0" borderId="5" xfId="0" applyFont="1" applyBorder="1" applyAlignment="1">
      <alignment vertical="center"/>
    </xf>
    <xf numFmtId="0" fontId="116" fillId="4" borderId="5" xfId="0" applyFont="1" applyFill="1" applyBorder="1" applyAlignment="1">
      <alignment horizontal="center" vertical="center"/>
    </xf>
    <xf numFmtId="12" fontId="116" fillId="4" borderId="5" xfId="0" applyNumberFormat="1" applyFont="1" applyFill="1" applyBorder="1" applyAlignment="1">
      <alignment vertical="center"/>
    </xf>
    <xf numFmtId="0" fontId="26" fillId="0" borderId="12" xfId="0" applyFont="1" applyBorder="1"/>
    <xf numFmtId="0" fontId="26" fillId="0" borderId="5" xfId="0" applyFont="1" applyBorder="1"/>
    <xf numFmtId="0" fontId="61" fillId="4" borderId="0" xfId="0" applyFont="1" applyFill="1" applyAlignment="1">
      <alignment horizontal="left" vertical="center" wrapText="1"/>
    </xf>
    <xf numFmtId="0" fontId="46" fillId="0" borderId="0" xfId="0" applyFont="1" applyAlignment="1">
      <alignment vertical="center"/>
    </xf>
    <xf numFmtId="173" fontId="62" fillId="4" borderId="0" xfId="0" applyNumberFormat="1" applyFont="1" applyFill="1" applyAlignment="1">
      <alignment horizontal="center" vertical="center" wrapText="1"/>
    </xf>
    <xf numFmtId="0" fontId="61" fillId="4" borderId="0" xfId="0" applyFont="1" applyFill="1" applyAlignment="1">
      <alignment horizontal="center" vertical="center"/>
    </xf>
    <xf numFmtId="173" fontId="14" fillId="4" borderId="15" xfId="0" applyNumberFormat="1" applyFont="1" applyFill="1" applyBorder="1" applyAlignment="1">
      <alignment horizontal="center" vertical="center"/>
    </xf>
    <xf numFmtId="173" fontId="84" fillId="4" borderId="5" xfId="0" applyNumberFormat="1" applyFont="1" applyFill="1" applyBorder="1" applyAlignment="1">
      <alignment horizontal="center" vertical="center" wrapText="1"/>
    </xf>
    <xf numFmtId="173" fontId="38" fillId="4" borderId="5" xfId="0" applyNumberFormat="1" applyFont="1" applyFill="1" applyBorder="1" applyAlignment="1">
      <alignment horizontal="center" vertical="center"/>
    </xf>
    <xf numFmtId="173" fontId="38" fillId="4" borderId="13" xfId="0" applyNumberFormat="1" applyFont="1" applyFill="1" applyBorder="1" applyAlignment="1">
      <alignment horizontal="center" vertical="center"/>
    </xf>
    <xf numFmtId="0" fontId="38" fillId="0" borderId="5" xfId="0" applyFont="1" applyBorder="1" applyAlignment="1" applyProtection="1">
      <alignment horizontal="left" vertical="center" wrapText="1"/>
      <protection locked="0"/>
    </xf>
    <xf numFmtId="0" fontId="38" fillId="0" borderId="13" xfId="0" applyFont="1" applyBorder="1" applyAlignment="1" applyProtection="1">
      <alignment horizontal="left" vertical="center" wrapText="1"/>
      <protection locked="0"/>
    </xf>
    <xf numFmtId="0" fontId="26" fillId="0" borderId="9" xfId="0" applyFont="1" applyBorder="1" applyAlignment="1">
      <alignment horizontal="center"/>
    </xf>
    <xf numFmtId="0" fontId="26" fillId="0" borderId="10" xfId="0" applyFont="1" applyBorder="1" applyAlignment="1">
      <alignment horizontal="center"/>
    </xf>
    <xf numFmtId="0" fontId="26" fillId="0" borderId="14" xfId="0" applyFont="1" applyBorder="1" applyAlignment="1">
      <alignment horizontal="center"/>
    </xf>
    <xf numFmtId="0" fontId="26" fillId="0" borderId="11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15" xfId="0" applyFont="1" applyBorder="1" applyAlignment="1">
      <alignment horizontal="center"/>
    </xf>
    <xf numFmtId="0" fontId="26" fillId="0" borderId="12" xfId="0" applyFont="1" applyBorder="1" applyAlignment="1">
      <alignment horizontal="center"/>
    </xf>
    <xf numFmtId="0" fontId="26" fillId="0" borderId="5" xfId="0" applyFont="1" applyBorder="1" applyAlignment="1">
      <alignment horizontal="center"/>
    </xf>
    <xf numFmtId="0" fontId="26" fillId="0" borderId="13" xfId="0" applyFont="1" applyBorder="1" applyAlignment="1">
      <alignment horizontal="center"/>
    </xf>
    <xf numFmtId="0" fontId="56" fillId="0" borderId="7" xfId="149" applyFont="1" applyBorder="1" applyAlignment="1">
      <alignment horizontal="left" vertical="center" wrapText="1"/>
    </xf>
    <xf numFmtId="0" fontId="56" fillId="0" borderId="8" xfId="149" applyFont="1" applyBorder="1" applyAlignment="1">
      <alignment horizontal="left" vertical="center" wrapText="1"/>
    </xf>
    <xf numFmtId="0" fontId="56" fillId="0" borderId="6" xfId="149" applyFont="1" applyBorder="1" applyAlignment="1">
      <alignment horizontal="left" vertical="center" wrapText="1"/>
    </xf>
    <xf numFmtId="0" fontId="37" fillId="0" borderId="11" xfId="103" applyFont="1" applyBorder="1" applyAlignment="1">
      <alignment horizontal="left" vertical="center"/>
    </xf>
    <xf numFmtId="0" fontId="37" fillId="0" borderId="0" xfId="103" applyFont="1" applyAlignment="1">
      <alignment horizontal="left" vertical="center"/>
    </xf>
    <xf numFmtId="0" fontId="38" fillId="0" borderId="0" xfId="0" applyFont="1" applyAlignment="1" applyProtection="1">
      <alignment horizontal="left" vertical="center"/>
      <protection locked="0"/>
    </xf>
    <xf numFmtId="190" fontId="38" fillId="0" borderId="0" xfId="0" applyNumberFormat="1" applyFont="1" applyAlignment="1" applyProtection="1">
      <alignment horizontal="left" vertical="center"/>
      <protection locked="0"/>
    </xf>
    <xf numFmtId="190" fontId="38" fillId="0" borderId="15" xfId="0" applyNumberFormat="1" applyFont="1" applyBorder="1" applyAlignment="1" applyProtection="1">
      <alignment horizontal="left" vertical="center"/>
      <protection locked="0"/>
    </xf>
    <xf numFmtId="0" fontId="37" fillId="0" borderId="11" xfId="0" applyFont="1" applyBorder="1" applyAlignment="1">
      <alignment horizontal="left" vertical="center"/>
    </xf>
    <xf numFmtId="0" fontId="37" fillId="0" borderId="0" xfId="0" applyFont="1" applyAlignment="1">
      <alignment horizontal="left" vertical="center"/>
    </xf>
    <xf numFmtId="0" fontId="37" fillId="0" borderId="9" xfId="0" applyFont="1" applyBorder="1" applyAlignment="1">
      <alignment horizontal="left" vertical="center"/>
    </xf>
    <xf numFmtId="0" fontId="37" fillId="0" borderId="10" xfId="0" applyFont="1" applyBorder="1" applyAlignment="1">
      <alignment horizontal="left" vertical="center"/>
    </xf>
    <xf numFmtId="0" fontId="38" fillId="0" borderId="10" xfId="0" applyFont="1" applyBorder="1" applyAlignment="1">
      <alignment horizontal="left" vertical="center"/>
    </xf>
    <xf numFmtId="0" fontId="38" fillId="0" borderId="10" xfId="0" applyFont="1" applyBorder="1" applyAlignment="1" applyProtection="1">
      <alignment horizontal="left" vertical="center"/>
      <protection locked="0"/>
    </xf>
    <xf numFmtId="0" fontId="38" fillId="0" borderId="14" xfId="0" applyFont="1" applyBorder="1" applyAlignment="1" applyProtection="1">
      <alignment horizontal="left" vertical="center"/>
      <protection locked="0"/>
    </xf>
    <xf numFmtId="0" fontId="38" fillId="0" borderId="15" xfId="0" applyFont="1" applyBorder="1" applyAlignment="1" applyProtection="1">
      <alignment horizontal="left" vertical="center"/>
      <protection locked="0"/>
    </xf>
    <xf numFmtId="0" fontId="35" fillId="0" borderId="9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5" fillId="0" borderId="15" xfId="0" applyFont="1" applyBorder="1" applyAlignment="1">
      <alignment horizontal="center" vertical="center" wrapText="1"/>
    </xf>
    <xf numFmtId="0" fontId="35" fillId="0" borderId="12" xfId="0" applyFont="1" applyBorder="1" applyAlignment="1">
      <alignment horizontal="center" vertical="center" wrapText="1"/>
    </xf>
    <xf numFmtId="0" fontId="35" fillId="0" borderId="5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5" fillId="2" borderId="10" xfId="195" applyFont="1" applyFill="1" applyBorder="1" applyAlignment="1">
      <alignment horizontal="center" vertical="center" wrapText="1"/>
    </xf>
    <xf numFmtId="0" fontId="15" fillId="2" borderId="5" xfId="195" applyFont="1" applyFill="1" applyBorder="1" applyAlignment="1">
      <alignment horizontal="center" vertical="center" wrapText="1"/>
    </xf>
    <xf numFmtId="0" fontId="63" fillId="2" borderId="3" xfId="195" applyFont="1" applyFill="1" applyBorder="1" applyAlignment="1">
      <alignment horizontal="center" vertical="center" textRotation="90" wrapText="1"/>
    </xf>
    <xf numFmtId="0" fontId="63" fillId="2" borderId="4" xfId="195" applyFont="1" applyFill="1" applyBorder="1" applyAlignment="1">
      <alignment horizontal="center" vertical="center" textRotation="90" wrapText="1"/>
    </xf>
    <xf numFmtId="0" fontId="37" fillId="2" borderId="9" xfId="195" applyFont="1" applyFill="1" applyBorder="1" applyAlignment="1">
      <alignment horizontal="center" vertical="center" wrapText="1"/>
    </xf>
    <xf numFmtId="0" fontId="37" fillId="2" borderId="14" xfId="195" applyFont="1" applyFill="1" applyBorder="1" applyAlignment="1">
      <alignment horizontal="center" vertical="center" wrapText="1"/>
    </xf>
    <xf numFmtId="0" fontId="37" fillId="2" borderId="12" xfId="195" applyFont="1" applyFill="1" applyBorder="1" applyAlignment="1">
      <alignment horizontal="center" vertical="center" wrapText="1"/>
    </xf>
    <xf numFmtId="0" fontId="37" fillId="2" borderId="13" xfId="195" applyFont="1" applyFill="1" applyBorder="1" applyAlignment="1">
      <alignment horizontal="center" vertical="center" wrapText="1"/>
    </xf>
    <xf numFmtId="0" fontId="37" fillId="2" borderId="10" xfId="195" applyFont="1" applyFill="1" applyBorder="1" applyAlignment="1">
      <alignment horizontal="center" vertical="center" wrapText="1"/>
    </xf>
    <xf numFmtId="0" fontId="85" fillId="2" borderId="7" xfId="195" applyFont="1" applyFill="1" applyBorder="1" applyAlignment="1">
      <alignment horizontal="center" vertical="center" wrapText="1"/>
    </xf>
    <xf numFmtId="0" fontId="85" fillId="2" borderId="8" xfId="195" applyFont="1" applyFill="1" applyBorder="1" applyAlignment="1">
      <alignment horizontal="center" vertical="center" wrapText="1"/>
    </xf>
    <xf numFmtId="0" fontId="85" fillId="2" borderId="6" xfId="195" applyFont="1" applyFill="1" applyBorder="1" applyAlignment="1">
      <alignment horizontal="center" vertical="center" wrapText="1"/>
    </xf>
    <xf numFmtId="0" fontId="37" fillId="3" borderId="9" xfId="0" applyFont="1" applyFill="1" applyBorder="1" applyAlignment="1">
      <alignment horizontal="left" vertical="center"/>
    </xf>
    <xf numFmtId="0" fontId="37" fillId="3" borderId="10" xfId="0" applyFont="1" applyFill="1" applyBorder="1" applyAlignment="1">
      <alignment horizontal="left" vertical="center"/>
    </xf>
    <xf numFmtId="0" fontId="63" fillId="3" borderId="10" xfId="195" applyFont="1" applyFill="1" applyBorder="1" applyAlignment="1">
      <alignment horizontal="center" vertical="center" wrapText="1"/>
    </xf>
    <xf numFmtId="0" fontId="63" fillId="3" borderId="14" xfId="195" applyFont="1" applyFill="1" applyBorder="1" applyAlignment="1">
      <alignment horizontal="center" vertical="center" wrapText="1"/>
    </xf>
    <xf numFmtId="0" fontId="59" fillId="2" borderId="9" xfId="195" applyFont="1" applyFill="1" applyBorder="1" applyAlignment="1">
      <alignment horizontal="center" vertical="center" wrapText="1"/>
    </xf>
    <xf numFmtId="0" fontId="59" fillId="2" borderId="14" xfId="195" applyFont="1" applyFill="1" applyBorder="1" applyAlignment="1">
      <alignment horizontal="center" vertical="center" wrapText="1"/>
    </xf>
    <xf numFmtId="0" fontId="104" fillId="2" borderId="3" xfId="195" applyFont="1" applyFill="1" applyBorder="1" applyAlignment="1">
      <alignment horizontal="center" vertical="center" wrapText="1"/>
    </xf>
    <xf numFmtId="0" fontId="104" fillId="2" borderId="4" xfId="195" applyFont="1" applyFill="1" applyBorder="1" applyAlignment="1">
      <alignment horizontal="center" vertical="center" wrapText="1"/>
    </xf>
    <xf numFmtId="0" fontId="84" fillId="2" borderId="7" xfId="0" applyFont="1" applyFill="1" applyBorder="1" applyAlignment="1">
      <alignment horizontal="center" vertical="center"/>
    </xf>
    <xf numFmtId="0" fontId="84" fillId="2" borderId="8" xfId="0" applyFont="1" applyFill="1" applyBorder="1" applyAlignment="1">
      <alignment horizontal="center" vertical="center"/>
    </xf>
    <xf numFmtId="0" fontId="91" fillId="2" borderId="7" xfId="0" applyFont="1" applyFill="1" applyBorder="1" applyAlignment="1">
      <alignment horizontal="center" vertical="center"/>
    </xf>
    <xf numFmtId="0" fontId="91" fillId="2" borderId="8" xfId="0" applyFont="1" applyFill="1" applyBorder="1" applyAlignment="1">
      <alignment horizontal="center" vertical="center"/>
    </xf>
    <xf numFmtId="0" fontId="91" fillId="2" borderId="6" xfId="0" applyFont="1" applyFill="1" applyBorder="1" applyAlignment="1">
      <alignment horizontal="center" vertical="center"/>
    </xf>
    <xf numFmtId="0" fontId="85" fillId="0" borderId="7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6" xfId="0" applyFont="1" applyBorder="1" applyAlignment="1">
      <alignment horizontal="center" vertical="center"/>
    </xf>
    <xf numFmtId="0" fontId="35" fillId="2" borderId="7" xfId="0" applyFont="1" applyFill="1" applyBorder="1" applyAlignment="1" applyProtection="1">
      <alignment horizontal="left" vertical="center"/>
      <protection locked="0"/>
    </xf>
    <xf numFmtId="0" fontId="35" fillId="2" borderId="8" xfId="0" applyFont="1" applyFill="1" applyBorder="1" applyAlignment="1" applyProtection="1">
      <alignment horizontal="left" vertical="center"/>
      <protection locked="0"/>
    </xf>
    <xf numFmtId="0" fontId="35" fillId="2" borderId="8" xfId="0" applyFont="1" applyFill="1" applyBorder="1" applyAlignment="1">
      <alignment horizontal="center" vertical="center"/>
    </xf>
    <xf numFmtId="0" fontId="35" fillId="2" borderId="6" xfId="0" applyFont="1" applyFill="1" applyBorder="1" applyAlignment="1">
      <alignment horizontal="center" vertical="center"/>
    </xf>
    <xf numFmtId="0" fontId="56" fillId="4" borderId="65" xfId="195" applyFont="1" applyFill="1" applyBorder="1" applyAlignment="1">
      <alignment horizontal="center" vertical="center" wrapText="1"/>
    </xf>
    <xf numFmtId="0" fontId="56" fillId="4" borderId="66" xfId="195" applyFont="1" applyFill="1" applyBorder="1" applyAlignment="1">
      <alignment horizontal="center" vertical="center" wrapText="1"/>
    </xf>
    <xf numFmtId="0" fontId="14" fillId="4" borderId="42" xfId="0" applyFont="1" applyFill="1" applyBorder="1" applyAlignment="1">
      <alignment horizontal="left" vertical="center"/>
    </xf>
    <xf numFmtId="0" fontId="14" fillId="4" borderId="43" xfId="0" applyFont="1" applyFill="1" applyBorder="1" applyAlignment="1">
      <alignment horizontal="left" vertical="center"/>
    </xf>
    <xf numFmtId="0" fontId="46" fillId="4" borderId="43" xfId="195" applyFont="1" applyFill="1" applyBorder="1" applyAlignment="1">
      <alignment horizontal="center" vertical="center" wrapText="1"/>
    </xf>
    <xf numFmtId="0" fontId="46" fillId="4" borderId="44" xfId="195" applyFont="1" applyFill="1" applyBorder="1" applyAlignment="1">
      <alignment horizontal="center" vertical="center" wrapText="1"/>
    </xf>
    <xf numFmtId="170" fontId="46" fillId="4" borderId="42" xfId="0" applyNumberFormat="1" applyFont="1" applyFill="1" applyBorder="1" applyAlignment="1">
      <alignment horizontal="center" vertical="center"/>
    </xf>
    <xf numFmtId="170" fontId="46" fillId="4" borderId="43" xfId="0" applyNumberFormat="1" applyFont="1" applyFill="1" applyBorder="1" applyAlignment="1">
      <alignment horizontal="center" vertical="center"/>
    </xf>
    <xf numFmtId="170" fontId="46" fillId="4" borderId="44" xfId="0" applyNumberFormat="1" applyFont="1" applyFill="1" applyBorder="1" applyAlignment="1">
      <alignment horizontal="center" vertical="center"/>
    </xf>
    <xf numFmtId="0" fontId="37" fillId="3" borderId="11" xfId="0" applyFont="1" applyFill="1" applyBorder="1" applyAlignment="1">
      <alignment horizontal="left" vertical="center"/>
    </xf>
    <xf numFmtId="0" fontId="37" fillId="3" borderId="0" xfId="0" applyFont="1" applyFill="1" applyAlignment="1">
      <alignment horizontal="left" vertical="center"/>
    </xf>
    <xf numFmtId="170" fontId="14" fillId="3" borderId="0" xfId="0" applyNumberFormat="1" applyFont="1" applyFill="1" applyAlignment="1">
      <alignment horizontal="center" vertical="center"/>
    </xf>
    <xf numFmtId="170" fontId="14" fillId="3" borderId="15" xfId="0" applyNumberFormat="1" applyFont="1" applyFill="1" applyBorder="1" applyAlignment="1">
      <alignment horizontal="center" vertical="center"/>
    </xf>
    <xf numFmtId="0" fontId="46" fillId="4" borderId="126" xfId="0" applyFont="1" applyFill="1" applyBorder="1" applyAlignment="1">
      <alignment horizontal="center" vertical="center"/>
    </xf>
    <xf numFmtId="0" fontId="46" fillId="4" borderId="37" xfId="0" applyFont="1" applyFill="1" applyBorder="1" applyAlignment="1">
      <alignment horizontal="center" vertical="center"/>
    </xf>
    <xf numFmtId="0" fontId="46" fillId="4" borderId="38" xfId="0" applyFont="1" applyFill="1" applyBorder="1" applyAlignment="1">
      <alignment horizontal="center" vertical="center"/>
    </xf>
    <xf numFmtId="0" fontId="14" fillId="4" borderId="49" xfId="0" applyFont="1" applyFill="1" applyBorder="1" applyAlignment="1">
      <alignment horizontal="left" vertical="center"/>
    </xf>
    <xf numFmtId="0" fontId="14" fillId="4" borderId="37" xfId="0" applyFont="1" applyFill="1" applyBorder="1" applyAlignment="1">
      <alignment horizontal="left" vertical="center"/>
    </xf>
    <xf numFmtId="0" fontId="46" fillId="4" borderId="37" xfId="195" applyFont="1" applyFill="1" applyBorder="1" applyAlignment="1">
      <alignment horizontal="center" vertical="center" wrapText="1"/>
    </xf>
    <xf numFmtId="0" fontId="46" fillId="4" borderId="48" xfId="195" applyFont="1" applyFill="1" applyBorder="1" applyAlignment="1">
      <alignment horizontal="center" vertical="center" wrapText="1"/>
    </xf>
    <xf numFmtId="0" fontId="56" fillId="4" borderId="49" xfId="195" applyFont="1" applyFill="1" applyBorder="1" applyAlignment="1">
      <alignment horizontal="center" vertical="center" wrapText="1"/>
    </xf>
    <xf numFmtId="0" fontId="56" fillId="4" borderId="45" xfId="195" applyFont="1" applyFill="1" applyBorder="1" applyAlignment="1">
      <alignment horizontal="center" vertical="center" wrapText="1"/>
    </xf>
    <xf numFmtId="0" fontId="58" fillId="4" borderId="36" xfId="195" applyFont="1" applyFill="1" applyBorder="1" applyAlignment="1">
      <alignment horizontal="center" vertical="center" wrapText="1"/>
    </xf>
    <xf numFmtId="0" fontId="58" fillId="4" borderId="48" xfId="195" applyFont="1" applyFill="1" applyBorder="1" applyAlignment="1">
      <alignment horizontal="center" vertical="center" wrapText="1"/>
    </xf>
    <xf numFmtId="0" fontId="46" fillId="15" borderId="39" xfId="195" applyFont="1" applyFill="1" applyBorder="1" applyAlignment="1">
      <alignment horizontal="center" vertical="center" wrapText="1"/>
    </xf>
    <xf numFmtId="0" fontId="46" fillId="15" borderId="71" xfId="195" applyFont="1" applyFill="1" applyBorder="1" applyAlignment="1">
      <alignment horizontal="center" vertical="center" wrapText="1"/>
    </xf>
    <xf numFmtId="0" fontId="46" fillId="4" borderId="75" xfId="0" applyFont="1" applyFill="1" applyBorder="1" applyAlignment="1">
      <alignment horizontal="center" vertical="center"/>
    </xf>
    <xf numFmtId="0" fontId="46" fillId="4" borderId="29" xfId="0" applyFont="1" applyFill="1" applyBorder="1" applyAlignment="1">
      <alignment horizontal="center" vertical="center"/>
    </xf>
    <xf numFmtId="0" fontId="46" fillId="4" borderId="40" xfId="0" applyFont="1" applyFill="1" applyBorder="1" applyAlignment="1">
      <alignment horizontal="center" vertical="center"/>
    </xf>
    <xf numFmtId="0" fontId="58" fillId="15" borderId="39" xfId="195" applyFont="1" applyFill="1" applyBorder="1" applyAlignment="1">
      <alignment horizontal="center" vertical="center" wrapText="1"/>
    </xf>
    <xf numFmtId="0" fontId="58" fillId="15" borderId="30" xfId="195" applyFont="1" applyFill="1" applyBorder="1" applyAlignment="1">
      <alignment horizontal="center" vertical="center" wrapText="1"/>
    </xf>
    <xf numFmtId="0" fontId="62" fillId="4" borderId="65" xfId="0" applyFont="1" applyFill="1" applyBorder="1" applyAlignment="1">
      <alignment horizontal="left" vertical="center"/>
    </xf>
    <xf numFmtId="0" fontId="62" fillId="4" borderId="29" xfId="0" applyFont="1" applyFill="1" applyBorder="1" applyAlignment="1">
      <alignment horizontal="left" vertical="center"/>
    </xf>
    <xf numFmtId="0" fontId="46" fillId="4" borderId="29" xfId="195" applyFont="1" applyFill="1" applyBorder="1" applyAlignment="1">
      <alignment horizontal="center" vertical="center" wrapText="1"/>
    </xf>
    <xf numFmtId="0" fontId="46" fillId="4" borderId="39" xfId="195" applyFont="1" applyFill="1" applyBorder="1" applyAlignment="1">
      <alignment horizontal="center" vertical="center" wrapText="1"/>
    </xf>
    <xf numFmtId="0" fontId="46" fillId="4" borderId="71" xfId="195" applyFont="1" applyFill="1" applyBorder="1" applyAlignment="1">
      <alignment horizontal="center" vertical="center" wrapText="1"/>
    </xf>
    <xf numFmtId="0" fontId="14" fillId="4" borderId="37" xfId="195" applyFont="1" applyFill="1" applyBorder="1" applyAlignment="1">
      <alignment horizontal="right" vertical="center" wrapText="1"/>
    </xf>
    <xf numFmtId="0" fontId="46" fillId="4" borderId="38" xfId="195" applyFont="1" applyFill="1" applyBorder="1" applyAlignment="1">
      <alignment horizontal="center" vertical="center" wrapText="1"/>
    </xf>
    <xf numFmtId="0" fontId="58" fillId="4" borderId="72" xfId="195" applyFont="1" applyFill="1" applyBorder="1" applyAlignment="1">
      <alignment horizontal="center" vertical="center" wrapText="1"/>
    </xf>
    <xf numFmtId="0" fontId="46" fillId="4" borderId="36" xfId="195" applyFont="1" applyFill="1" applyBorder="1" applyAlignment="1">
      <alignment horizontal="center" vertical="center" wrapText="1"/>
    </xf>
    <xf numFmtId="0" fontId="37" fillId="3" borderId="9" xfId="150" applyFont="1" applyFill="1" applyBorder="1" applyAlignment="1">
      <alignment horizontal="center" vertical="center"/>
    </xf>
    <xf numFmtId="0" fontId="37" fillId="3" borderId="10" xfId="150" applyFont="1" applyFill="1" applyBorder="1" applyAlignment="1">
      <alignment horizontal="center" vertical="center"/>
    </xf>
    <xf numFmtId="0" fontId="37" fillId="3" borderId="14" xfId="150" applyFont="1" applyFill="1" applyBorder="1" applyAlignment="1">
      <alignment horizontal="center" vertical="center"/>
    </xf>
    <xf numFmtId="0" fontId="62" fillId="4" borderId="40" xfId="0" applyFont="1" applyFill="1" applyBorder="1" applyAlignment="1">
      <alignment horizontal="left" vertical="center"/>
    </xf>
    <xf numFmtId="10" fontId="62" fillId="4" borderId="65" xfId="0" applyNumberFormat="1" applyFont="1" applyFill="1" applyBorder="1" applyAlignment="1">
      <alignment horizontal="left" vertical="center"/>
    </xf>
    <xf numFmtId="10" fontId="62" fillId="4" borderId="29" xfId="0" applyNumberFormat="1" applyFont="1" applyFill="1" applyBorder="1" applyAlignment="1">
      <alignment horizontal="left" vertical="center"/>
    </xf>
    <xf numFmtId="10" fontId="64" fillId="4" borderId="65" xfId="0" applyNumberFormat="1" applyFont="1" applyFill="1" applyBorder="1" applyAlignment="1">
      <alignment horizontal="left" vertical="center"/>
    </xf>
    <xf numFmtId="10" fontId="64" fillId="4" borderId="29" xfId="0" applyNumberFormat="1" applyFont="1" applyFill="1" applyBorder="1" applyAlignment="1">
      <alignment horizontal="left" vertical="center"/>
    </xf>
    <xf numFmtId="0" fontId="27" fillId="0" borderId="9" xfId="0" applyFont="1" applyBorder="1" applyAlignment="1">
      <alignment horizontal="center" vertical="top"/>
    </xf>
    <xf numFmtId="0" fontId="27" fillId="0" borderId="10" xfId="0" applyFont="1" applyBorder="1" applyAlignment="1">
      <alignment horizontal="center" vertical="top"/>
    </xf>
    <xf numFmtId="0" fontId="58" fillId="15" borderId="71" xfId="195" applyFont="1" applyFill="1" applyBorder="1" applyAlignment="1">
      <alignment horizontal="center" vertical="center" wrapText="1"/>
    </xf>
    <xf numFmtId="0" fontId="14" fillId="4" borderId="12" xfId="0" applyFont="1" applyFill="1" applyBorder="1" applyAlignment="1">
      <alignment horizontal="left" vertical="center"/>
    </xf>
    <xf numFmtId="0" fontId="14" fillId="4" borderId="5" xfId="0" applyFont="1" applyFill="1" applyBorder="1" applyAlignment="1">
      <alignment horizontal="left" vertical="center"/>
    </xf>
    <xf numFmtId="0" fontId="46" fillId="4" borderId="5" xfId="195" applyFont="1" applyFill="1" applyBorder="1" applyAlignment="1">
      <alignment horizontal="center" vertical="center" wrapText="1"/>
    </xf>
    <xf numFmtId="0" fontId="58" fillId="15" borderId="67" xfId="195" applyFont="1" applyFill="1" applyBorder="1" applyAlignment="1">
      <alignment horizontal="center" vertical="center" wrapText="1"/>
    </xf>
    <xf numFmtId="0" fontId="58" fillId="15" borderId="68" xfId="195" applyFont="1" applyFill="1" applyBorder="1" applyAlignment="1">
      <alignment horizontal="center" vertical="center" wrapText="1"/>
    </xf>
    <xf numFmtId="0" fontId="58" fillId="15" borderId="69" xfId="195" applyFont="1" applyFill="1" applyBorder="1" applyAlignment="1">
      <alignment horizontal="center" vertical="center" wrapText="1"/>
    </xf>
    <xf numFmtId="0" fontId="58" fillId="15" borderId="70" xfId="195" applyFont="1" applyFill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top" wrapText="1"/>
    </xf>
    <xf numFmtId="0" fontId="27" fillId="0" borderId="14" xfId="0" applyFont="1" applyBorder="1" applyAlignment="1">
      <alignment horizontal="center" vertical="top" wrapText="1"/>
    </xf>
    <xf numFmtId="0" fontId="27" fillId="0" borderId="5" xfId="0" applyFont="1" applyBorder="1" applyAlignment="1" applyProtection="1">
      <alignment horizontal="center" vertical="top" wrapText="1"/>
      <protection locked="0"/>
    </xf>
    <xf numFmtId="0" fontId="27" fillId="0" borderId="13" xfId="0" applyFont="1" applyBorder="1" applyAlignment="1" applyProtection="1">
      <alignment horizontal="center" vertical="top" wrapText="1"/>
      <protection locked="0"/>
    </xf>
    <xf numFmtId="0" fontId="28" fillId="4" borderId="11" xfId="0" applyFont="1" applyFill="1" applyBorder="1" applyAlignment="1">
      <alignment horizontal="center" vertical="center" wrapText="1"/>
    </xf>
    <xf numFmtId="0" fontId="28" fillId="4" borderId="0" xfId="0" applyFont="1" applyFill="1" applyAlignment="1">
      <alignment horizontal="center" vertical="center" wrapText="1"/>
    </xf>
    <xf numFmtId="0" fontId="43" fillId="0" borderId="115" xfId="149" applyFont="1" applyBorder="1" applyAlignment="1">
      <alignment horizontal="center" wrapText="1"/>
    </xf>
    <xf numFmtId="0" fontId="38" fillId="0" borderId="11" xfId="150" applyFont="1" applyBorder="1" applyAlignment="1" applyProtection="1">
      <alignment horizontal="center"/>
      <protection locked="0"/>
    </xf>
    <xf numFmtId="0" fontId="38" fillId="0" borderId="0" xfId="150" applyFont="1" applyAlignment="1" applyProtection="1">
      <alignment horizontal="center"/>
      <protection locked="0"/>
    </xf>
    <xf numFmtId="0" fontId="38" fillId="0" borderId="15" xfId="150" applyFont="1" applyBorder="1" applyAlignment="1" applyProtection="1">
      <alignment horizontal="center"/>
      <protection locked="0"/>
    </xf>
    <xf numFmtId="0" fontId="38" fillId="0" borderId="11" xfId="150" quotePrefix="1" applyFont="1" applyBorder="1" applyAlignment="1" applyProtection="1">
      <alignment horizontal="center"/>
      <protection locked="0"/>
    </xf>
    <xf numFmtId="0" fontId="38" fillId="0" borderId="0" xfId="150" quotePrefix="1" applyFont="1" applyAlignment="1" applyProtection="1">
      <alignment horizontal="center"/>
      <protection locked="0"/>
    </xf>
    <xf numFmtId="0" fontId="38" fillId="0" borderId="15" xfId="150" quotePrefix="1" applyFont="1" applyBorder="1" applyAlignment="1" applyProtection="1">
      <alignment horizontal="center"/>
      <protection locked="0"/>
    </xf>
    <xf numFmtId="0" fontId="38" fillId="0" borderId="12" xfId="150" applyFont="1" applyBorder="1" applyAlignment="1">
      <alignment horizontal="center"/>
    </xf>
    <xf numFmtId="0" fontId="38" fillId="0" borderId="5" xfId="150" applyFont="1" applyBorder="1" applyAlignment="1">
      <alignment horizontal="center"/>
    </xf>
    <xf numFmtId="0" fontId="38" fillId="0" borderId="13" xfId="150" applyFont="1" applyBorder="1" applyAlignment="1">
      <alignment horizontal="center"/>
    </xf>
    <xf numFmtId="0" fontId="93" fillId="0" borderId="7" xfId="0" applyFont="1" applyBorder="1" applyAlignment="1">
      <alignment horizontal="center"/>
    </xf>
    <xf numFmtId="0" fontId="93" fillId="0" borderId="8" xfId="0" applyFont="1" applyBorder="1" applyAlignment="1">
      <alignment horizontal="center"/>
    </xf>
    <xf numFmtId="0" fontId="93" fillId="0" borderId="6" xfId="0" applyFont="1" applyBorder="1" applyAlignment="1">
      <alignment horizontal="center"/>
    </xf>
    <xf numFmtId="0" fontId="43" fillId="0" borderId="0" xfId="151" applyFont="1" applyAlignment="1">
      <alignment horizontal="center" vertical="top" wrapText="1"/>
    </xf>
    <xf numFmtId="0" fontId="29" fillId="0" borderId="12" xfId="0" applyFont="1" applyBorder="1" applyAlignment="1">
      <alignment horizontal="center" vertical="center"/>
    </xf>
    <xf numFmtId="0" fontId="29" fillId="0" borderId="31" xfId="0" applyFont="1" applyBorder="1" applyAlignment="1">
      <alignment horizontal="center" vertical="center"/>
    </xf>
    <xf numFmtId="170" fontId="52" fillId="0" borderId="32" xfId="0" applyNumberFormat="1" applyFont="1" applyBorder="1" applyAlignment="1">
      <alignment horizontal="center" vertical="center"/>
    </xf>
    <xf numFmtId="170" fontId="52" fillId="0" borderId="5" xfId="0" applyNumberFormat="1" applyFont="1" applyBorder="1" applyAlignment="1">
      <alignment horizontal="center" vertical="center"/>
    </xf>
    <xf numFmtId="0" fontId="29" fillId="3" borderId="116" xfId="0" applyFont="1" applyFill="1" applyBorder="1" applyAlignment="1">
      <alignment horizontal="center" vertical="center" wrapText="1"/>
    </xf>
    <xf numFmtId="0" fontId="29" fillId="3" borderId="31" xfId="0" applyFont="1" applyFill="1" applyBorder="1" applyAlignment="1">
      <alignment horizontal="center" vertical="center" wrapText="1"/>
    </xf>
    <xf numFmtId="0" fontId="26" fillId="0" borderId="9" xfId="0" applyFont="1" applyBorder="1" applyAlignment="1">
      <alignment horizontal="left" vertical="center"/>
    </xf>
    <xf numFmtId="0" fontId="26" fillId="0" borderId="10" xfId="0" applyFont="1" applyBorder="1" applyAlignment="1">
      <alignment horizontal="left" vertical="center"/>
    </xf>
    <xf numFmtId="0" fontId="52" fillId="0" borderId="10" xfId="0" applyFont="1" applyBorder="1" applyAlignment="1" applyProtection="1">
      <alignment horizontal="center" vertical="center"/>
      <protection locked="0"/>
    </xf>
    <xf numFmtId="0" fontId="26" fillId="0" borderId="10" xfId="0" applyFont="1" applyBorder="1" applyAlignment="1">
      <alignment horizontal="right" vertical="center"/>
    </xf>
    <xf numFmtId="0" fontId="26" fillId="0" borderId="10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15" fillId="3" borderId="61" xfId="0" applyFont="1" applyFill="1" applyBorder="1" applyAlignment="1">
      <alignment horizontal="center" vertical="center"/>
    </xf>
    <xf numFmtId="1" fontId="29" fillId="3" borderId="10" xfId="0" applyNumberFormat="1" applyFont="1" applyFill="1" applyBorder="1" applyAlignment="1">
      <alignment horizontal="center" vertical="center" wrapText="1"/>
    </xf>
    <xf numFmtId="1" fontId="29" fillId="3" borderId="5" xfId="0" applyNumberFormat="1" applyFont="1" applyFill="1" applyBorder="1" applyAlignment="1">
      <alignment horizontal="center" vertical="center" wrapText="1"/>
    </xf>
    <xf numFmtId="0" fontId="26" fillId="16" borderId="5" xfId="0" applyFont="1" applyFill="1" applyBorder="1" applyAlignment="1">
      <alignment horizontal="center"/>
    </xf>
    <xf numFmtId="0" fontId="26" fillId="16" borderId="13" xfId="0" applyFont="1" applyFill="1" applyBorder="1" applyAlignment="1">
      <alignment horizontal="center"/>
    </xf>
    <xf numFmtId="170" fontId="52" fillId="0" borderId="19" xfId="0" applyNumberFormat="1" applyFont="1" applyBorder="1" applyAlignment="1" applyProtection="1">
      <alignment horizontal="center" vertical="center" wrapText="1"/>
      <protection locked="0"/>
    </xf>
    <xf numFmtId="170" fontId="52" fillId="0" borderId="0" xfId="0" applyNumberFormat="1" applyFont="1" applyAlignment="1" applyProtection="1">
      <alignment horizontal="center" vertical="center" wrapText="1"/>
      <protection locked="0"/>
    </xf>
    <xf numFmtId="170" fontId="52" fillId="0" borderId="0" xfId="0" applyNumberFormat="1" applyFont="1" applyAlignment="1" applyProtection="1">
      <alignment horizontal="center" vertical="center"/>
      <protection locked="0"/>
    </xf>
    <xf numFmtId="190" fontId="38" fillId="0" borderId="0" xfId="0" applyNumberFormat="1" applyFont="1" applyAlignment="1">
      <alignment horizontal="left" vertical="center"/>
    </xf>
    <xf numFmtId="190" fontId="38" fillId="0" borderId="15" xfId="0" applyNumberFormat="1" applyFont="1" applyBorder="1" applyAlignment="1">
      <alignment horizontal="left" vertical="center"/>
    </xf>
    <xf numFmtId="0" fontId="27" fillId="0" borderId="10" xfId="0" applyFont="1" applyBorder="1" applyAlignment="1" applyProtection="1">
      <alignment horizontal="center" vertical="top"/>
      <protection locked="0"/>
    </xf>
    <xf numFmtId="0" fontId="27" fillId="0" borderId="14" xfId="0" applyFont="1" applyBorder="1" applyAlignment="1" applyProtection="1">
      <alignment horizontal="center" vertical="top"/>
      <protection locked="0"/>
    </xf>
    <xf numFmtId="0" fontId="26" fillId="0" borderId="12" xfId="0" applyFont="1" applyBorder="1" applyAlignment="1" applyProtection="1">
      <alignment horizontal="center"/>
      <protection locked="0"/>
    </xf>
    <xf numFmtId="0" fontId="26" fillId="0" borderId="5" xfId="0" applyFont="1" applyBorder="1" applyAlignment="1" applyProtection="1">
      <alignment horizontal="center"/>
      <protection locked="0"/>
    </xf>
    <xf numFmtId="0" fontId="26" fillId="0" borderId="13" xfId="0" applyFont="1" applyBorder="1" applyAlignment="1" applyProtection="1">
      <alignment horizontal="center"/>
      <protection locked="0"/>
    </xf>
    <xf numFmtId="0" fontId="29" fillId="3" borderId="10" xfId="0" applyFont="1" applyFill="1" applyBorder="1" applyAlignment="1">
      <alignment horizontal="center" vertical="center" wrapText="1"/>
    </xf>
    <xf numFmtId="0" fontId="29" fillId="3" borderId="5" xfId="0" applyFont="1" applyFill="1" applyBorder="1" applyAlignment="1">
      <alignment horizontal="center" vertical="center" wrapText="1"/>
    </xf>
    <xf numFmtId="0" fontId="29" fillId="3" borderId="14" xfId="0" applyFont="1" applyFill="1" applyBorder="1" applyAlignment="1">
      <alignment horizontal="center" vertical="center" wrapText="1"/>
    </xf>
    <xf numFmtId="0" fontId="29" fillId="3" borderId="13" xfId="0" applyFont="1" applyFill="1" applyBorder="1" applyAlignment="1">
      <alignment horizontal="center" vertical="center" wrapText="1"/>
    </xf>
    <xf numFmtId="0" fontId="29" fillId="3" borderId="9" xfId="0" applyFont="1" applyFill="1" applyBorder="1" applyAlignment="1">
      <alignment horizontal="center" vertical="center" textRotation="90" wrapText="1"/>
    </xf>
    <xf numFmtId="0" fontId="29" fillId="3" borderId="12" xfId="0" applyFont="1" applyFill="1" applyBorder="1" applyAlignment="1">
      <alignment horizontal="center" vertical="center" textRotation="90" wrapText="1"/>
    </xf>
    <xf numFmtId="1" fontId="29" fillId="3" borderId="35" xfId="0" applyNumberFormat="1" applyFont="1" applyFill="1" applyBorder="1" applyAlignment="1">
      <alignment horizontal="center" vertical="center" wrapText="1"/>
    </xf>
    <xf numFmtId="1" fontId="29" fillId="3" borderId="32" xfId="0" applyNumberFormat="1" applyFont="1" applyFill="1" applyBorder="1" applyAlignment="1">
      <alignment horizontal="center" vertical="center" wrapText="1"/>
    </xf>
    <xf numFmtId="0" fontId="37" fillId="0" borderId="12" xfId="0" applyFont="1" applyBorder="1" applyAlignment="1">
      <alignment horizontal="left" vertical="center"/>
    </xf>
    <xf numFmtId="0" fontId="37" fillId="0" borderId="5" xfId="0" applyFont="1" applyBorder="1" applyAlignment="1">
      <alignment horizontal="left" vertical="center"/>
    </xf>
    <xf numFmtId="0" fontId="37" fillId="0" borderId="0" xfId="0" applyFont="1" applyAlignment="1">
      <alignment horizontal="left" vertical="center" wrapText="1"/>
    </xf>
    <xf numFmtId="0" fontId="38" fillId="0" borderId="14" xfId="0" applyFont="1" applyBorder="1" applyAlignment="1">
      <alignment horizontal="left" vertical="center"/>
    </xf>
    <xf numFmtId="0" fontId="38" fillId="0" borderId="0" xfId="0" applyFont="1" applyAlignment="1">
      <alignment horizontal="left" vertical="center"/>
    </xf>
    <xf numFmtId="0" fontId="38" fillId="0" borderId="15" xfId="0" applyFont="1" applyBorder="1" applyAlignment="1">
      <alignment horizontal="left" vertical="center"/>
    </xf>
    <xf numFmtId="0" fontId="38" fillId="0" borderId="0" xfId="0" applyFont="1" applyAlignment="1">
      <alignment horizontal="left" vertical="center" wrapText="1"/>
    </xf>
    <xf numFmtId="0" fontId="93" fillId="0" borderId="7" xfId="0" applyFont="1" applyBorder="1" applyAlignment="1" applyProtection="1">
      <alignment horizontal="center"/>
      <protection locked="0"/>
    </xf>
    <xf numFmtId="0" fontId="93" fillId="0" borderId="6" xfId="0" applyFont="1" applyBorder="1" applyAlignment="1" applyProtection="1">
      <alignment horizontal="center"/>
      <protection locked="0"/>
    </xf>
    <xf numFmtId="0" fontId="37" fillId="3" borderId="35" xfId="150" applyFont="1" applyFill="1" applyBorder="1" applyAlignment="1">
      <alignment horizontal="center" vertical="center"/>
    </xf>
    <xf numFmtId="0" fontId="38" fillId="0" borderId="19" xfId="150" applyFont="1" applyBorder="1" applyAlignment="1" applyProtection="1">
      <alignment horizontal="center"/>
      <protection locked="0"/>
    </xf>
    <xf numFmtId="0" fontId="38" fillId="0" borderId="19" xfId="150" quotePrefix="1" applyFont="1" applyBorder="1" applyAlignment="1" applyProtection="1">
      <alignment horizontal="center"/>
      <protection locked="0"/>
    </xf>
    <xf numFmtId="0" fontId="38" fillId="0" borderId="122" xfId="150" applyFont="1" applyBorder="1" applyAlignment="1">
      <alignment horizontal="center"/>
    </xf>
    <xf numFmtId="0" fontId="38" fillId="0" borderId="123" xfId="150" applyFont="1" applyBorder="1" applyAlignment="1">
      <alignment horizontal="center"/>
    </xf>
    <xf numFmtId="0" fontId="38" fillId="0" borderId="124" xfId="150" applyFont="1" applyBorder="1" applyAlignment="1">
      <alignment horizontal="center"/>
    </xf>
    <xf numFmtId="0" fontId="57" fillId="0" borderId="9" xfId="0" applyFont="1" applyBorder="1" applyAlignment="1">
      <alignment horizontal="center" vertical="center" wrapText="1"/>
    </xf>
    <xf numFmtId="0" fontId="57" fillId="0" borderId="10" xfId="0" applyFont="1" applyBorder="1" applyAlignment="1">
      <alignment horizontal="center" vertical="center" wrapText="1"/>
    </xf>
    <xf numFmtId="0" fontId="57" fillId="0" borderId="14" xfId="0" applyFont="1" applyBorder="1" applyAlignment="1">
      <alignment horizontal="center" vertical="center" wrapText="1"/>
    </xf>
    <xf numFmtId="0" fontId="38" fillId="0" borderId="5" xfId="0" applyFont="1" applyBorder="1" applyAlignment="1">
      <alignment horizontal="left" vertical="center" wrapText="1"/>
    </xf>
    <xf numFmtId="170" fontId="53" fillId="0" borderId="0" xfId="0" applyNumberFormat="1" applyFont="1" applyAlignment="1">
      <alignment horizontal="center" vertical="center" wrapText="1"/>
    </xf>
    <xf numFmtId="170" fontId="53" fillId="0" borderId="0" xfId="0" applyNumberFormat="1" applyFont="1" applyAlignment="1" applyProtection="1">
      <alignment horizontal="center" vertical="center" wrapText="1"/>
      <protection locked="0"/>
    </xf>
    <xf numFmtId="170" fontId="53" fillId="0" borderId="0" xfId="0" applyNumberFormat="1" applyFont="1" applyAlignment="1">
      <alignment horizontal="center" vertical="center"/>
    </xf>
    <xf numFmtId="171" fontId="54" fillId="0" borderId="5" xfId="0" applyNumberFormat="1" applyFont="1" applyBorder="1" applyAlignment="1">
      <alignment horizontal="center" vertical="center" wrapText="1"/>
    </xf>
    <xf numFmtId="171" fontId="54" fillId="0" borderId="13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8" fillId="0" borderId="5" xfId="0" applyFont="1" applyBorder="1" applyAlignment="1">
      <alignment horizontal="center" vertical="center" wrapText="1"/>
    </xf>
    <xf numFmtId="0" fontId="93" fillId="0" borderId="147" xfId="0" applyFont="1" applyBorder="1" applyAlignment="1">
      <alignment horizontal="center"/>
    </xf>
    <xf numFmtId="0" fontId="93" fillId="0" borderId="148" xfId="0" applyFont="1" applyBorder="1" applyAlignment="1">
      <alignment horizontal="center"/>
    </xf>
    <xf numFmtId="171" fontId="53" fillId="0" borderId="0" xfId="0" applyNumberFormat="1" applyFont="1" applyAlignment="1">
      <alignment horizontal="center" vertical="center" wrapText="1"/>
    </xf>
    <xf numFmtId="171" fontId="53" fillId="0" borderId="15" xfId="0" applyNumberFormat="1" applyFont="1" applyBorder="1" applyAlignment="1">
      <alignment horizontal="center" vertical="center" wrapText="1"/>
    </xf>
    <xf numFmtId="0" fontId="29" fillId="3" borderId="0" xfId="0" applyFont="1" applyFill="1" applyAlignment="1">
      <alignment horizontal="center" vertical="center" wrapText="1"/>
    </xf>
    <xf numFmtId="0" fontId="60" fillId="3" borderId="15" xfId="0" applyFont="1" applyFill="1" applyBorder="1" applyAlignment="1">
      <alignment horizontal="center" vertical="center" wrapText="1"/>
    </xf>
    <xf numFmtId="0" fontId="29" fillId="3" borderId="8" xfId="0" applyFont="1" applyFill="1" applyBorder="1" applyAlignment="1">
      <alignment horizontal="center" vertical="center" wrapText="1"/>
    </xf>
    <xf numFmtId="0" fontId="29" fillId="3" borderId="6" xfId="0" applyFont="1" applyFill="1" applyBorder="1" applyAlignment="1">
      <alignment horizontal="center" vertical="center" wrapText="1"/>
    </xf>
    <xf numFmtId="0" fontId="36" fillId="3" borderId="5" xfId="0" applyFont="1" applyFill="1" applyBorder="1" applyAlignment="1">
      <alignment horizontal="center" vertical="top"/>
    </xf>
    <xf numFmtId="170" fontId="53" fillId="4" borderId="0" xfId="0" applyNumberFormat="1" applyFont="1" applyFill="1" applyAlignment="1" applyProtection="1">
      <alignment horizontal="center" vertical="center" wrapText="1"/>
      <protection locked="0"/>
    </xf>
    <xf numFmtId="170" fontId="54" fillId="0" borderId="5" xfId="0" applyNumberFormat="1" applyFont="1" applyBorder="1" applyAlignment="1">
      <alignment horizontal="center" vertical="center"/>
    </xf>
    <xf numFmtId="0" fontId="36" fillId="3" borderId="9" xfId="0" applyFont="1" applyFill="1" applyBorder="1" applyAlignment="1">
      <alignment horizontal="center" vertical="center"/>
    </xf>
    <xf numFmtId="0" fontId="36" fillId="3" borderId="10" xfId="0" applyFont="1" applyFill="1" applyBorder="1" applyAlignment="1">
      <alignment horizontal="center" vertical="center"/>
    </xf>
    <xf numFmtId="0" fontId="36" fillId="3" borderId="12" xfId="0" applyFont="1" applyFill="1" applyBorder="1" applyAlignment="1">
      <alignment horizontal="center" vertical="center"/>
    </xf>
    <xf numFmtId="0" fontId="36" fillId="3" borderId="5" xfId="0" applyFont="1" applyFill="1" applyBorder="1" applyAlignment="1">
      <alignment horizontal="center" vertical="center"/>
    </xf>
    <xf numFmtId="0" fontId="12" fillId="0" borderId="0" xfId="0" applyFont="1" applyAlignment="1" applyProtection="1">
      <alignment horizontal="center" vertical="center"/>
      <protection locked="0"/>
    </xf>
    <xf numFmtId="0" fontId="0" fillId="14" borderId="0" xfId="0" applyFill="1" applyAlignment="1">
      <alignment horizontal="center" vertical="center"/>
    </xf>
    <xf numFmtId="0" fontId="37" fillId="3" borderId="18" xfId="150" applyFont="1" applyFill="1" applyBorder="1" applyAlignment="1">
      <alignment horizontal="center" vertical="center"/>
    </xf>
    <xf numFmtId="0" fontId="37" fillId="3" borderId="26" xfId="150" applyFont="1" applyFill="1" applyBorder="1" applyAlignment="1">
      <alignment horizontal="center" vertical="center"/>
    </xf>
    <xf numFmtId="0" fontId="37" fillId="3" borderId="22" xfId="150" applyFont="1" applyFill="1" applyBorder="1" applyAlignment="1">
      <alignment horizontal="center" vertical="center"/>
    </xf>
    <xf numFmtId="0" fontId="43" fillId="0" borderId="64" xfId="149" applyFont="1" applyBorder="1" applyAlignment="1">
      <alignment horizontal="center" wrapText="1"/>
    </xf>
    <xf numFmtId="0" fontId="65" fillId="4" borderId="10" xfId="0" applyFont="1" applyFill="1" applyBorder="1" applyAlignment="1">
      <alignment horizontal="center" vertical="center"/>
    </xf>
    <xf numFmtId="0" fontId="36" fillId="4" borderId="56" xfId="0" applyFont="1" applyFill="1" applyBorder="1" applyAlignment="1">
      <alignment horizontal="center" vertical="top"/>
    </xf>
    <xf numFmtId="0" fontId="43" fillId="0" borderId="11" xfId="149" applyFont="1" applyBorder="1" applyAlignment="1">
      <alignment horizontal="center" wrapText="1"/>
    </xf>
    <xf numFmtId="0" fontId="43" fillId="0" borderId="0" xfId="149" applyFont="1" applyAlignment="1">
      <alignment horizontal="center" wrapText="1"/>
    </xf>
    <xf numFmtId="0" fontId="43" fillId="0" borderId="15" xfId="149" applyFont="1" applyBorder="1" applyAlignment="1">
      <alignment horizontal="center" wrapText="1"/>
    </xf>
    <xf numFmtId="0" fontId="0" fillId="14" borderId="0" xfId="0" applyFill="1" applyAlignment="1">
      <alignment horizontal="center" vertical="center" wrapText="1"/>
    </xf>
    <xf numFmtId="0" fontId="37" fillId="3" borderId="27" xfId="150" applyFont="1" applyFill="1" applyBorder="1" applyAlignment="1">
      <alignment horizontal="center" vertical="center"/>
    </xf>
    <xf numFmtId="0" fontId="38" fillId="0" borderId="28" xfId="150" applyFont="1" applyBorder="1" applyAlignment="1" applyProtection="1">
      <alignment horizontal="center"/>
      <protection locked="0"/>
    </xf>
    <xf numFmtId="0" fontId="38" fillId="0" borderId="28" xfId="150" quotePrefix="1" applyFont="1" applyBorder="1" applyAlignment="1" applyProtection="1">
      <alignment horizontal="center"/>
      <protection locked="0"/>
    </xf>
    <xf numFmtId="0" fontId="38" fillId="0" borderId="152" xfId="150" applyFont="1" applyBorder="1" applyAlignment="1">
      <alignment horizontal="center"/>
    </xf>
    <xf numFmtId="0" fontId="93" fillId="0" borderId="9" xfId="0" applyFont="1" applyBorder="1" applyAlignment="1">
      <alignment horizontal="center" vertical="center" wrapText="1"/>
    </xf>
    <xf numFmtId="0" fontId="93" fillId="0" borderId="12" xfId="0" applyFont="1" applyBorder="1" applyAlignment="1">
      <alignment horizontal="center" vertical="center" wrapText="1"/>
    </xf>
    <xf numFmtId="0" fontId="36" fillId="4" borderId="9" xfId="0" applyFont="1" applyFill="1" applyBorder="1" applyAlignment="1">
      <alignment horizontal="center" vertical="center" textRotation="90" wrapText="1"/>
    </xf>
    <xf numFmtId="0" fontId="36" fillId="4" borderId="11" xfId="0" applyFont="1" applyFill="1" applyBorder="1" applyAlignment="1">
      <alignment horizontal="center" vertical="center" textRotation="90" wrapText="1"/>
    </xf>
    <xf numFmtId="0" fontId="36" fillId="4" borderId="12" xfId="0" applyFont="1" applyFill="1" applyBorder="1" applyAlignment="1">
      <alignment horizontal="center" vertical="center" textRotation="90" wrapText="1"/>
    </xf>
    <xf numFmtId="0" fontId="36" fillId="4" borderId="58" xfId="0" applyFont="1" applyFill="1" applyBorder="1" applyAlignment="1">
      <alignment horizontal="center" vertical="center" wrapText="1"/>
    </xf>
    <xf numFmtId="0" fontId="36" fillId="4" borderId="53" xfId="0" applyFont="1" applyFill="1" applyBorder="1" applyAlignment="1">
      <alignment horizontal="center" vertical="center" wrapText="1"/>
    </xf>
    <xf numFmtId="0" fontId="36" fillId="4" borderId="57" xfId="0" applyFont="1" applyFill="1" applyBorder="1" applyAlignment="1">
      <alignment horizontal="center" vertical="center" wrapText="1"/>
    </xf>
    <xf numFmtId="0" fontId="36" fillId="4" borderId="54" xfId="0" applyFont="1" applyFill="1" applyBorder="1" applyAlignment="1">
      <alignment horizontal="center" vertical="center" wrapText="1"/>
    </xf>
    <xf numFmtId="0" fontId="36" fillId="4" borderId="59" xfId="0" applyFont="1" applyFill="1" applyBorder="1" applyAlignment="1">
      <alignment horizontal="center" vertical="center" wrapText="1"/>
    </xf>
    <xf numFmtId="0" fontId="36" fillId="4" borderId="55" xfId="0" applyFont="1" applyFill="1" applyBorder="1" applyAlignment="1">
      <alignment horizontal="center" vertical="center" wrapText="1"/>
    </xf>
    <xf numFmtId="0" fontId="26" fillId="0" borderId="11" xfId="0" applyFont="1" applyBorder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15" xfId="0" applyFont="1" applyBorder="1" applyAlignment="1" applyProtection="1">
      <alignment horizontal="center"/>
      <protection locked="0"/>
    </xf>
    <xf numFmtId="0" fontId="36" fillId="4" borderId="5" xfId="0" applyFont="1" applyFill="1" applyBorder="1" applyAlignment="1">
      <alignment horizontal="center" vertical="top"/>
    </xf>
    <xf numFmtId="0" fontId="36" fillId="4" borderId="13" xfId="0" applyFont="1" applyFill="1" applyBorder="1" applyAlignment="1">
      <alignment horizontal="center" vertical="top"/>
    </xf>
    <xf numFmtId="0" fontId="27" fillId="0" borderId="11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27" fillId="0" borderId="15" xfId="0" applyFont="1" applyBorder="1" applyAlignment="1">
      <alignment horizontal="left"/>
    </xf>
    <xf numFmtId="0" fontId="36" fillId="4" borderId="117" xfId="0" applyFont="1" applyFill="1" applyBorder="1" applyAlignment="1">
      <alignment horizontal="center" vertical="top"/>
    </xf>
    <xf numFmtId="0" fontId="36" fillId="4" borderId="118" xfId="0" applyFont="1" applyFill="1" applyBorder="1" applyAlignment="1">
      <alignment horizontal="center" vertical="top"/>
    </xf>
    <xf numFmtId="0" fontId="36" fillId="4" borderId="119" xfId="0" applyFont="1" applyFill="1" applyBorder="1" applyAlignment="1">
      <alignment horizontal="center" vertical="top"/>
    </xf>
    <xf numFmtId="0" fontId="36" fillId="4" borderId="120" xfId="0" applyFont="1" applyFill="1" applyBorder="1" applyAlignment="1">
      <alignment horizontal="center" vertical="center" textRotation="90" wrapText="1"/>
    </xf>
    <xf numFmtId="0" fontId="36" fillId="4" borderId="60" xfId="0" applyFont="1" applyFill="1" applyBorder="1" applyAlignment="1">
      <alignment horizontal="center" vertical="center" textRotation="90" wrapText="1"/>
    </xf>
    <xf numFmtId="0" fontId="36" fillId="4" borderId="121" xfId="0" applyFont="1" applyFill="1" applyBorder="1" applyAlignment="1">
      <alignment horizontal="center" vertical="center" textRotation="90" wrapText="1"/>
    </xf>
    <xf numFmtId="171" fontId="53" fillId="17" borderId="0" xfId="0" applyNumberFormat="1" applyFont="1" applyFill="1" applyAlignment="1">
      <alignment horizontal="center" vertical="center"/>
    </xf>
    <xf numFmtId="171" fontId="53" fillId="17" borderId="15" xfId="0" applyNumberFormat="1" applyFont="1" applyFill="1" applyBorder="1" applyAlignment="1">
      <alignment horizontal="center" vertical="center"/>
    </xf>
    <xf numFmtId="171" fontId="53" fillId="17" borderId="5" xfId="0" applyNumberFormat="1" applyFont="1" applyFill="1" applyBorder="1" applyAlignment="1">
      <alignment horizontal="center" vertical="center"/>
    </xf>
    <xf numFmtId="171" fontId="53" fillId="17" borderId="13" xfId="0" applyNumberFormat="1" applyFont="1" applyFill="1" applyBorder="1" applyAlignment="1">
      <alignment horizontal="center" vertical="center"/>
    </xf>
    <xf numFmtId="0" fontId="36" fillId="4" borderId="9" xfId="0" applyFont="1" applyFill="1" applyBorder="1" applyAlignment="1">
      <alignment horizontal="center" vertical="center" wrapText="1"/>
    </xf>
    <xf numFmtId="0" fontId="36" fillId="4" borderId="10" xfId="0" applyFont="1" applyFill="1" applyBorder="1" applyAlignment="1">
      <alignment horizontal="center" vertical="center" wrapText="1"/>
    </xf>
    <xf numFmtId="0" fontId="36" fillId="4" borderId="12" xfId="0" applyFont="1" applyFill="1" applyBorder="1" applyAlignment="1">
      <alignment horizontal="center" vertical="center" wrapText="1"/>
    </xf>
    <xf numFmtId="0" fontId="36" fillId="4" borderId="5" xfId="0" applyFont="1" applyFill="1" applyBorder="1" applyAlignment="1">
      <alignment horizontal="center" vertical="center" wrapText="1"/>
    </xf>
    <xf numFmtId="0" fontId="36" fillId="4" borderId="10" xfId="0" applyFont="1" applyFill="1" applyBorder="1" applyAlignment="1">
      <alignment horizontal="center" vertical="top"/>
    </xf>
    <xf numFmtId="0" fontId="36" fillId="4" borderId="11" xfId="0" applyFont="1" applyFill="1" applyBorder="1" applyAlignment="1">
      <alignment horizontal="center" vertical="center" wrapText="1"/>
    </xf>
    <xf numFmtId="0" fontId="36" fillId="4" borderId="0" xfId="0" applyFont="1" applyFill="1" applyAlignment="1">
      <alignment horizontal="center" vertical="center" wrapText="1"/>
    </xf>
    <xf numFmtId="170" fontId="53" fillId="0" borderId="10" xfId="0" applyNumberFormat="1" applyFont="1" applyBorder="1" applyAlignment="1">
      <alignment horizontal="center" vertical="center" wrapText="1"/>
    </xf>
    <xf numFmtId="170" fontId="53" fillId="0" borderId="10" xfId="0" applyNumberFormat="1" applyFont="1" applyBorder="1" applyAlignment="1" applyProtection="1">
      <alignment horizontal="center" vertical="center" wrapText="1"/>
      <protection locked="0"/>
    </xf>
    <xf numFmtId="170" fontId="53" fillId="0" borderId="10" xfId="0" applyNumberFormat="1" applyFont="1" applyBorder="1" applyAlignment="1">
      <alignment horizontal="center" vertical="center"/>
    </xf>
    <xf numFmtId="171" fontId="53" fillId="0" borderId="10" xfId="0" applyNumberFormat="1" applyFont="1" applyBorder="1" applyAlignment="1">
      <alignment horizontal="center" vertical="center" wrapText="1"/>
    </xf>
    <xf numFmtId="171" fontId="53" fillId="0" borderId="14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 wrapText="1"/>
    </xf>
    <xf numFmtId="0" fontId="38" fillId="0" borderId="0" xfId="0" applyFont="1" applyAlignment="1">
      <alignment vertical="center"/>
    </xf>
    <xf numFmtId="0" fontId="38" fillId="0" borderId="10" xfId="0" applyFont="1" applyBorder="1" applyAlignment="1">
      <alignment vertical="center" wrapText="1"/>
    </xf>
    <xf numFmtId="170" fontId="29" fillId="3" borderId="8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36" fillId="0" borderId="132" xfId="0" applyFont="1" applyBorder="1" applyAlignment="1">
      <alignment horizontal="center" vertical="center"/>
    </xf>
    <xf numFmtId="0" fontId="36" fillId="0" borderId="125" xfId="0" applyFont="1" applyBorder="1" applyAlignment="1">
      <alignment horizontal="center" vertical="center"/>
    </xf>
    <xf numFmtId="0" fontId="36" fillId="0" borderId="133" xfId="0" applyFont="1" applyBorder="1" applyAlignment="1">
      <alignment horizontal="center" vertical="center"/>
    </xf>
    <xf numFmtId="0" fontId="93" fillId="0" borderId="153" xfId="0" applyFont="1" applyBorder="1" applyAlignment="1" applyProtection="1">
      <alignment horizontal="center" wrapText="1"/>
      <protection locked="0"/>
    </xf>
    <xf numFmtId="0" fontId="93" fillId="0" borderId="154" xfId="0" applyFont="1" applyBorder="1" applyAlignment="1" applyProtection="1">
      <alignment horizontal="center" wrapText="1"/>
      <protection locked="0"/>
    </xf>
    <xf numFmtId="0" fontId="26" fillId="0" borderId="147" xfId="0" applyFont="1" applyBorder="1" applyAlignment="1">
      <alignment horizontal="center" vertical="center" wrapText="1"/>
    </xf>
    <xf numFmtId="0" fontId="26" fillId="0" borderId="136" xfId="0" applyFont="1" applyBorder="1" applyAlignment="1">
      <alignment horizontal="center" vertical="center" wrapText="1"/>
    </xf>
    <xf numFmtId="0" fontId="26" fillId="0" borderId="137" xfId="0" applyFont="1" applyBorder="1" applyAlignment="1">
      <alignment horizontal="center" vertical="center" wrapText="1"/>
    </xf>
    <xf numFmtId="0" fontId="55" fillId="0" borderId="147" xfId="0" applyFont="1" applyBorder="1" applyAlignment="1">
      <alignment horizontal="center" vertical="center" wrapText="1"/>
    </xf>
    <xf numFmtId="0" fontId="55" fillId="0" borderId="136" xfId="0" applyFont="1" applyBorder="1" applyAlignment="1">
      <alignment horizontal="center" vertical="center" wrapText="1"/>
    </xf>
    <xf numFmtId="0" fontId="55" fillId="0" borderId="134" xfId="0" applyFont="1" applyBorder="1" applyAlignment="1">
      <alignment horizontal="center" vertical="center" wrapText="1"/>
    </xf>
    <xf numFmtId="0" fontId="55" fillId="0" borderId="148" xfId="0" applyFont="1" applyBorder="1" applyAlignment="1">
      <alignment horizontal="center" vertical="center" wrapText="1"/>
    </xf>
    <xf numFmtId="0" fontId="55" fillId="0" borderId="137" xfId="0" applyFont="1" applyBorder="1" applyAlignment="1">
      <alignment horizontal="center" vertical="center" wrapText="1"/>
    </xf>
    <xf numFmtId="171" fontId="54" fillId="17" borderId="51" xfId="0" applyNumberFormat="1" applyFont="1" applyFill="1" applyBorder="1" applyAlignment="1">
      <alignment horizontal="center" vertical="center" wrapText="1"/>
    </xf>
    <xf numFmtId="171" fontId="54" fillId="17" borderId="12" xfId="0" applyNumberFormat="1" applyFont="1" applyFill="1" applyBorder="1" applyAlignment="1">
      <alignment horizontal="center" vertical="center" wrapText="1"/>
    </xf>
    <xf numFmtId="0" fontId="38" fillId="0" borderId="5" xfId="82" applyFont="1" applyBorder="1" applyAlignment="1" applyProtection="1">
      <alignment horizontal="center" vertical="center" wrapText="1"/>
      <protection locked="0"/>
    </xf>
    <xf numFmtId="0" fontId="38" fillId="0" borderId="13" xfId="82" applyFont="1" applyBorder="1" applyAlignment="1" applyProtection="1">
      <alignment horizontal="center" vertical="center" wrapText="1"/>
      <protection locked="0"/>
    </xf>
    <xf numFmtId="0" fontId="93" fillId="0" borderId="132" xfId="0" applyFont="1" applyBorder="1" applyAlignment="1" applyProtection="1">
      <alignment horizontal="center" vertical="center"/>
      <protection locked="0"/>
    </xf>
    <xf numFmtId="0" fontId="93" fillId="0" borderId="133" xfId="0" applyFont="1" applyBorder="1" applyAlignment="1" applyProtection="1">
      <alignment horizontal="center" vertical="center"/>
      <protection locked="0"/>
    </xf>
    <xf numFmtId="0" fontId="27" fillId="0" borderId="7" xfId="0" applyFont="1" applyBorder="1" applyAlignment="1" applyProtection="1">
      <alignment horizontal="left" vertical="center" wrapText="1"/>
      <protection locked="0"/>
    </xf>
    <xf numFmtId="0" fontId="27" fillId="0" borderId="6" xfId="0" applyFont="1" applyBorder="1" applyAlignment="1" applyProtection="1">
      <alignment horizontal="left" vertical="center" wrapText="1"/>
      <protection locked="0"/>
    </xf>
    <xf numFmtId="0" fontId="26" fillId="0" borderId="7" xfId="0" applyFont="1" applyBorder="1" applyAlignment="1" applyProtection="1">
      <alignment horizontal="center" vertical="center"/>
      <protection locked="0"/>
    </xf>
    <xf numFmtId="0" fontId="26" fillId="0" borderId="6" xfId="0" applyFont="1" applyBorder="1" applyAlignment="1" applyProtection="1">
      <alignment horizontal="center" vertical="center"/>
      <protection locked="0"/>
    </xf>
    <xf numFmtId="0" fontId="13" fillId="0" borderId="9" xfId="89" applyFont="1" applyBorder="1" applyAlignment="1" applyProtection="1">
      <alignment horizontal="center" vertical="center"/>
      <protection locked="0"/>
    </xf>
    <xf numFmtId="0" fontId="13" fillId="0" borderId="10" xfId="89" applyFont="1" applyBorder="1" applyAlignment="1" applyProtection="1">
      <alignment horizontal="center" vertical="center"/>
      <protection locked="0"/>
    </xf>
    <xf numFmtId="0" fontId="13" fillId="0" borderId="14" xfId="89" applyFont="1" applyBorder="1" applyAlignment="1" applyProtection="1">
      <alignment horizontal="center" vertical="center"/>
      <protection locked="0"/>
    </xf>
    <xf numFmtId="0" fontId="46" fillId="0" borderId="0" xfId="0" applyFont="1" applyAlignment="1" applyProtection="1">
      <alignment horizontal="center" vertical="center"/>
      <protection locked="0"/>
    </xf>
    <xf numFmtId="0" fontId="46" fillId="0" borderId="15" xfId="0" applyFont="1" applyBorder="1" applyAlignment="1" applyProtection="1">
      <alignment horizontal="center" vertical="center"/>
      <protection locked="0"/>
    </xf>
    <xf numFmtId="0" fontId="14" fillId="0" borderId="11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10" xfId="0" applyFont="1" applyBorder="1" applyAlignment="1">
      <alignment horizontal="left" vertical="center"/>
    </xf>
    <xf numFmtId="0" fontId="14" fillId="0" borderId="14" xfId="0" applyFont="1" applyBorder="1" applyAlignment="1">
      <alignment horizontal="left" vertical="center"/>
    </xf>
    <xf numFmtId="0" fontId="27" fillId="0" borderId="2" xfId="0" applyFont="1" applyBorder="1" applyAlignment="1" applyProtection="1">
      <alignment horizontal="left" vertical="center"/>
      <protection locked="0"/>
    </xf>
    <xf numFmtId="0" fontId="26" fillId="0" borderId="2" xfId="0" applyFont="1" applyBorder="1" applyAlignment="1" applyProtection="1">
      <alignment horizontal="center" vertical="center"/>
      <protection locked="0"/>
    </xf>
    <xf numFmtId="1" fontId="76" fillId="0" borderId="19" xfId="0" applyNumberFormat="1" applyFont="1" applyBorder="1" applyAlignment="1">
      <alignment horizontal="left" vertical="center" wrapText="1"/>
    </xf>
    <xf numFmtId="1" fontId="76" fillId="0" borderId="0" xfId="0" applyNumberFormat="1" applyFont="1" applyAlignment="1">
      <alignment horizontal="left" vertical="center" wrapText="1"/>
    </xf>
    <xf numFmtId="0" fontId="75" fillId="0" borderId="19" xfId="0" applyFont="1" applyBorder="1" applyAlignment="1">
      <alignment horizontal="left" vertical="center"/>
    </xf>
    <xf numFmtId="0" fontId="75" fillId="0" borderId="0" xfId="0" applyFont="1" applyAlignment="1">
      <alignment horizontal="left" vertical="center"/>
    </xf>
    <xf numFmtId="0" fontId="46" fillId="4" borderId="0" xfId="0" applyFont="1" applyFill="1" applyAlignment="1" applyProtection="1">
      <alignment horizontal="center" vertical="center" wrapText="1"/>
      <protection locked="0"/>
    </xf>
    <xf numFmtId="0" fontId="46" fillId="4" borderId="15" xfId="0" applyFont="1" applyFill="1" applyBorder="1" applyAlignment="1" applyProtection="1">
      <alignment horizontal="center" vertical="center" wrapText="1"/>
      <protection locked="0"/>
    </xf>
    <xf numFmtId="0" fontId="14" fillId="0" borderId="15" xfId="0" applyFont="1" applyBorder="1" applyAlignment="1">
      <alignment horizontal="left" vertical="center"/>
    </xf>
    <xf numFmtId="0" fontId="15" fillId="3" borderId="7" xfId="195" applyFont="1" applyFill="1" applyBorder="1" applyAlignment="1">
      <alignment horizontal="center" vertical="center" wrapText="1"/>
    </xf>
    <xf numFmtId="0" fontId="15" fillId="3" borderId="8" xfId="195" applyFont="1" applyFill="1" applyBorder="1" applyAlignment="1">
      <alignment horizontal="center" vertical="center" wrapText="1"/>
    </xf>
    <xf numFmtId="0" fontId="15" fillId="3" borderId="6" xfId="195" applyFont="1" applyFill="1" applyBorder="1" applyAlignment="1">
      <alignment horizontal="center" vertical="center" wrapText="1"/>
    </xf>
    <xf numFmtId="0" fontId="26" fillId="0" borderId="158" xfId="0" applyFont="1" applyBorder="1" applyAlignment="1" applyProtection="1">
      <alignment horizontal="center" wrapText="1"/>
      <protection locked="0"/>
    </xf>
    <xf numFmtId="0" fontId="26" fillId="0" borderId="157" xfId="0" applyFont="1" applyBorder="1" applyAlignment="1" applyProtection="1">
      <alignment horizontal="center" wrapText="1"/>
      <protection locked="0"/>
    </xf>
    <xf numFmtId="1" fontId="14" fillId="4" borderId="0" xfId="0" applyNumberFormat="1" applyFont="1" applyFill="1" applyAlignment="1">
      <alignment horizontal="center" vertical="center" wrapText="1"/>
    </xf>
    <xf numFmtId="1" fontId="14" fillId="4" borderId="15" xfId="0" applyNumberFormat="1" applyFont="1" applyFill="1" applyBorder="1" applyAlignment="1">
      <alignment horizontal="center" vertical="center" wrapText="1"/>
    </xf>
    <xf numFmtId="0" fontId="62" fillId="4" borderId="63" xfId="0" applyFont="1" applyFill="1" applyBorder="1" applyAlignment="1">
      <alignment horizontal="left" vertical="center"/>
    </xf>
    <xf numFmtId="0" fontId="62" fillId="4" borderId="20" xfId="0" applyFont="1" applyFill="1" applyBorder="1" applyAlignment="1">
      <alignment horizontal="left" vertical="center"/>
    </xf>
    <xf numFmtId="0" fontId="14" fillId="4" borderId="20" xfId="0" applyFont="1" applyFill="1" applyBorder="1" applyAlignment="1">
      <alignment horizontal="center" vertical="center"/>
    </xf>
    <xf numFmtId="170" fontId="14" fillId="4" borderId="20" xfId="0" applyNumberFormat="1" applyFont="1" applyFill="1" applyBorder="1" applyAlignment="1">
      <alignment horizontal="center" vertical="center" wrapText="1"/>
    </xf>
    <xf numFmtId="170" fontId="14" fillId="4" borderId="21" xfId="0" applyNumberFormat="1" applyFont="1" applyFill="1" applyBorder="1" applyAlignment="1">
      <alignment horizontal="center" vertical="center" wrapText="1"/>
    </xf>
    <xf numFmtId="0" fontId="14" fillId="4" borderId="0" xfId="0" applyFont="1" applyFill="1" applyAlignment="1">
      <alignment horizontal="center" vertical="center"/>
    </xf>
    <xf numFmtId="0" fontId="32" fillId="14" borderId="10" xfId="0" applyFont="1" applyFill="1" applyBorder="1" applyAlignment="1">
      <alignment horizontal="center" vertical="center" wrapText="1"/>
    </xf>
    <xf numFmtId="0" fontId="32" fillId="14" borderId="14" xfId="0" applyFont="1" applyFill="1" applyBorder="1" applyAlignment="1">
      <alignment horizontal="center" vertical="center" wrapText="1"/>
    </xf>
    <xf numFmtId="0" fontId="32" fillId="14" borderId="0" xfId="0" applyFont="1" applyFill="1" applyAlignment="1">
      <alignment horizontal="center" vertical="center" wrapText="1"/>
    </xf>
    <xf numFmtId="0" fontId="32" fillId="14" borderId="15" xfId="0" applyFont="1" applyFill="1" applyBorder="1" applyAlignment="1">
      <alignment horizontal="center" vertical="center" wrapText="1"/>
    </xf>
    <xf numFmtId="0" fontId="14" fillId="4" borderId="11" xfId="0" applyFont="1" applyFill="1" applyBorder="1" applyAlignment="1">
      <alignment horizontal="left" vertical="center" wrapText="1"/>
    </xf>
    <xf numFmtId="0" fontId="14" fillId="4" borderId="0" xfId="0" applyFont="1" applyFill="1" applyAlignment="1">
      <alignment horizontal="left" vertical="center" wrapText="1"/>
    </xf>
    <xf numFmtId="0" fontId="62" fillId="4" borderId="0" xfId="0" applyFont="1" applyFill="1" applyAlignment="1">
      <alignment horizontal="center" vertical="center"/>
    </xf>
    <xf numFmtId="173" fontId="14" fillId="4" borderId="0" xfId="0" applyNumberFormat="1" applyFont="1" applyFill="1" applyAlignment="1">
      <alignment horizontal="center" vertical="center" wrapText="1"/>
    </xf>
    <xf numFmtId="173" fontId="14" fillId="4" borderId="15" xfId="0" applyNumberFormat="1" applyFont="1" applyFill="1" applyBorder="1" applyAlignment="1">
      <alignment horizontal="center" vertical="center" wrapText="1"/>
    </xf>
    <xf numFmtId="10" fontId="15" fillId="4" borderId="0" xfId="0" applyNumberFormat="1" applyFont="1" applyFill="1" applyAlignment="1">
      <alignment horizontal="center" vertical="center"/>
    </xf>
    <xf numFmtId="10" fontId="15" fillId="4" borderId="15" xfId="0" applyNumberFormat="1" applyFont="1" applyFill="1" applyBorder="1" applyAlignment="1">
      <alignment horizontal="center" vertical="center"/>
    </xf>
    <xf numFmtId="0" fontId="62" fillId="4" borderId="11" xfId="0" applyFont="1" applyFill="1" applyBorder="1" applyAlignment="1">
      <alignment horizontal="left" vertical="center"/>
    </xf>
    <xf numFmtId="0" fontId="62" fillId="4" borderId="0" xfId="0" applyFont="1" applyFill="1" applyAlignment="1">
      <alignment horizontal="left" vertical="center"/>
    </xf>
    <xf numFmtId="12" fontId="14" fillId="4" borderId="11" xfId="0" applyNumberFormat="1" applyFont="1" applyFill="1" applyBorder="1" applyAlignment="1">
      <alignment horizontal="left" vertical="center" wrapText="1"/>
    </xf>
    <xf numFmtId="12" fontId="14" fillId="4" borderId="0" xfId="0" applyNumberFormat="1" applyFont="1" applyFill="1" applyAlignment="1">
      <alignment horizontal="left" vertical="center" wrapText="1"/>
    </xf>
    <xf numFmtId="12" fontId="15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4" borderId="11" xfId="0" applyFont="1" applyFill="1" applyBorder="1" applyAlignment="1">
      <alignment horizontal="left" vertical="center"/>
    </xf>
    <xf numFmtId="0" fontId="14" fillId="4" borderId="0" xfId="0" applyFont="1" applyFill="1" applyAlignment="1">
      <alignment horizontal="left" vertical="center"/>
    </xf>
    <xf numFmtId="0" fontId="15" fillId="3" borderId="7" xfId="0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43" fillId="0" borderId="8" xfId="149" applyFont="1" applyBorder="1" applyAlignment="1">
      <alignment horizontal="center" wrapText="1"/>
    </xf>
    <xf numFmtId="170" fontId="76" fillId="0" borderId="19" xfId="0" applyNumberFormat="1" applyFont="1" applyBorder="1" applyAlignment="1">
      <alignment horizontal="left" vertical="center" wrapText="1"/>
    </xf>
    <xf numFmtId="170" fontId="76" fillId="0" borderId="0" xfId="0" applyNumberFormat="1" applyFont="1" applyAlignment="1">
      <alignment horizontal="left" vertical="center" wrapText="1"/>
    </xf>
    <xf numFmtId="2" fontId="14" fillId="0" borderId="0" xfId="0" applyNumberFormat="1" applyFont="1" applyAlignment="1">
      <alignment horizontal="center" vertical="center" wrapText="1"/>
    </xf>
    <xf numFmtId="2" fontId="14" fillId="0" borderId="15" xfId="0" applyNumberFormat="1" applyFont="1" applyBorder="1" applyAlignment="1">
      <alignment horizontal="center" vertical="center" wrapText="1"/>
    </xf>
    <xf numFmtId="0" fontId="37" fillId="3" borderId="11" xfId="150" applyFont="1" applyFill="1" applyBorder="1" applyAlignment="1">
      <alignment horizontal="center" vertical="center"/>
    </xf>
    <xf numFmtId="0" fontId="37" fillId="3" borderId="0" xfId="150" applyFont="1" applyFill="1" applyAlignment="1">
      <alignment horizontal="center" vertical="center"/>
    </xf>
    <xf numFmtId="0" fontId="37" fillId="3" borderId="15" xfId="150" applyFont="1" applyFill="1" applyBorder="1" applyAlignment="1">
      <alignment horizontal="center" vertical="center"/>
    </xf>
    <xf numFmtId="1" fontId="75" fillId="0" borderId="19" xfId="0" applyNumberFormat="1" applyFont="1" applyBorder="1" applyAlignment="1">
      <alignment horizontal="left" vertical="center" wrapText="1"/>
    </xf>
    <xf numFmtId="1" fontId="75" fillId="0" borderId="0" xfId="0" applyNumberFormat="1" applyFont="1" applyAlignment="1">
      <alignment horizontal="left" vertical="center" wrapText="1"/>
    </xf>
    <xf numFmtId="173" fontId="15" fillId="0" borderId="0" xfId="0" applyNumberFormat="1" applyFont="1" applyAlignment="1">
      <alignment horizontal="center" vertical="center"/>
    </xf>
    <xf numFmtId="173" fontId="15" fillId="0" borderId="15" xfId="0" applyNumberFormat="1" applyFont="1" applyBorder="1" applyAlignment="1">
      <alignment horizontal="center" vertical="center"/>
    </xf>
    <xf numFmtId="0" fontId="27" fillId="0" borderId="12" xfId="0" applyFont="1" applyBorder="1" applyAlignment="1" applyProtection="1">
      <alignment horizontal="center" vertical="top" wrapText="1"/>
      <protection locked="0"/>
    </xf>
    <xf numFmtId="170" fontId="75" fillId="0" borderId="19" xfId="0" applyNumberFormat="1" applyFont="1" applyBorder="1" applyAlignment="1">
      <alignment horizontal="left" vertical="center" wrapText="1"/>
    </xf>
    <xf numFmtId="170" fontId="75" fillId="0" borderId="0" xfId="0" applyNumberFormat="1" applyFont="1" applyAlignment="1">
      <alignment horizontal="left" vertical="center" wrapText="1"/>
    </xf>
    <xf numFmtId="0" fontId="46" fillId="4" borderId="0" xfId="0" applyFont="1" applyFill="1" applyAlignment="1">
      <alignment horizontal="center" vertical="center" wrapText="1"/>
    </xf>
    <xf numFmtId="0" fontId="46" fillId="4" borderId="15" xfId="0" applyFont="1" applyFill="1" applyBorder="1" applyAlignment="1">
      <alignment horizontal="center" vertical="center" wrapText="1"/>
    </xf>
    <xf numFmtId="0" fontId="27" fillId="0" borderId="9" xfId="0" applyFont="1" applyBorder="1" applyAlignment="1">
      <alignment horizontal="center" vertical="top" wrapText="1"/>
    </xf>
    <xf numFmtId="0" fontId="27" fillId="0" borderId="10" xfId="0" applyFont="1" applyBorder="1" applyAlignment="1">
      <alignment horizontal="left" vertical="top" wrapText="1"/>
    </xf>
    <xf numFmtId="0" fontId="27" fillId="0" borderId="14" xfId="0" applyFont="1" applyBorder="1" applyAlignment="1">
      <alignment horizontal="left" vertical="top" wrapText="1"/>
    </xf>
    <xf numFmtId="0" fontId="31" fillId="0" borderId="0" xfId="0" applyFont="1" applyAlignment="1">
      <alignment horizontal="center" vertical="center"/>
    </xf>
    <xf numFmtId="0" fontId="94" fillId="0" borderId="9" xfId="0" applyFont="1" applyBorder="1" applyAlignment="1">
      <alignment horizontal="center" vertical="center" wrapText="1"/>
    </xf>
    <xf numFmtId="0" fontId="94" fillId="0" borderId="10" xfId="0" applyFont="1" applyBorder="1" applyAlignment="1">
      <alignment horizontal="center" vertical="center" wrapText="1"/>
    </xf>
    <xf numFmtId="0" fontId="94" fillId="0" borderId="14" xfId="0" applyFont="1" applyBorder="1" applyAlignment="1">
      <alignment horizontal="center" vertical="center" wrapText="1"/>
    </xf>
    <xf numFmtId="0" fontId="94" fillId="0" borderId="11" xfId="0" applyFont="1" applyBorder="1" applyAlignment="1">
      <alignment horizontal="center" vertical="center" wrapText="1"/>
    </xf>
    <xf numFmtId="0" fontId="94" fillId="0" borderId="0" xfId="0" applyFont="1" applyAlignment="1">
      <alignment horizontal="center" vertical="center" wrapText="1"/>
    </xf>
    <xf numFmtId="0" fontId="94" fillId="0" borderId="15" xfId="0" applyFont="1" applyBorder="1" applyAlignment="1">
      <alignment horizontal="center" vertical="center" wrapText="1"/>
    </xf>
    <xf numFmtId="0" fontId="94" fillId="0" borderId="12" xfId="0" applyFont="1" applyBorder="1" applyAlignment="1">
      <alignment horizontal="center" vertical="center" wrapText="1"/>
    </xf>
    <xf numFmtId="0" fontId="94" fillId="0" borderId="5" xfId="0" applyFont="1" applyBorder="1" applyAlignment="1">
      <alignment horizontal="center" vertical="center" wrapText="1"/>
    </xf>
    <xf numFmtId="0" fontId="94" fillId="0" borderId="13" xfId="0" applyFont="1" applyBorder="1" applyAlignment="1">
      <alignment horizontal="center" vertical="center" wrapText="1"/>
    </xf>
    <xf numFmtId="0" fontId="38" fillId="0" borderId="10" xfId="0" applyFont="1" applyBorder="1" applyAlignment="1">
      <alignment vertical="center"/>
    </xf>
    <xf numFmtId="0" fontId="104" fillId="2" borderId="135" xfId="197" applyFont="1" applyFill="1" applyBorder="1" applyAlignment="1">
      <alignment horizontal="center" vertical="center" wrapText="1"/>
    </xf>
    <xf numFmtId="0" fontId="92" fillId="4" borderId="135" xfId="197" applyFont="1" applyFill="1" applyBorder="1" applyAlignment="1">
      <alignment horizontal="center" vertical="center" wrapText="1"/>
    </xf>
    <xf numFmtId="0" fontId="92" fillId="4" borderId="142" xfId="197" applyFont="1" applyFill="1" applyBorder="1" applyAlignment="1">
      <alignment horizontal="center" vertical="center" wrapText="1"/>
    </xf>
    <xf numFmtId="0" fontId="59" fillId="2" borderId="158" xfId="197" applyFont="1" applyFill="1" applyBorder="1" applyAlignment="1">
      <alignment horizontal="center" vertical="center" wrapText="1"/>
    </xf>
    <xf numFmtId="0" fontId="59" fillId="2" borderId="157" xfId="197" applyFont="1" applyFill="1" applyBorder="1" applyAlignment="1">
      <alignment horizontal="center" vertical="center" wrapText="1"/>
    </xf>
    <xf numFmtId="0" fontId="97" fillId="0" borderId="125" xfId="0" applyFont="1" applyBorder="1" applyAlignment="1">
      <alignment horizontal="center"/>
    </xf>
    <xf numFmtId="0" fontId="97" fillId="0" borderId="133" xfId="0" applyFont="1" applyBorder="1" applyAlignment="1">
      <alignment horizontal="center"/>
    </xf>
    <xf numFmtId="0" fontId="49" fillId="5" borderId="0" xfId="75" applyNumberFormat="1" applyFont="1" applyFill="1" applyAlignment="1">
      <alignment horizontal="center" vertical="top" wrapText="1"/>
    </xf>
    <xf numFmtId="0" fontId="93" fillId="0" borderId="8" xfId="0" applyFont="1" applyBorder="1" applyAlignment="1">
      <alignment horizontal="center" vertical="center"/>
    </xf>
    <xf numFmtId="0" fontId="93" fillId="0" borderId="6" xfId="0" applyFont="1" applyBorder="1" applyAlignment="1">
      <alignment horizontal="center" vertical="center"/>
    </xf>
    <xf numFmtId="0" fontId="93" fillId="0" borderId="7" xfId="0" applyFont="1" applyBorder="1" applyAlignment="1">
      <alignment horizontal="center" vertical="center"/>
    </xf>
    <xf numFmtId="0" fontId="93" fillId="0" borderId="139" xfId="0" applyFont="1" applyBorder="1" applyAlignment="1">
      <alignment horizontal="center" vertical="center"/>
    </xf>
    <xf numFmtId="0" fontId="97" fillId="0" borderId="125" xfId="0" applyFont="1" applyBorder="1" applyAlignment="1">
      <alignment horizontal="center" vertical="center"/>
    </xf>
    <xf numFmtId="0" fontId="97" fillId="0" borderId="133" xfId="0" applyFont="1" applyBorder="1" applyAlignment="1">
      <alignment horizontal="center" vertical="center"/>
    </xf>
    <xf numFmtId="0" fontId="85" fillId="0" borderId="0" xfId="149" applyFont="1" applyAlignment="1">
      <alignment horizontal="center" vertical="top" wrapText="1"/>
    </xf>
    <xf numFmtId="0" fontId="85" fillId="0" borderId="16" xfId="149" applyFont="1" applyBorder="1" applyAlignment="1">
      <alignment horizontal="center" vertical="top" wrapText="1"/>
    </xf>
    <xf numFmtId="0" fontId="37" fillId="0" borderId="10" xfId="89" applyFont="1" applyBorder="1" applyAlignment="1" applyProtection="1">
      <alignment horizontal="center"/>
      <protection locked="0"/>
    </xf>
    <xf numFmtId="0" fontId="37" fillId="0" borderId="14" xfId="89" applyFont="1" applyBorder="1" applyAlignment="1" applyProtection="1">
      <alignment horizontal="center"/>
      <protection locked="0"/>
    </xf>
    <xf numFmtId="0" fontId="38" fillId="0" borderId="0" xfId="89" applyFont="1" applyProtection="1">
      <protection locked="0"/>
    </xf>
    <xf numFmtId="0" fontId="38" fillId="0" borderId="15" xfId="89" applyFont="1" applyBorder="1" applyProtection="1">
      <protection locked="0"/>
    </xf>
    <xf numFmtId="0" fontId="12" fillId="4" borderId="0" xfId="89" applyFill="1" applyProtection="1">
      <protection locked="0"/>
    </xf>
    <xf numFmtId="0" fontId="12" fillId="4" borderId="15" xfId="89" applyFill="1" applyBorder="1" applyProtection="1">
      <protection locked="0"/>
    </xf>
    <xf numFmtId="0" fontId="12" fillId="0" borderId="0" xfId="89" applyAlignment="1" applyProtection="1">
      <alignment horizontal="left"/>
      <protection locked="0"/>
    </xf>
    <xf numFmtId="0" fontId="12" fillId="0" borderId="15" xfId="89" applyBorder="1" applyAlignment="1" applyProtection="1">
      <alignment horizontal="left"/>
      <protection locked="0"/>
    </xf>
    <xf numFmtId="0" fontId="0" fillId="0" borderId="0" xfId="89" applyFont="1" applyAlignment="1" applyProtection="1">
      <alignment horizontal="left" vertical="center"/>
      <protection locked="0"/>
    </xf>
    <xf numFmtId="0" fontId="12" fillId="0" borderId="0" xfId="89" applyAlignment="1" applyProtection="1">
      <alignment horizontal="left" vertical="center"/>
      <protection locked="0"/>
    </xf>
    <xf numFmtId="0" fontId="118" fillId="4" borderId="0" xfId="0" applyFont="1" applyFill="1" applyAlignment="1">
      <alignment horizontal="right" vertical="center"/>
    </xf>
    <xf numFmtId="0" fontId="117" fillId="4" borderId="0" xfId="201" applyFont="1" applyFill="1" applyAlignment="1">
      <alignment horizontal="right" vertical="center"/>
    </xf>
    <xf numFmtId="0" fontId="38" fillId="4" borderId="10" xfId="198" applyFont="1" applyFill="1" applyBorder="1" applyAlignment="1">
      <alignment vertical="center" wrapText="1"/>
    </xf>
    <xf numFmtId="0" fontId="84" fillId="4" borderId="0" xfId="198" applyFont="1" applyFill="1" applyAlignment="1">
      <alignment vertical="center" wrapText="1"/>
    </xf>
    <xf numFmtId="0" fontId="84" fillId="4" borderId="0" xfId="0" applyFont="1" applyFill="1" applyAlignment="1">
      <alignment vertical="center"/>
    </xf>
    <xf numFmtId="0" fontId="84" fillId="0" borderId="0" xfId="0" applyFont="1" applyAlignment="1">
      <alignment vertical="center"/>
    </xf>
    <xf numFmtId="0" fontId="38" fillId="20" borderId="0" xfId="0" applyFont="1" applyFill="1" applyAlignment="1">
      <alignment vertical="center"/>
    </xf>
    <xf numFmtId="0" fontId="84" fillId="20" borderId="0" xfId="0" applyFont="1" applyFill="1" applyAlignment="1">
      <alignment vertical="center"/>
    </xf>
    <xf numFmtId="0" fontId="98" fillId="0" borderId="10" xfId="149" applyFont="1" applyBorder="1" applyAlignment="1">
      <alignment horizontal="left" vertical="top" wrapText="1"/>
    </xf>
    <xf numFmtId="0" fontId="85" fillId="0" borderId="10" xfId="149" applyFont="1" applyBorder="1" applyAlignment="1" applyProtection="1">
      <alignment horizontal="center" vertical="top" wrapText="1"/>
      <protection locked="0"/>
    </xf>
    <xf numFmtId="0" fontId="107" fillId="0" borderId="2" xfId="149" applyFont="1" applyBorder="1" applyAlignment="1">
      <alignment horizontal="left" vertical="center" wrapText="1"/>
    </xf>
    <xf numFmtId="0" fontId="120" fillId="0" borderId="2" xfId="149" applyFont="1" applyBorder="1" applyAlignment="1">
      <alignment horizontal="left" vertical="center" wrapText="1"/>
    </xf>
    <xf numFmtId="0" fontId="116" fillId="4" borderId="0" xfId="0" applyFont="1" applyFill="1" applyAlignment="1">
      <alignment horizontal="left" vertical="center" wrapText="1"/>
    </xf>
    <xf numFmtId="173" fontId="84" fillId="4" borderId="0" xfId="0" applyNumberFormat="1" applyFont="1" applyFill="1" applyAlignment="1">
      <alignment horizontal="center" vertical="center" wrapText="1"/>
    </xf>
    <xf numFmtId="1" fontId="116" fillId="4" borderId="0" xfId="0" applyNumberFormat="1" applyFont="1" applyFill="1" applyAlignment="1">
      <alignment horizontal="left" vertical="center"/>
    </xf>
    <xf numFmtId="0" fontId="37" fillId="3" borderId="11" xfId="198" applyFont="1" applyFill="1" applyBorder="1" applyAlignment="1">
      <alignment horizontal="center" vertical="center" wrapText="1"/>
    </xf>
    <xf numFmtId="0" fontId="37" fillId="3" borderId="0" xfId="198" applyFont="1" applyFill="1" applyAlignment="1">
      <alignment horizontal="center" vertical="center" wrapText="1"/>
    </xf>
    <xf numFmtId="0" fontId="37" fillId="3" borderId="15" xfId="198" applyFont="1" applyFill="1" applyBorder="1" applyAlignment="1">
      <alignment horizontal="center" vertical="center" wrapText="1"/>
    </xf>
    <xf numFmtId="0" fontId="85" fillId="0" borderId="0" xfId="149" applyFont="1" applyAlignment="1" applyProtection="1">
      <alignment horizontal="left" vertical="top" wrapText="1"/>
      <protection locked="0"/>
    </xf>
    <xf numFmtId="173" fontId="38" fillId="4" borderId="0" xfId="0" applyNumberFormat="1" applyFont="1" applyFill="1" applyAlignment="1">
      <alignment horizontal="center" vertical="center"/>
    </xf>
    <xf numFmtId="173" fontId="38" fillId="4" borderId="15" xfId="0" applyNumberFormat="1" applyFont="1" applyFill="1" applyBorder="1" applyAlignment="1">
      <alignment horizontal="center" vertical="center"/>
    </xf>
    <xf numFmtId="173" fontId="84" fillId="0" borderId="0" xfId="0" applyNumberFormat="1" applyFont="1" applyAlignment="1">
      <alignment horizontal="center" vertical="center"/>
    </xf>
    <xf numFmtId="12" fontId="116" fillId="4" borderId="0" xfId="0" applyNumberFormat="1" applyFont="1" applyFill="1" applyAlignment="1">
      <alignment horizontal="left" vertical="center"/>
    </xf>
    <xf numFmtId="0" fontId="37" fillId="4" borderId="10" xfId="198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170" fontId="84" fillId="18" borderId="0" xfId="0" applyNumberFormat="1" applyFont="1" applyFill="1" applyAlignment="1">
      <alignment horizontal="center" vertical="center"/>
    </xf>
    <xf numFmtId="170" fontId="84" fillId="18" borderId="15" xfId="0" applyNumberFormat="1" applyFont="1" applyFill="1" applyBorder="1" applyAlignment="1">
      <alignment horizontal="center" vertical="center"/>
    </xf>
    <xf numFmtId="0" fontId="98" fillId="0" borderId="25" xfId="75" applyNumberFormat="1" applyFont="1" applyBorder="1" applyAlignment="1">
      <alignment horizontal="center"/>
    </xf>
    <xf numFmtId="0" fontId="98" fillId="0" borderId="16" xfId="75" applyNumberFormat="1" applyFont="1" applyBorder="1" applyAlignment="1">
      <alignment horizontal="center"/>
    </xf>
    <xf numFmtId="0" fontId="85" fillId="0" borderId="24" xfId="75" applyNumberFormat="1" applyFont="1" applyBorder="1" applyAlignment="1">
      <alignment horizontal="center"/>
    </xf>
    <xf numFmtId="0" fontId="85" fillId="0" borderId="0" xfId="75" applyNumberFormat="1" applyFont="1" applyAlignment="1">
      <alignment horizontal="center"/>
    </xf>
    <xf numFmtId="1" fontId="84" fillId="18" borderId="0" xfId="0" applyNumberFormat="1" applyFont="1" applyFill="1" applyAlignment="1">
      <alignment horizontal="center" vertical="center"/>
    </xf>
    <xf numFmtId="0" fontId="84" fillId="18" borderId="15" xfId="0" applyFont="1" applyFill="1" applyBorder="1" applyAlignment="1">
      <alignment horizontal="center" vertical="center"/>
    </xf>
    <xf numFmtId="0" fontId="84" fillId="20" borderId="0" xfId="0" applyFont="1" applyFill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38" fillId="20" borderId="0" xfId="0" applyFont="1" applyFill="1" applyAlignment="1">
      <alignment horizontal="center" vertical="center"/>
    </xf>
    <xf numFmtId="1" fontId="84" fillId="21" borderId="0" xfId="0" applyNumberFormat="1" applyFont="1" applyFill="1" applyAlignment="1">
      <alignment horizontal="center" vertical="center"/>
    </xf>
    <xf numFmtId="1" fontId="84" fillId="21" borderId="15" xfId="0" applyNumberFormat="1" applyFont="1" applyFill="1" applyBorder="1" applyAlignment="1">
      <alignment horizontal="center" vertical="center"/>
    </xf>
    <xf numFmtId="1" fontId="84" fillId="0" borderId="0" xfId="0" applyNumberFormat="1" applyFont="1" applyAlignment="1">
      <alignment horizontal="center" vertical="center" wrapText="1"/>
    </xf>
    <xf numFmtId="1" fontId="84" fillId="0" borderId="15" xfId="0" applyNumberFormat="1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173" fontId="84" fillId="4" borderId="15" xfId="0" applyNumberFormat="1" applyFont="1" applyFill="1" applyBorder="1" applyAlignment="1">
      <alignment horizontal="center" vertical="center" wrapText="1"/>
    </xf>
    <xf numFmtId="0" fontId="84" fillId="4" borderId="9" xfId="0" applyFont="1" applyFill="1" applyBorder="1" applyAlignment="1">
      <alignment horizontal="center" vertical="center" wrapText="1"/>
    </xf>
    <xf numFmtId="0" fontId="84" fillId="4" borderId="10" xfId="0" applyFont="1" applyFill="1" applyBorder="1" applyAlignment="1">
      <alignment horizontal="center" vertical="center" wrapText="1"/>
    </xf>
    <xf numFmtId="0" fontId="84" fillId="4" borderId="14" xfId="0" applyFont="1" applyFill="1" applyBorder="1" applyAlignment="1">
      <alignment horizontal="center" vertical="center" wrapText="1"/>
    </xf>
    <xf numFmtId="173" fontId="84" fillId="4" borderId="0" xfId="0" applyNumberFormat="1" applyFont="1" applyFill="1" applyAlignment="1">
      <alignment horizontal="center" vertical="center"/>
    </xf>
    <xf numFmtId="10" fontId="38" fillId="0" borderId="0" xfId="0" applyNumberFormat="1" applyFont="1" applyAlignment="1">
      <alignment vertical="center"/>
    </xf>
    <xf numFmtId="0" fontId="63" fillId="0" borderId="23" xfId="0" applyFont="1" applyBorder="1" applyAlignment="1">
      <alignment horizontal="center" vertical="center"/>
    </xf>
    <xf numFmtId="0" fontId="63" fillId="0" borderId="127" xfId="0" applyFont="1" applyBorder="1" applyAlignment="1">
      <alignment horizontal="center" vertical="center"/>
    </xf>
    <xf numFmtId="0" fontId="80" fillId="0" borderId="107" xfId="0" applyFont="1" applyBorder="1" applyAlignment="1">
      <alignment horizontal="center"/>
    </xf>
    <xf numFmtId="0" fontId="93" fillId="0" borderId="23" xfId="0" applyFont="1" applyBorder="1" applyAlignment="1" applyProtection="1">
      <alignment horizontal="center" vertical="center"/>
      <protection locked="0"/>
    </xf>
    <xf numFmtId="0" fontId="93" fillId="0" borderId="127" xfId="0" applyFont="1" applyBorder="1" applyAlignment="1" applyProtection="1">
      <alignment horizontal="center" vertical="center"/>
      <protection locked="0"/>
    </xf>
    <xf numFmtId="1" fontId="84" fillId="18" borderId="15" xfId="0" applyNumberFormat="1" applyFont="1" applyFill="1" applyBorder="1" applyAlignment="1">
      <alignment horizontal="center" vertical="center"/>
    </xf>
    <xf numFmtId="10" fontId="85" fillId="4" borderId="0" xfId="0" applyNumberFormat="1" applyFont="1" applyFill="1" applyAlignment="1">
      <alignment horizontal="center" vertical="center"/>
    </xf>
    <xf numFmtId="10" fontId="85" fillId="4" borderId="15" xfId="0" applyNumberFormat="1" applyFont="1" applyFill="1" applyBorder="1" applyAlignment="1">
      <alignment horizontal="center" vertical="center"/>
    </xf>
    <xf numFmtId="170" fontId="84" fillId="21" borderId="0" xfId="0" applyNumberFormat="1" applyFont="1" applyFill="1" applyAlignment="1">
      <alignment horizontal="center" vertical="center"/>
    </xf>
    <xf numFmtId="170" fontId="84" fillId="21" borderId="15" xfId="0" applyNumberFormat="1" applyFont="1" applyFill="1" applyBorder="1" applyAlignment="1">
      <alignment horizontal="center" vertical="center"/>
    </xf>
    <xf numFmtId="0" fontId="97" fillId="0" borderId="132" xfId="0" applyFont="1" applyBorder="1" applyAlignment="1">
      <alignment horizontal="center"/>
    </xf>
    <xf numFmtId="0" fontId="85" fillId="6" borderId="130" xfId="75" applyNumberFormat="1" applyFont="1" applyFill="1" applyBorder="1" applyAlignment="1">
      <alignment horizontal="center" vertical="center"/>
    </xf>
    <xf numFmtId="0" fontId="85" fillId="6" borderId="106" xfId="75" applyNumberFormat="1" applyFont="1" applyFill="1" applyBorder="1" applyAlignment="1">
      <alignment horizontal="center" vertical="center"/>
    </xf>
    <xf numFmtId="0" fontId="85" fillId="6" borderId="131" xfId="75" applyNumberFormat="1" applyFont="1" applyFill="1" applyBorder="1" applyAlignment="1">
      <alignment horizontal="center" vertical="center"/>
    </xf>
    <xf numFmtId="0" fontId="84" fillId="4" borderId="0" xfId="0" applyFont="1" applyFill="1" applyAlignment="1">
      <alignment horizontal="center" vertical="center"/>
    </xf>
    <xf numFmtId="0" fontId="13" fillId="0" borderId="9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96" fillId="2" borderId="0" xfId="198" applyFont="1" applyFill="1" applyAlignment="1">
      <alignment horizontal="center" vertical="center" wrapText="1"/>
    </xf>
    <xf numFmtId="170" fontId="45" fillId="0" borderId="0" xfId="0" applyNumberFormat="1" applyFont="1" applyAlignment="1">
      <alignment horizontal="center" vertical="center"/>
    </xf>
    <xf numFmtId="0" fontId="91" fillId="14" borderId="0" xfId="0" applyFont="1" applyFill="1" applyAlignment="1">
      <alignment horizontal="center" vertical="center"/>
    </xf>
    <xf numFmtId="170" fontId="62" fillId="0" borderId="0" xfId="0" applyNumberFormat="1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 wrapText="1"/>
    </xf>
    <xf numFmtId="0" fontId="91" fillId="14" borderId="0" xfId="0" applyFont="1" applyFill="1" applyAlignment="1">
      <alignment horizontal="center" vertical="center" wrapText="1"/>
    </xf>
    <xf numFmtId="0" fontId="112" fillId="3" borderId="106" xfId="0" applyFont="1" applyFill="1" applyBorder="1" applyAlignment="1">
      <alignment horizontal="center" vertical="center"/>
    </xf>
    <xf numFmtId="0" fontId="43" fillId="0" borderId="0" xfId="151" applyFont="1" applyAlignment="1">
      <alignment horizontal="center" vertical="center" wrapText="1"/>
    </xf>
    <xf numFmtId="0" fontId="43" fillId="0" borderId="62" xfId="151" applyFont="1" applyBorder="1" applyAlignment="1">
      <alignment horizontal="center" vertical="center" wrapText="1"/>
    </xf>
    <xf numFmtId="0" fontId="38" fillId="4" borderId="0" xfId="78" applyFont="1" applyFill="1" applyAlignment="1">
      <alignment horizontal="center" vertical="center"/>
    </xf>
    <xf numFmtId="0" fontId="38" fillId="4" borderId="5" xfId="78" applyFont="1" applyFill="1" applyBorder="1" applyAlignment="1">
      <alignment horizontal="center" vertical="center"/>
    </xf>
    <xf numFmtId="0" fontId="14" fillId="0" borderId="11" xfId="89" quotePrefix="1" applyFont="1" applyBorder="1" applyAlignment="1" applyProtection="1">
      <alignment horizontal="center" vertical="center"/>
      <protection locked="0"/>
    </xf>
    <xf numFmtId="0" fontId="14" fillId="0" borderId="0" xfId="89" quotePrefix="1" applyFont="1" applyAlignment="1" applyProtection="1">
      <alignment horizontal="center" vertical="center"/>
      <protection locked="0"/>
    </xf>
    <xf numFmtId="0" fontId="14" fillId="0" borderId="15" xfId="89" quotePrefix="1" applyFont="1" applyBorder="1" applyAlignment="1" applyProtection="1">
      <alignment horizontal="center" vertical="center"/>
      <protection locked="0"/>
    </xf>
    <xf numFmtId="0" fontId="14" fillId="0" borderId="149" xfId="89" applyFont="1" applyBorder="1" applyAlignment="1">
      <alignment horizontal="center" vertical="center"/>
    </xf>
    <xf numFmtId="0" fontId="14" fillId="0" borderId="16" xfId="89" applyFont="1" applyBorder="1" applyAlignment="1">
      <alignment horizontal="center" vertical="center"/>
    </xf>
    <xf numFmtId="0" fontId="14" fillId="0" borderId="155" xfId="89" applyFont="1" applyBorder="1" applyAlignment="1">
      <alignment horizontal="center" vertical="center"/>
    </xf>
    <xf numFmtId="0" fontId="110" fillId="3" borderId="16" xfId="150" applyFont="1" applyFill="1" applyBorder="1" applyAlignment="1">
      <alignment horizontal="center" vertical="center"/>
    </xf>
    <xf numFmtId="0" fontId="85" fillId="4" borderId="19" xfId="193" applyFont="1" applyFill="1" applyBorder="1" applyAlignment="1" applyProtection="1">
      <alignment horizontal="center"/>
      <protection locked="0"/>
    </xf>
    <xf numFmtId="0" fontId="85" fillId="4" borderId="0" xfId="193" applyFont="1" applyFill="1" applyAlignment="1" applyProtection="1">
      <alignment horizontal="center"/>
      <protection locked="0"/>
    </xf>
    <xf numFmtId="0" fontId="85" fillId="14" borderId="0" xfId="200" applyFont="1" applyFill="1" applyAlignment="1">
      <alignment horizontal="center" vertical="center"/>
    </xf>
    <xf numFmtId="0" fontId="85" fillId="14" borderId="15" xfId="200" applyFont="1" applyFill="1" applyBorder="1" applyAlignment="1">
      <alignment horizontal="center" vertical="center"/>
    </xf>
    <xf numFmtId="0" fontId="15" fillId="4" borderId="9" xfId="82" applyFont="1" applyFill="1" applyBorder="1" applyAlignment="1" applyProtection="1">
      <alignment horizontal="left" vertical="top" wrapText="1"/>
      <protection locked="0"/>
    </xf>
    <xf numFmtId="0" fontId="15" fillId="4" borderId="10" xfId="82" applyFont="1" applyFill="1" applyBorder="1" applyAlignment="1" applyProtection="1">
      <alignment horizontal="left" vertical="top" wrapText="1"/>
      <protection locked="0"/>
    </xf>
    <xf numFmtId="0" fontId="15" fillId="4" borderId="14" xfId="82" applyFont="1" applyFill="1" applyBorder="1" applyAlignment="1" applyProtection="1">
      <alignment horizontal="left" vertical="top" wrapText="1"/>
      <protection locked="0"/>
    </xf>
    <xf numFmtId="0" fontId="15" fillId="3" borderId="9" xfId="150" applyFont="1" applyFill="1" applyBorder="1" applyAlignment="1">
      <alignment horizontal="center" vertical="center"/>
    </xf>
    <xf numFmtId="0" fontId="15" fillId="3" borderId="10" xfId="150" applyFont="1" applyFill="1" applyBorder="1" applyAlignment="1">
      <alignment horizontal="center" vertical="center"/>
    </xf>
    <xf numFmtId="0" fontId="15" fillId="3" borderId="14" xfId="150" applyFont="1" applyFill="1" applyBorder="1" applyAlignment="1">
      <alignment horizontal="center" vertical="center"/>
    </xf>
    <xf numFmtId="0" fontId="14" fillId="0" borderId="11" xfId="89" applyFont="1" applyBorder="1" applyAlignment="1">
      <alignment horizontal="center" vertical="center"/>
    </xf>
    <xf numFmtId="0" fontId="14" fillId="0" borderId="0" xfId="89" applyFont="1" applyAlignment="1">
      <alignment horizontal="center" vertical="center"/>
    </xf>
    <xf numFmtId="0" fontId="14" fillId="0" borderId="15" xfId="89" applyFont="1" applyBorder="1" applyAlignment="1">
      <alignment horizontal="center" vertical="center"/>
    </xf>
    <xf numFmtId="170" fontId="84" fillId="4" borderId="12" xfId="107" applyNumberFormat="1" applyFont="1" applyFill="1" applyBorder="1" applyAlignment="1" applyProtection="1">
      <alignment horizontal="center"/>
    </xf>
    <xf numFmtId="170" fontId="84" fillId="4" borderId="5" xfId="107" applyNumberFormat="1" applyFont="1" applyFill="1" applyBorder="1" applyAlignment="1" applyProtection="1">
      <alignment horizontal="center"/>
    </xf>
    <xf numFmtId="170" fontId="84" fillId="4" borderId="31" xfId="107" applyNumberFormat="1" applyFont="1" applyFill="1" applyBorder="1" applyAlignment="1" applyProtection="1">
      <alignment horizontal="center"/>
    </xf>
    <xf numFmtId="170" fontId="84" fillId="4" borderId="167" xfId="107" applyNumberFormat="1" applyFont="1" applyFill="1" applyBorder="1" applyAlignment="1" applyProtection="1">
      <alignment horizontal="center"/>
    </xf>
    <xf numFmtId="170" fontId="84" fillId="4" borderId="168" xfId="107" applyNumberFormat="1" applyFont="1" applyFill="1" applyBorder="1" applyAlignment="1" applyProtection="1">
      <alignment horizontal="center"/>
    </xf>
    <xf numFmtId="170" fontId="84" fillId="4" borderId="169" xfId="107" applyNumberFormat="1" applyFont="1" applyFill="1" applyBorder="1" applyAlignment="1" applyProtection="1">
      <alignment horizontal="center"/>
    </xf>
    <xf numFmtId="0" fontId="37" fillId="4" borderId="11" xfId="193" applyFont="1" applyFill="1" applyBorder="1" applyAlignment="1">
      <alignment horizontal="left"/>
    </xf>
    <xf numFmtId="0" fontId="37" fillId="4" borderId="0" xfId="193" applyFont="1" applyFill="1" applyAlignment="1">
      <alignment horizontal="left"/>
    </xf>
    <xf numFmtId="170" fontId="85" fillId="4" borderId="162" xfId="107" applyNumberFormat="1" applyFont="1" applyFill="1" applyBorder="1" applyAlignment="1" applyProtection="1">
      <alignment horizontal="center"/>
    </xf>
    <xf numFmtId="170" fontId="85" fillId="4" borderId="163" xfId="107" applyNumberFormat="1" applyFont="1" applyFill="1" applyBorder="1" applyAlignment="1" applyProtection="1">
      <alignment horizontal="center"/>
    </xf>
    <xf numFmtId="170" fontId="85" fillId="4" borderId="164" xfId="107" applyNumberFormat="1" applyFont="1" applyFill="1" applyBorder="1" applyAlignment="1" applyProtection="1">
      <alignment horizontal="center"/>
    </xf>
    <xf numFmtId="0" fontId="37" fillId="4" borderId="79" xfId="193" applyFont="1" applyFill="1" applyBorder="1" applyAlignment="1">
      <alignment horizontal="right"/>
    </xf>
    <xf numFmtId="0" fontId="37" fillId="4" borderId="80" xfId="193" applyFont="1" applyFill="1" applyBorder="1" applyAlignment="1">
      <alignment horizontal="right"/>
    </xf>
    <xf numFmtId="170" fontId="85" fillId="4" borderId="11" xfId="107" applyNumberFormat="1" applyFont="1" applyFill="1" applyBorder="1" applyAlignment="1" applyProtection="1">
      <alignment horizontal="center"/>
    </xf>
    <xf numFmtId="170" fontId="85" fillId="4" borderId="0" xfId="107" applyNumberFormat="1" applyFont="1" applyFill="1" applyBorder="1" applyAlignment="1" applyProtection="1">
      <alignment horizontal="center"/>
    </xf>
    <xf numFmtId="170" fontId="85" fillId="4" borderId="15" xfId="107" applyNumberFormat="1" applyFont="1" applyFill="1" applyBorder="1" applyAlignment="1" applyProtection="1">
      <alignment horizontal="center"/>
    </xf>
    <xf numFmtId="1" fontId="108" fillId="4" borderId="98" xfId="193" applyNumberFormat="1" applyFont="1" applyFill="1" applyBorder="1" applyAlignment="1">
      <alignment horizontal="center"/>
    </xf>
    <xf numFmtId="1" fontId="108" fillId="4" borderId="99" xfId="193" applyNumberFormat="1" applyFont="1" applyFill="1" applyBorder="1" applyAlignment="1">
      <alignment horizontal="center"/>
    </xf>
    <xf numFmtId="1" fontId="108" fillId="4" borderId="100" xfId="193" applyNumberFormat="1" applyFont="1" applyFill="1" applyBorder="1" applyAlignment="1">
      <alignment horizontal="center"/>
    </xf>
    <xf numFmtId="170" fontId="108" fillId="4" borderId="101" xfId="107" applyNumberFormat="1" applyFont="1" applyFill="1" applyBorder="1" applyAlignment="1" applyProtection="1">
      <alignment horizontal="center"/>
    </xf>
    <xf numFmtId="170" fontId="108" fillId="4" borderId="99" xfId="107" applyNumberFormat="1" applyFont="1" applyFill="1" applyBorder="1" applyAlignment="1" applyProtection="1">
      <alignment horizontal="center"/>
    </xf>
    <xf numFmtId="170" fontId="108" fillId="4" borderId="102" xfId="107" applyNumberFormat="1" applyFont="1" applyFill="1" applyBorder="1" applyAlignment="1" applyProtection="1">
      <alignment horizontal="center"/>
    </xf>
    <xf numFmtId="1" fontId="108" fillId="0" borderId="92" xfId="193" applyNumberFormat="1" applyFont="1" applyBorder="1" applyAlignment="1">
      <alignment horizontal="center"/>
    </xf>
    <xf numFmtId="1" fontId="108" fillId="0" borderId="90" xfId="193" applyNumberFormat="1" applyFont="1" applyBorder="1" applyAlignment="1">
      <alignment horizontal="center"/>
    </xf>
    <xf numFmtId="1" fontId="108" fillId="0" borderId="93" xfId="193" applyNumberFormat="1" applyFont="1" applyBorder="1" applyAlignment="1">
      <alignment horizontal="center"/>
    </xf>
    <xf numFmtId="1" fontId="108" fillId="4" borderId="92" xfId="193" applyNumberFormat="1" applyFont="1" applyFill="1" applyBorder="1" applyAlignment="1">
      <alignment horizontal="center"/>
    </xf>
    <xf numFmtId="1" fontId="108" fillId="4" borderId="90" xfId="193" applyNumberFormat="1" applyFont="1" applyFill="1" applyBorder="1" applyAlignment="1">
      <alignment horizontal="center"/>
    </xf>
    <xf numFmtId="1" fontId="108" fillId="4" borderId="93" xfId="193" applyNumberFormat="1" applyFont="1" applyFill="1" applyBorder="1" applyAlignment="1">
      <alignment horizontal="center"/>
    </xf>
    <xf numFmtId="1" fontId="24" fillId="0" borderId="0" xfId="193" applyNumberFormat="1" applyFont="1" applyAlignment="1" applyProtection="1">
      <alignment horizontal="center" vertical="center"/>
      <protection locked="0"/>
    </xf>
    <xf numFmtId="2" fontId="108" fillId="4" borderId="92" xfId="193" applyNumberFormat="1" applyFont="1" applyFill="1" applyBorder="1" applyAlignment="1" applyProtection="1">
      <alignment horizontal="center"/>
      <protection locked="0"/>
    </xf>
    <xf numFmtId="2" fontId="108" fillId="4" borderId="90" xfId="193" applyNumberFormat="1" applyFont="1" applyFill="1" applyBorder="1" applyAlignment="1" applyProtection="1">
      <alignment horizontal="center"/>
      <protection locked="0"/>
    </xf>
    <xf numFmtId="2" fontId="108" fillId="4" borderId="93" xfId="193" applyNumberFormat="1" applyFont="1" applyFill="1" applyBorder="1" applyAlignment="1" applyProtection="1">
      <alignment horizontal="center"/>
      <protection locked="0"/>
    </xf>
    <xf numFmtId="1" fontId="15" fillId="2" borderId="81" xfId="193" applyNumberFormat="1" applyFont="1" applyFill="1" applyBorder="1" applyAlignment="1">
      <alignment horizontal="center"/>
    </xf>
    <xf numFmtId="1" fontId="15" fillId="2" borderId="82" xfId="193" applyNumberFormat="1" applyFont="1" applyFill="1" applyBorder="1" applyAlignment="1">
      <alignment horizontal="center"/>
    </xf>
    <xf numFmtId="1" fontId="15" fillId="2" borderId="83" xfId="193" applyNumberFormat="1" applyFont="1" applyFill="1" applyBorder="1" applyAlignment="1">
      <alignment horizontal="center"/>
    </xf>
    <xf numFmtId="1" fontId="15" fillId="2" borderId="84" xfId="193" applyNumberFormat="1" applyFont="1" applyFill="1" applyBorder="1" applyAlignment="1" applyProtection="1">
      <alignment horizontal="center"/>
      <protection locked="0"/>
    </xf>
    <xf numFmtId="1" fontId="15" fillId="2" borderId="82" xfId="193" applyNumberFormat="1" applyFont="1" applyFill="1" applyBorder="1" applyAlignment="1" applyProtection="1">
      <alignment horizontal="center"/>
      <protection locked="0"/>
    </xf>
    <xf numFmtId="1" fontId="15" fillId="2" borderId="85" xfId="193" applyNumberFormat="1" applyFont="1" applyFill="1" applyBorder="1" applyAlignment="1" applyProtection="1">
      <alignment horizontal="center"/>
      <protection locked="0"/>
    </xf>
    <xf numFmtId="170" fontId="108" fillId="4" borderId="81" xfId="193" applyNumberFormat="1" applyFont="1" applyFill="1" applyBorder="1" applyAlignment="1">
      <alignment horizontal="center"/>
    </xf>
    <xf numFmtId="170" fontId="108" fillId="4" borderId="82" xfId="193" applyNumberFormat="1" applyFont="1" applyFill="1" applyBorder="1" applyAlignment="1">
      <alignment horizontal="center"/>
    </xf>
    <xf numFmtId="170" fontId="108" fillId="4" borderId="83" xfId="193" applyNumberFormat="1" applyFont="1" applyFill="1" applyBorder="1" applyAlignment="1">
      <alignment horizontal="center"/>
    </xf>
    <xf numFmtId="170" fontId="84" fillId="4" borderId="84" xfId="107" applyNumberFormat="1" applyFont="1" applyFill="1" applyBorder="1" applyAlignment="1" applyProtection="1">
      <alignment horizontal="center"/>
    </xf>
    <xf numFmtId="170" fontId="84" fillId="4" borderId="82" xfId="107" applyNumberFormat="1" applyFont="1" applyFill="1" applyBorder="1" applyAlignment="1" applyProtection="1">
      <alignment horizontal="center"/>
    </xf>
    <xf numFmtId="170" fontId="84" fillId="4" borderId="85" xfId="107" applyNumberFormat="1" applyFont="1" applyFill="1" applyBorder="1" applyAlignment="1" applyProtection="1">
      <alignment horizontal="center"/>
    </xf>
    <xf numFmtId="170" fontId="84" fillId="4" borderId="98" xfId="193" applyNumberFormat="1" applyFont="1" applyFill="1" applyBorder="1" applyAlignment="1">
      <alignment horizontal="center"/>
    </xf>
    <xf numFmtId="170" fontId="84" fillId="4" borderId="99" xfId="193" applyNumberFormat="1" applyFont="1" applyFill="1" applyBorder="1" applyAlignment="1">
      <alignment horizontal="center"/>
    </xf>
    <xf numFmtId="170" fontId="84" fillId="4" borderId="100" xfId="193" applyNumberFormat="1" applyFont="1" applyFill="1" applyBorder="1" applyAlignment="1">
      <alignment horizontal="center"/>
    </xf>
    <xf numFmtId="170" fontId="84" fillId="4" borderId="101" xfId="107" applyNumberFormat="1" applyFont="1" applyFill="1" applyBorder="1" applyAlignment="1" applyProtection="1">
      <alignment horizontal="center"/>
    </xf>
    <xf numFmtId="170" fontId="84" fillId="4" borderId="99" xfId="107" applyNumberFormat="1" applyFont="1" applyFill="1" applyBorder="1" applyAlignment="1" applyProtection="1">
      <alignment horizontal="center"/>
    </xf>
    <xf numFmtId="170" fontId="84" fillId="4" borderId="102" xfId="107" applyNumberFormat="1" applyFont="1" applyFill="1" applyBorder="1" applyAlignment="1" applyProtection="1">
      <alignment horizontal="center"/>
    </xf>
    <xf numFmtId="0" fontId="15" fillId="2" borderId="9" xfId="193" applyFont="1" applyFill="1" applyBorder="1" applyAlignment="1">
      <alignment horizontal="center" vertical="center"/>
    </xf>
    <xf numFmtId="0" fontId="15" fillId="2" borderId="10" xfId="193" applyFont="1" applyFill="1" applyBorder="1" applyAlignment="1">
      <alignment horizontal="center" vertical="center"/>
    </xf>
    <xf numFmtId="0" fontId="15" fillId="2" borderId="14" xfId="193" applyFont="1" applyFill="1" applyBorder="1" applyAlignment="1">
      <alignment horizontal="center" vertical="center"/>
    </xf>
    <xf numFmtId="1" fontId="15" fillId="2" borderId="9" xfId="193" applyNumberFormat="1" applyFont="1" applyFill="1" applyBorder="1" applyAlignment="1">
      <alignment horizontal="center" vertical="center"/>
    </xf>
    <xf numFmtId="1" fontId="15" fillId="2" borderId="10" xfId="193" applyNumberFormat="1" applyFont="1" applyFill="1" applyBorder="1" applyAlignment="1">
      <alignment horizontal="center" vertical="center"/>
    </xf>
    <xf numFmtId="1" fontId="15" fillId="2" borderId="14" xfId="193" applyNumberFormat="1" applyFont="1" applyFill="1" applyBorder="1" applyAlignment="1">
      <alignment horizontal="center" vertical="center"/>
    </xf>
    <xf numFmtId="170" fontId="108" fillId="0" borderId="98" xfId="193" applyNumberFormat="1" applyFont="1" applyBorder="1" applyAlignment="1">
      <alignment horizontal="center"/>
    </xf>
    <xf numFmtId="170" fontId="108" fillId="0" borderId="99" xfId="193" applyNumberFormat="1" applyFont="1" applyBorder="1" applyAlignment="1">
      <alignment horizontal="center"/>
    </xf>
    <xf numFmtId="170" fontId="108" fillId="0" borderId="100" xfId="193" applyNumberFormat="1" applyFont="1" applyBorder="1" applyAlignment="1">
      <alignment horizontal="center"/>
    </xf>
    <xf numFmtId="170" fontId="108" fillId="0" borderId="102" xfId="193" applyNumberFormat="1" applyFont="1" applyBorder="1" applyAlignment="1">
      <alignment horizontal="center"/>
    </xf>
    <xf numFmtId="0" fontId="12" fillId="0" borderId="2" xfId="193" applyBorder="1" applyAlignment="1">
      <alignment horizontal="center"/>
    </xf>
    <xf numFmtId="170" fontId="108" fillId="0" borderId="89" xfId="193" applyNumberFormat="1" applyFont="1" applyBorder="1" applyAlignment="1">
      <alignment horizontal="center"/>
    </xf>
    <xf numFmtId="170" fontId="108" fillId="0" borderId="90" xfId="193" applyNumberFormat="1" applyFont="1" applyBorder="1" applyAlignment="1">
      <alignment horizontal="center"/>
    </xf>
    <xf numFmtId="170" fontId="108" fillId="0" borderId="91" xfId="193" applyNumberFormat="1" applyFont="1" applyBorder="1" applyAlignment="1">
      <alignment horizontal="center"/>
    </xf>
    <xf numFmtId="170" fontId="108" fillId="0" borderId="92" xfId="193" applyNumberFormat="1" applyFont="1" applyBorder="1" applyAlignment="1">
      <alignment horizontal="center"/>
    </xf>
    <xf numFmtId="170" fontId="108" fillId="0" borderId="93" xfId="193" applyNumberFormat="1" applyFont="1" applyBorder="1" applyAlignment="1">
      <alignment horizontal="center"/>
    </xf>
    <xf numFmtId="170" fontId="108" fillId="0" borderId="86" xfId="193" applyNumberFormat="1" applyFont="1" applyBorder="1" applyAlignment="1">
      <alignment horizontal="center"/>
    </xf>
    <xf numFmtId="170" fontId="108" fillId="0" borderId="87" xfId="193" applyNumberFormat="1" applyFont="1" applyBorder="1" applyAlignment="1">
      <alignment horizontal="center"/>
    </xf>
    <xf numFmtId="170" fontId="108" fillId="0" borderId="94" xfId="193" applyNumberFormat="1" applyFont="1" applyBorder="1" applyAlignment="1">
      <alignment horizontal="center"/>
    </xf>
    <xf numFmtId="0" fontId="0" fillId="0" borderId="7" xfId="193" applyFont="1" applyBorder="1" applyAlignment="1">
      <alignment horizontal="center"/>
    </xf>
    <xf numFmtId="0" fontId="0" fillId="0" borderId="8" xfId="193" applyFont="1" applyBorder="1" applyAlignment="1">
      <alignment horizontal="center"/>
    </xf>
    <xf numFmtId="0" fontId="0" fillId="0" borderId="6" xfId="193" applyFont="1" applyBorder="1" applyAlignment="1">
      <alignment horizontal="center"/>
    </xf>
    <xf numFmtId="170" fontId="108" fillId="0" borderId="89" xfId="193" applyNumberFormat="1" applyFont="1" applyBorder="1" applyAlignment="1" applyProtection="1">
      <alignment horizontal="center"/>
      <protection locked="0"/>
    </xf>
    <xf numFmtId="170" fontId="108" fillId="0" borderId="90" xfId="193" applyNumberFormat="1" applyFont="1" applyBorder="1" applyAlignment="1" applyProtection="1">
      <alignment horizontal="center"/>
      <protection locked="0"/>
    </xf>
    <xf numFmtId="170" fontId="108" fillId="0" borderId="91" xfId="193" applyNumberFormat="1" applyFont="1" applyBorder="1" applyAlignment="1" applyProtection="1">
      <alignment horizontal="center"/>
      <protection locked="0"/>
    </xf>
    <xf numFmtId="170" fontId="108" fillId="0" borderId="93" xfId="193" applyNumberFormat="1" applyFont="1" applyBorder="1" applyAlignment="1" applyProtection="1">
      <alignment horizontal="center"/>
      <protection locked="0"/>
    </xf>
    <xf numFmtId="0" fontId="0" fillId="0" borderId="2" xfId="193" applyFont="1" applyBorder="1" applyAlignment="1">
      <alignment horizontal="center"/>
    </xf>
    <xf numFmtId="0" fontId="38" fillId="14" borderId="81" xfId="200" applyFont="1" applyFill="1" applyBorder="1" applyAlignment="1">
      <alignment horizontal="center" vertical="center"/>
    </xf>
    <xf numFmtId="0" fontId="38" fillId="14" borderId="82" xfId="200" applyFont="1" applyFill="1" applyBorder="1" applyAlignment="1">
      <alignment horizontal="center" vertical="center"/>
    </xf>
    <xf numFmtId="0" fontId="38" fillId="14" borderId="85" xfId="200" applyFont="1" applyFill="1" applyBorder="1" applyAlignment="1">
      <alignment horizontal="center" vertical="center"/>
    </xf>
    <xf numFmtId="1" fontId="14" fillId="3" borderId="81" xfId="193" applyNumberFormat="1" applyFont="1" applyFill="1" applyBorder="1" applyAlignment="1" applyProtection="1">
      <alignment horizontal="center"/>
      <protection locked="0"/>
    </xf>
    <xf numFmtId="1" fontId="14" fillId="3" borderId="82" xfId="193" applyNumberFormat="1" applyFont="1" applyFill="1" applyBorder="1" applyAlignment="1" applyProtection="1">
      <alignment horizontal="center"/>
      <protection locked="0"/>
    </xf>
    <xf numFmtId="1" fontId="14" fillId="3" borderId="83" xfId="193" applyNumberFormat="1" applyFont="1" applyFill="1" applyBorder="1" applyAlignment="1" applyProtection="1">
      <alignment horizontal="center"/>
      <protection locked="0"/>
    </xf>
    <xf numFmtId="1" fontId="14" fillId="3" borderId="81" xfId="193" applyNumberFormat="1" applyFont="1" applyFill="1" applyBorder="1" applyAlignment="1">
      <alignment horizontal="center"/>
    </xf>
    <xf numFmtId="1" fontId="14" fillId="3" borderId="82" xfId="193" applyNumberFormat="1" applyFont="1" applyFill="1" applyBorder="1" applyAlignment="1">
      <alignment horizontal="center"/>
    </xf>
    <xf numFmtId="1" fontId="14" fillId="3" borderId="85" xfId="193" applyNumberFormat="1" applyFont="1" applyFill="1" applyBorder="1" applyAlignment="1">
      <alignment horizontal="center"/>
    </xf>
    <xf numFmtId="0" fontId="15" fillId="2" borderId="11" xfId="193" applyFont="1" applyFill="1" applyBorder="1" applyAlignment="1">
      <alignment horizontal="left" vertical="center"/>
    </xf>
    <xf numFmtId="0" fontId="15" fillId="2" borderId="0" xfId="193" applyFont="1" applyFill="1" applyAlignment="1">
      <alignment horizontal="left" vertical="center"/>
    </xf>
    <xf numFmtId="0" fontId="15" fillId="2" borderId="0" xfId="193" applyFont="1" applyFill="1" applyAlignment="1">
      <alignment horizontal="center" vertical="center"/>
    </xf>
    <xf numFmtId="0" fontId="15" fillId="2" borderId="0" xfId="193" applyFont="1" applyFill="1" applyAlignment="1">
      <alignment horizontal="center" vertical="center" wrapText="1"/>
    </xf>
    <xf numFmtId="0" fontId="15" fillId="2" borderId="15" xfId="193" applyFont="1" applyFill="1" applyBorder="1" applyAlignment="1">
      <alignment horizontal="center" vertical="center" wrapText="1"/>
    </xf>
    <xf numFmtId="0" fontId="38" fillId="4" borderId="11" xfId="193" applyFont="1" applyFill="1" applyBorder="1" applyAlignment="1">
      <alignment horizontal="left"/>
    </xf>
    <xf numFmtId="0" fontId="38" fillId="4" borderId="0" xfId="193" applyFont="1" applyFill="1" applyAlignment="1">
      <alignment horizontal="left"/>
    </xf>
    <xf numFmtId="170" fontId="84" fillId="4" borderId="19" xfId="193" applyNumberFormat="1" applyFont="1" applyFill="1" applyBorder="1" applyAlignment="1">
      <alignment horizontal="center"/>
    </xf>
    <xf numFmtId="170" fontId="84" fillId="4" borderId="0" xfId="193" applyNumberFormat="1" applyFont="1" applyFill="1" applyAlignment="1">
      <alignment horizontal="center"/>
    </xf>
    <xf numFmtId="170" fontId="84" fillId="4" borderId="28" xfId="193" applyNumberFormat="1" applyFont="1" applyFill="1" applyBorder="1" applyAlignment="1">
      <alignment horizontal="center"/>
    </xf>
    <xf numFmtId="170" fontId="84" fillId="4" borderId="15" xfId="193" applyNumberFormat="1" applyFont="1" applyFill="1" applyBorder="1" applyAlignment="1">
      <alignment horizontal="center"/>
    </xf>
    <xf numFmtId="0" fontId="38" fillId="4" borderId="9" xfId="193" applyFont="1" applyFill="1" applyBorder="1" applyAlignment="1">
      <alignment horizontal="left"/>
    </xf>
    <xf numFmtId="0" fontId="38" fillId="4" borderId="10" xfId="193" applyFont="1" applyFill="1" applyBorder="1" applyAlignment="1">
      <alignment horizontal="left"/>
    </xf>
    <xf numFmtId="173" fontId="84" fillId="4" borderId="35" xfId="193" applyNumberFormat="1" applyFont="1" applyFill="1" applyBorder="1" applyAlignment="1">
      <alignment horizontal="center"/>
    </xf>
    <xf numFmtId="173" fontId="84" fillId="4" borderId="10" xfId="193" applyNumberFormat="1" applyFont="1" applyFill="1" applyBorder="1" applyAlignment="1">
      <alignment horizontal="center"/>
    </xf>
    <xf numFmtId="173" fontId="84" fillId="4" borderId="116" xfId="193" applyNumberFormat="1" applyFont="1" applyFill="1" applyBorder="1" applyAlignment="1">
      <alignment horizontal="center"/>
    </xf>
    <xf numFmtId="173" fontId="84" fillId="4" borderId="14" xfId="193" applyNumberFormat="1" applyFont="1" applyFill="1" applyBorder="1" applyAlignment="1">
      <alignment horizontal="center"/>
    </xf>
    <xf numFmtId="173" fontId="84" fillId="4" borderId="19" xfId="193" applyNumberFormat="1" applyFont="1" applyFill="1" applyBorder="1" applyAlignment="1">
      <alignment horizontal="center"/>
    </xf>
    <xf numFmtId="173" fontId="84" fillId="4" borderId="0" xfId="193" applyNumberFormat="1" applyFont="1" applyFill="1" applyAlignment="1">
      <alignment horizontal="center"/>
    </xf>
    <xf numFmtId="173" fontId="84" fillId="4" borderId="28" xfId="193" applyNumberFormat="1" applyFont="1" applyFill="1" applyBorder="1" applyAlignment="1">
      <alignment horizontal="center"/>
    </xf>
    <xf numFmtId="173" fontId="84" fillId="4" borderId="15" xfId="193" applyNumberFormat="1" applyFont="1" applyFill="1" applyBorder="1" applyAlignment="1">
      <alignment horizontal="center"/>
    </xf>
    <xf numFmtId="170" fontId="108" fillId="0" borderId="101" xfId="193" applyNumberFormat="1" applyFont="1" applyBorder="1" applyAlignment="1">
      <alignment horizontal="center"/>
    </xf>
    <xf numFmtId="170" fontId="108" fillId="0" borderId="89" xfId="107" applyNumberFormat="1" applyFont="1" applyFill="1" applyBorder="1" applyAlignment="1" applyProtection="1">
      <alignment horizontal="center"/>
    </xf>
    <xf numFmtId="170" fontId="108" fillId="0" borderId="90" xfId="107" applyNumberFormat="1" applyFont="1" applyFill="1" applyBorder="1" applyAlignment="1" applyProtection="1">
      <alignment horizontal="center"/>
    </xf>
    <xf numFmtId="170" fontId="108" fillId="0" borderId="91" xfId="107" applyNumberFormat="1" applyFont="1" applyFill="1" applyBorder="1" applyAlignment="1" applyProtection="1">
      <alignment horizontal="center"/>
    </xf>
    <xf numFmtId="170" fontId="108" fillId="0" borderId="87" xfId="107" applyNumberFormat="1" applyFont="1" applyFill="1" applyBorder="1" applyAlignment="1" applyProtection="1">
      <alignment horizontal="center"/>
    </xf>
    <xf numFmtId="170" fontId="108" fillId="0" borderId="165" xfId="107" applyNumberFormat="1" applyFont="1" applyFill="1" applyBorder="1" applyAlignment="1" applyProtection="1">
      <alignment horizontal="center"/>
    </xf>
    <xf numFmtId="170" fontId="108" fillId="0" borderId="94" xfId="107" applyNumberFormat="1" applyFont="1" applyFill="1" applyBorder="1" applyAlignment="1" applyProtection="1">
      <alignment horizontal="center"/>
    </xf>
    <xf numFmtId="170" fontId="108" fillId="0" borderId="166" xfId="107" applyNumberFormat="1" applyFont="1" applyFill="1" applyBorder="1" applyAlignment="1" applyProtection="1">
      <alignment horizontal="center"/>
    </xf>
    <xf numFmtId="170" fontId="108" fillId="0" borderId="88" xfId="107" applyNumberFormat="1" applyFont="1" applyFill="1" applyBorder="1" applyAlignment="1" applyProtection="1">
      <alignment horizontal="center"/>
    </xf>
    <xf numFmtId="173" fontId="108" fillId="4" borderId="89" xfId="193" applyNumberFormat="1" applyFont="1" applyFill="1" applyBorder="1" applyAlignment="1">
      <alignment horizontal="center"/>
    </xf>
    <xf numFmtId="173" fontId="108" fillId="4" borderId="90" xfId="193" applyNumberFormat="1" applyFont="1" applyFill="1" applyBorder="1" applyAlignment="1">
      <alignment horizontal="center"/>
    </xf>
    <xf numFmtId="173" fontId="108" fillId="4" borderId="91" xfId="193" applyNumberFormat="1" applyFont="1" applyFill="1" applyBorder="1" applyAlignment="1">
      <alignment horizontal="center"/>
    </xf>
    <xf numFmtId="173" fontId="108" fillId="4" borderId="92" xfId="193" applyNumberFormat="1" applyFont="1" applyFill="1" applyBorder="1" applyAlignment="1">
      <alignment horizontal="center"/>
    </xf>
    <xf numFmtId="173" fontId="108" fillId="4" borderId="93" xfId="193" applyNumberFormat="1" applyFont="1" applyFill="1" applyBorder="1" applyAlignment="1">
      <alignment horizontal="center"/>
    </xf>
    <xf numFmtId="170" fontId="108" fillId="4" borderId="89" xfId="193" applyNumberFormat="1" applyFont="1" applyFill="1" applyBorder="1" applyAlignment="1">
      <alignment horizontal="center"/>
    </xf>
    <xf numFmtId="170" fontId="108" fillId="4" borderId="90" xfId="193" applyNumberFormat="1" applyFont="1" applyFill="1" applyBorder="1" applyAlignment="1">
      <alignment horizontal="center"/>
    </xf>
    <xf numFmtId="170" fontId="108" fillId="4" borderId="91" xfId="193" applyNumberFormat="1" applyFont="1" applyFill="1" applyBorder="1" applyAlignment="1">
      <alignment horizontal="center"/>
    </xf>
    <xf numFmtId="170" fontId="108" fillId="4" borderId="92" xfId="193" applyNumberFormat="1" applyFont="1" applyFill="1" applyBorder="1" applyAlignment="1">
      <alignment horizontal="center"/>
    </xf>
    <xf numFmtId="170" fontId="108" fillId="4" borderId="93" xfId="193" applyNumberFormat="1" applyFont="1" applyFill="1" applyBorder="1" applyAlignment="1">
      <alignment horizontal="center"/>
    </xf>
    <xf numFmtId="170" fontId="108" fillId="0" borderId="92" xfId="193" applyNumberFormat="1" applyFont="1" applyBorder="1" applyAlignment="1" applyProtection="1">
      <alignment horizontal="center"/>
      <protection locked="0"/>
    </xf>
    <xf numFmtId="0" fontId="12" fillId="0" borderId="8" xfId="193" applyBorder="1" applyAlignment="1">
      <alignment horizontal="center"/>
    </xf>
    <xf numFmtId="0" fontId="12" fillId="0" borderId="6" xfId="193" applyBorder="1" applyAlignment="1">
      <alignment horizontal="center"/>
    </xf>
    <xf numFmtId="1" fontId="24" fillId="0" borderId="7" xfId="193" applyNumberFormat="1" applyFont="1" applyBorder="1" applyAlignment="1" applyProtection="1">
      <alignment horizontal="center" vertical="center"/>
      <protection locked="0"/>
    </xf>
    <xf numFmtId="1" fontId="24" fillId="0" borderId="6" xfId="193" applyNumberFormat="1" applyFont="1" applyBorder="1" applyAlignment="1" applyProtection="1">
      <alignment horizontal="center" vertical="center"/>
      <protection locked="0"/>
    </xf>
    <xf numFmtId="0" fontId="12" fillId="0" borderId="8" xfId="193" applyBorder="1" applyAlignment="1">
      <alignment horizontal="center" vertical="center"/>
    </xf>
    <xf numFmtId="0" fontId="12" fillId="0" borderId="6" xfId="193" applyBorder="1" applyAlignment="1">
      <alignment horizontal="center" vertical="center"/>
    </xf>
    <xf numFmtId="1" fontId="15" fillId="2" borderId="82" xfId="193" applyNumberFormat="1" applyFont="1" applyFill="1" applyBorder="1" applyAlignment="1" applyProtection="1">
      <alignment horizontal="center" vertical="center"/>
      <protection locked="0"/>
    </xf>
    <xf numFmtId="1" fontId="15" fillId="2" borderId="85" xfId="193" applyNumberFormat="1" applyFont="1" applyFill="1" applyBorder="1" applyAlignment="1" applyProtection="1">
      <alignment horizontal="center" vertical="center"/>
      <protection locked="0"/>
    </xf>
    <xf numFmtId="1" fontId="24" fillId="0" borderId="8" xfId="193" applyNumberFormat="1" applyFont="1" applyBorder="1" applyAlignment="1" applyProtection="1">
      <alignment horizontal="center" vertical="center"/>
      <protection locked="0"/>
    </xf>
    <xf numFmtId="0" fontId="37" fillId="0" borderId="12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37" fillId="0" borderId="5" xfId="0" applyFont="1" applyBorder="1" applyAlignment="1">
      <alignment horizontal="left" vertical="center" wrapText="1"/>
    </xf>
    <xf numFmtId="190" fontId="38" fillId="4" borderId="5" xfId="78" applyNumberFormat="1" applyFont="1" applyFill="1" applyBorder="1" applyAlignment="1" applyProtection="1">
      <alignment horizontal="left" vertical="center"/>
      <protection locked="0"/>
    </xf>
    <xf numFmtId="190" fontId="38" fillId="4" borderId="13" xfId="78" applyNumberFormat="1" applyFont="1" applyFill="1" applyBorder="1" applyAlignment="1" applyProtection="1">
      <alignment horizontal="left" vertical="center"/>
      <protection locked="0"/>
    </xf>
    <xf numFmtId="0" fontId="15" fillId="2" borderId="78" xfId="193" applyFont="1" applyFill="1" applyBorder="1" applyAlignment="1">
      <alignment horizontal="left" vertical="center"/>
    </xf>
    <xf numFmtId="0" fontId="15" fillId="2" borderId="79" xfId="193" applyFont="1" applyFill="1" applyBorder="1" applyAlignment="1">
      <alignment horizontal="left" vertical="center"/>
    </xf>
    <xf numFmtId="0" fontId="15" fillId="2" borderId="80" xfId="193" applyFont="1" applyFill="1" applyBorder="1" applyAlignment="1">
      <alignment horizontal="left" vertical="center"/>
    </xf>
    <xf numFmtId="1" fontId="15" fillId="2" borderId="81" xfId="193" applyNumberFormat="1" applyFont="1" applyFill="1" applyBorder="1" applyAlignment="1" applyProtection="1">
      <alignment horizontal="center" vertical="center"/>
      <protection locked="0"/>
    </xf>
    <xf numFmtId="1" fontId="15" fillId="2" borderId="83" xfId="193" applyNumberFormat="1" applyFont="1" applyFill="1" applyBorder="1" applyAlignment="1" applyProtection="1">
      <alignment horizontal="center" vertical="center"/>
      <protection locked="0"/>
    </xf>
    <xf numFmtId="1" fontId="15" fillId="2" borderId="84" xfId="193" applyNumberFormat="1" applyFont="1" applyFill="1" applyBorder="1" applyAlignment="1" applyProtection="1">
      <alignment horizontal="center" vertical="center"/>
      <protection locked="0"/>
    </xf>
    <xf numFmtId="0" fontId="37" fillId="0" borderId="11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38" fillId="4" borderId="0" xfId="78" applyFont="1" applyFill="1" applyAlignment="1">
      <alignment horizontal="left" vertical="center"/>
    </xf>
    <xf numFmtId="190" fontId="38" fillId="4" borderId="0" xfId="78" applyNumberFormat="1" applyFont="1" applyFill="1" applyAlignment="1" applyProtection="1">
      <alignment horizontal="left" vertical="center"/>
      <protection locked="0"/>
    </xf>
    <xf numFmtId="190" fontId="38" fillId="4" borderId="15" xfId="78" applyNumberFormat="1" applyFont="1" applyFill="1" applyBorder="1" applyAlignment="1" applyProtection="1">
      <alignment horizontal="left" vertical="center"/>
      <protection locked="0"/>
    </xf>
    <xf numFmtId="0" fontId="37" fillId="0" borderId="11" xfId="103" applyFont="1" applyBorder="1" applyAlignment="1">
      <alignment vertical="center"/>
    </xf>
    <xf numFmtId="0" fontId="37" fillId="0" borderId="0" xfId="103" applyFont="1" applyAlignment="1">
      <alignment vertical="center"/>
    </xf>
    <xf numFmtId="190" fontId="38" fillId="4" borderId="0" xfId="78" applyNumberFormat="1" applyFont="1" applyFill="1" applyAlignment="1">
      <alignment horizontal="left" vertical="center"/>
    </xf>
    <xf numFmtId="190" fontId="38" fillId="4" borderId="15" xfId="78" applyNumberFormat="1" applyFont="1" applyFill="1" applyBorder="1" applyAlignment="1">
      <alignment horizontal="left" vertical="center"/>
    </xf>
    <xf numFmtId="0" fontId="37" fillId="0" borderId="9" xfId="0" applyFont="1" applyBorder="1" applyAlignment="1">
      <alignment vertical="center"/>
    </xf>
    <xf numFmtId="0" fontId="37" fillId="0" borderId="10" xfId="0" applyFont="1" applyBorder="1" applyAlignment="1">
      <alignment vertical="center"/>
    </xf>
    <xf numFmtId="0" fontId="38" fillId="4" borderId="10" xfId="78" applyFont="1" applyFill="1" applyBorder="1" applyAlignment="1">
      <alignment horizontal="left" vertical="center"/>
    </xf>
    <xf numFmtId="0" fontId="12" fillId="4" borderId="9" xfId="78" applyFill="1" applyBorder="1" applyAlignment="1">
      <alignment horizontal="center"/>
    </xf>
    <xf numFmtId="0" fontId="12" fillId="4" borderId="10" xfId="78" applyFill="1" applyBorder="1" applyAlignment="1">
      <alignment horizontal="center"/>
    </xf>
    <xf numFmtId="0" fontId="12" fillId="4" borderId="14" xfId="78" applyFill="1" applyBorder="1" applyAlignment="1">
      <alignment horizontal="center"/>
    </xf>
    <xf numFmtId="0" fontId="12" fillId="4" borderId="11" xfId="78" applyFill="1" applyBorder="1" applyAlignment="1">
      <alignment horizontal="center"/>
    </xf>
    <xf numFmtId="0" fontId="12" fillId="4" borderId="0" xfId="78" applyFill="1" applyAlignment="1">
      <alignment horizontal="center"/>
    </xf>
    <xf numFmtId="0" fontId="12" fillId="4" borderId="15" xfId="78" applyFill="1" applyBorder="1" applyAlignment="1">
      <alignment horizontal="center"/>
    </xf>
    <xf numFmtId="0" fontId="13" fillId="4" borderId="9" xfId="78" applyFont="1" applyFill="1" applyBorder="1" applyAlignment="1">
      <alignment horizontal="center" vertical="center"/>
    </xf>
    <xf numFmtId="0" fontId="13" fillId="4" borderId="10" xfId="78" applyFont="1" applyFill="1" applyBorder="1" applyAlignment="1">
      <alignment horizontal="center" vertical="center"/>
    </xf>
    <xf numFmtId="0" fontId="13" fillId="4" borderId="14" xfId="78" applyFont="1" applyFill="1" applyBorder="1" applyAlignment="1">
      <alignment horizontal="center" vertical="center"/>
    </xf>
    <xf numFmtId="0" fontId="13" fillId="4" borderId="12" xfId="78" applyFont="1" applyFill="1" applyBorder="1" applyAlignment="1">
      <alignment horizontal="center" vertical="center" wrapText="1"/>
    </xf>
    <xf numFmtId="0" fontId="13" fillId="4" borderId="5" xfId="78" applyFont="1" applyFill="1" applyBorder="1" applyAlignment="1">
      <alignment horizontal="center" vertical="center" wrapText="1"/>
    </xf>
    <xf numFmtId="0" fontId="13" fillId="4" borderId="13" xfId="78" applyFont="1" applyFill="1" applyBorder="1" applyAlignment="1">
      <alignment horizontal="center" vertical="center" wrapText="1"/>
    </xf>
    <xf numFmtId="0" fontId="107" fillId="4" borderId="9" xfId="89" applyFont="1" applyFill="1" applyBorder="1" applyAlignment="1">
      <alignment horizontal="left" vertical="center" wrapText="1"/>
    </xf>
    <xf numFmtId="0" fontId="107" fillId="4" borderId="10" xfId="89" applyFont="1" applyFill="1" applyBorder="1" applyAlignment="1">
      <alignment horizontal="left" vertical="center" wrapText="1"/>
    </xf>
    <xf numFmtId="0" fontId="107" fillId="4" borderId="14" xfId="89" applyFont="1" applyFill="1" applyBorder="1" applyAlignment="1">
      <alignment horizontal="left" vertical="center" wrapText="1"/>
    </xf>
    <xf numFmtId="0" fontId="107" fillId="4" borderId="9" xfId="89" applyFont="1" applyFill="1" applyBorder="1" applyAlignment="1">
      <alignment horizontal="left" vertical="center"/>
    </xf>
    <xf numFmtId="0" fontId="107" fillId="4" borderId="10" xfId="89" applyFont="1" applyFill="1" applyBorder="1" applyAlignment="1">
      <alignment horizontal="left" vertical="center"/>
    </xf>
    <xf numFmtId="0" fontId="107" fillId="4" borderId="14" xfId="89" applyFont="1" applyFill="1" applyBorder="1" applyAlignment="1">
      <alignment horizontal="left" vertical="center"/>
    </xf>
    <xf numFmtId="0" fontId="0" fillId="0" borderId="2" xfId="0" applyBorder="1" applyAlignment="1">
      <alignment horizontal="center"/>
    </xf>
    <xf numFmtId="0" fontId="28" fillId="4" borderId="7" xfId="0" applyFont="1" applyFill="1" applyBorder="1" applyAlignment="1">
      <alignment horizontal="center" vertical="center" wrapText="1"/>
    </xf>
    <xf numFmtId="0" fontId="28" fillId="4" borderId="8" xfId="0" applyFont="1" applyFill="1" applyBorder="1" applyAlignment="1">
      <alignment horizontal="center" vertical="center" wrapText="1"/>
    </xf>
    <xf numFmtId="0" fontId="28" fillId="4" borderId="15" xfId="0" applyFont="1" applyFill="1" applyBorder="1" applyAlignment="1">
      <alignment horizontal="center" vertical="center" wrapText="1"/>
    </xf>
    <xf numFmtId="0" fontId="28" fillId="4" borderId="7" xfId="132" applyFont="1" applyFill="1" applyBorder="1" applyAlignment="1">
      <alignment horizontal="center" vertical="center" wrapText="1"/>
    </xf>
    <xf numFmtId="0" fontId="28" fillId="4" borderId="8" xfId="132" applyFont="1" applyFill="1" applyBorder="1" applyAlignment="1">
      <alignment horizontal="center" vertical="center" wrapText="1"/>
    </xf>
    <xf numFmtId="0" fontId="28" fillId="4" borderId="15" xfId="132" applyFont="1" applyFill="1" applyBorder="1" applyAlignment="1">
      <alignment horizontal="center" vertical="center" wrapText="1"/>
    </xf>
  </cellXfs>
  <cellStyles count="202">
    <cellStyle name="CIENTOS" xfId="1" xr:uid="{00000000-0005-0000-0000-000000000000}"/>
    <cellStyle name="CIENTOS 2D" xfId="2" xr:uid="{00000000-0005-0000-0000-000001000000}"/>
    <cellStyle name="CIENTOS 3D" xfId="3" xr:uid="{00000000-0005-0000-0000-000002000000}"/>
    <cellStyle name="CIENTOS 4D" xfId="4" xr:uid="{00000000-0005-0000-0000-000003000000}"/>
    <cellStyle name="CIENTOS_Acta 01 Sep15 a Oct 31_07 Rogelio" xfId="5" xr:uid="{00000000-0005-0000-0000-000004000000}"/>
    <cellStyle name="Comma" xfId="6" xr:uid="{00000000-0005-0000-0000-000005000000}"/>
    <cellStyle name="Comma0" xfId="7" xr:uid="{00000000-0005-0000-0000-000006000000}"/>
    <cellStyle name="Comma0 - Modelo5" xfId="8" xr:uid="{00000000-0005-0000-0000-000007000000}"/>
    <cellStyle name="Comma1 - Modelo1" xfId="9" xr:uid="{00000000-0005-0000-0000-000008000000}"/>
    <cellStyle name="Curren - Modelo2" xfId="10" xr:uid="{00000000-0005-0000-0000-000009000000}"/>
    <cellStyle name="Curren - Modelo6" xfId="11" xr:uid="{00000000-0005-0000-0000-00000A000000}"/>
    <cellStyle name="Currency" xfId="12" xr:uid="{00000000-0005-0000-0000-00000B000000}"/>
    <cellStyle name="Currency0" xfId="13" xr:uid="{00000000-0005-0000-0000-00000C000000}"/>
    <cellStyle name="Date" xfId="14" xr:uid="{00000000-0005-0000-0000-00000D000000}"/>
    <cellStyle name="Date - Modelo4" xfId="15" xr:uid="{00000000-0005-0000-0000-00000E000000}"/>
    <cellStyle name="Euro" xfId="16" xr:uid="{00000000-0005-0000-0000-00000F000000}"/>
    <cellStyle name="Euro 2" xfId="17" xr:uid="{00000000-0005-0000-0000-000010000000}"/>
    <cellStyle name="Euro 3" xfId="18" xr:uid="{00000000-0005-0000-0000-000011000000}"/>
    <cellStyle name="Euro 4" xfId="19" xr:uid="{00000000-0005-0000-0000-000012000000}"/>
    <cellStyle name="Euro 5" xfId="20" xr:uid="{00000000-0005-0000-0000-000013000000}"/>
    <cellStyle name="Euro_ACTAS DE OBRA CONTRATO" xfId="21" xr:uid="{00000000-0005-0000-0000-000014000000}"/>
    <cellStyle name="F2" xfId="22" xr:uid="{00000000-0005-0000-0000-000015000000}"/>
    <cellStyle name="F3" xfId="23" xr:uid="{00000000-0005-0000-0000-000016000000}"/>
    <cellStyle name="F4" xfId="24" xr:uid="{00000000-0005-0000-0000-000017000000}"/>
    <cellStyle name="F5" xfId="25" xr:uid="{00000000-0005-0000-0000-000018000000}"/>
    <cellStyle name="F6" xfId="26" xr:uid="{00000000-0005-0000-0000-000019000000}"/>
    <cellStyle name="F7" xfId="27" xr:uid="{00000000-0005-0000-0000-00001A000000}"/>
    <cellStyle name="F8" xfId="28" xr:uid="{00000000-0005-0000-0000-00001B000000}"/>
    <cellStyle name="Fixed" xfId="29" xr:uid="{00000000-0005-0000-0000-00001C000000}"/>
    <cellStyle name="Heading 1" xfId="30" xr:uid="{00000000-0005-0000-0000-00001D000000}"/>
    <cellStyle name="Heading 2" xfId="31" xr:uid="{00000000-0005-0000-0000-00001E000000}"/>
    <cellStyle name="Heading1" xfId="32" xr:uid="{00000000-0005-0000-0000-00001F000000}"/>
    <cellStyle name="Heading2" xfId="33" xr:uid="{00000000-0005-0000-0000-000020000000}"/>
    <cellStyle name="MILE DE MILLONES" xfId="34" xr:uid="{00000000-0005-0000-0000-000021000000}"/>
    <cellStyle name="MILES" xfId="35" xr:uid="{00000000-0005-0000-0000-000022000000}"/>
    <cellStyle name="Millares [0] 2" xfId="36" xr:uid="{00000000-0005-0000-0000-000023000000}"/>
    <cellStyle name="Millares [0] 2 2" xfId="37" xr:uid="{00000000-0005-0000-0000-000024000000}"/>
    <cellStyle name="Millares [0] 2 2 2" xfId="127" xr:uid="{00000000-0005-0000-0000-000025000000}"/>
    <cellStyle name="Millares [0] 2 2 2 2" xfId="170" xr:uid="{00000000-0005-0000-0000-000026000000}"/>
    <cellStyle name="Millares [0] 2 3" xfId="38" xr:uid="{00000000-0005-0000-0000-000027000000}"/>
    <cellStyle name="Millares [0] 2 3 2" xfId="128" xr:uid="{00000000-0005-0000-0000-000028000000}"/>
    <cellStyle name="Millares [0] 2 3 2 2" xfId="171" xr:uid="{00000000-0005-0000-0000-000029000000}"/>
    <cellStyle name="Millares [0] 2 4" xfId="39" xr:uid="{00000000-0005-0000-0000-00002A000000}"/>
    <cellStyle name="Millares [0] 2 4 2" xfId="129" xr:uid="{00000000-0005-0000-0000-00002B000000}"/>
    <cellStyle name="Millares [0] 2 4 2 2" xfId="172" xr:uid="{00000000-0005-0000-0000-00002C000000}"/>
    <cellStyle name="Millares [0] 2 5" xfId="40" xr:uid="{00000000-0005-0000-0000-00002D000000}"/>
    <cellStyle name="Millares [0] 2 5 2" xfId="130" xr:uid="{00000000-0005-0000-0000-00002E000000}"/>
    <cellStyle name="Millares [0] 2 5 2 2" xfId="173" xr:uid="{00000000-0005-0000-0000-00002F000000}"/>
    <cellStyle name="Millares [0] 2 6" xfId="126" xr:uid="{00000000-0005-0000-0000-000030000000}"/>
    <cellStyle name="Millares [0] 2 6 2" xfId="169" xr:uid="{00000000-0005-0000-0000-000031000000}"/>
    <cellStyle name="Millares 10" xfId="41" xr:uid="{00000000-0005-0000-0000-000032000000}"/>
    <cellStyle name="Millares 11" xfId="42" xr:uid="{00000000-0005-0000-0000-000033000000}"/>
    <cellStyle name="Millares 12" xfId="43" xr:uid="{00000000-0005-0000-0000-000034000000}"/>
    <cellStyle name="Millares 13" xfId="44" xr:uid="{00000000-0005-0000-0000-000035000000}"/>
    <cellStyle name="Millares 14" xfId="45" xr:uid="{00000000-0005-0000-0000-000036000000}"/>
    <cellStyle name="Millares 15" xfId="46" xr:uid="{00000000-0005-0000-0000-000037000000}"/>
    <cellStyle name="Millares 2" xfId="47" xr:uid="{00000000-0005-0000-0000-000038000000}"/>
    <cellStyle name="Millares 2 2" xfId="124" xr:uid="{00000000-0005-0000-0000-000039000000}"/>
    <cellStyle name="Millares 2 2 2" xfId="148" xr:uid="{00000000-0005-0000-0000-00003A000000}"/>
    <cellStyle name="Millares 2 2 2 2" xfId="191" xr:uid="{00000000-0005-0000-0000-00003B000000}"/>
    <cellStyle name="Millares 2 2 3" xfId="168" xr:uid="{00000000-0005-0000-0000-00003C000000}"/>
    <cellStyle name="Millares 3" xfId="48" xr:uid="{00000000-0005-0000-0000-00003D000000}"/>
    <cellStyle name="Millares 3 2" xfId="49" xr:uid="{00000000-0005-0000-0000-00003E000000}"/>
    <cellStyle name="Millares 3 2 2" xfId="131" xr:uid="{00000000-0005-0000-0000-00003F000000}"/>
    <cellStyle name="Millares 3 2 2 2" xfId="174" xr:uid="{00000000-0005-0000-0000-000040000000}"/>
    <cellStyle name="Millares 4" xfId="50" xr:uid="{00000000-0005-0000-0000-000041000000}"/>
    <cellStyle name="Millares 5" xfId="51" xr:uid="{00000000-0005-0000-0000-000042000000}"/>
    <cellStyle name="Millares 6" xfId="52" xr:uid="{00000000-0005-0000-0000-000043000000}"/>
    <cellStyle name="Millares 7" xfId="53" xr:uid="{00000000-0005-0000-0000-000044000000}"/>
    <cellStyle name="Millares 8" xfId="54" xr:uid="{00000000-0005-0000-0000-000045000000}"/>
    <cellStyle name="Millares 9" xfId="55" xr:uid="{00000000-0005-0000-0000-000046000000}"/>
    <cellStyle name="MILLONES" xfId="56" xr:uid="{00000000-0005-0000-0000-000047000000}"/>
    <cellStyle name="Moneda 10" xfId="57" xr:uid="{00000000-0005-0000-0000-000048000000}"/>
    <cellStyle name="Moneda 11" xfId="58" xr:uid="{00000000-0005-0000-0000-000049000000}"/>
    <cellStyle name="Moneda 12" xfId="59" xr:uid="{00000000-0005-0000-0000-00004A000000}"/>
    <cellStyle name="Moneda 13" xfId="60" xr:uid="{00000000-0005-0000-0000-00004B000000}"/>
    <cellStyle name="Moneda 2" xfId="61" xr:uid="{00000000-0005-0000-0000-00004C000000}"/>
    <cellStyle name="Moneda 3" xfId="62" xr:uid="{00000000-0005-0000-0000-00004D000000}"/>
    <cellStyle name="Moneda 4" xfId="63" xr:uid="{00000000-0005-0000-0000-00004E000000}"/>
    <cellStyle name="Moneda 5" xfId="64" xr:uid="{00000000-0005-0000-0000-00004F000000}"/>
    <cellStyle name="Moneda 6" xfId="65" xr:uid="{00000000-0005-0000-0000-000050000000}"/>
    <cellStyle name="Moneda 7" xfId="66" xr:uid="{00000000-0005-0000-0000-000051000000}"/>
    <cellStyle name="Moneda 8" xfId="67" xr:uid="{00000000-0005-0000-0000-000052000000}"/>
    <cellStyle name="Moneda 9" xfId="68" xr:uid="{00000000-0005-0000-0000-000053000000}"/>
    <cellStyle name="Monetario0" xfId="69" xr:uid="{00000000-0005-0000-0000-000054000000}"/>
    <cellStyle name="Nïrmal_PROINVER" xfId="70" xr:uid="{00000000-0005-0000-0000-000055000000}"/>
    <cellStyle name="No. punto" xfId="71" xr:uid="{00000000-0005-0000-0000-000056000000}"/>
    <cellStyle name="Normal" xfId="0" builtinId="0"/>
    <cellStyle name="Normal 10" xfId="72" xr:uid="{00000000-0005-0000-0000-000058000000}"/>
    <cellStyle name="Normal 10 2" xfId="132" xr:uid="{00000000-0005-0000-0000-000059000000}"/>
    <cellStyle name="Normal 10 2 2" xfId="175" xr:uid="{00000000-0005-0000-0000-00005A000000}"/>
    <cellStyle name="Normal 10 3" xfId="73" xr:uid="{00000000-0005-0000-0000-00005B000000}"/>
    <cellStyle name="Normal 10 4" xfId="152" xr:uid="{00000000-0005-0000-0000-00005C000000}"/>
    <cellStyle name="Normal 11" xfId="74" xr:uid="{00000000-0005-0000-0000-00005D000000}"/>
    <cellStyle name="Normal 12" xfId="122" xr:uid="{00000000-0005-0000-0000-00005E000000}"/>
    <cellStyle name="Normal 12 2" xfId="146" xr:uid="{00000000-0005-0000-0000-00005F000000}"/>
    <cellStyle name="Normal 12 2 2" xfId="189" xr:uid="{00000000-0005-0000-0000-000060000000}"/>
    <cellStyle name="Normal 12 3" xfId="166" xr:uid="{00000000-0005-0000-0000-000061000000}"/>
    <cellStyle name="Normal 13" xfId="75" xr:uid="{00000000-0005-0000-0000-000062000000}"/>
    <cellStyle name="Normal 15" xfId="192" xr:uid="{00000000-0005-0000-0000-000063000000}"/>
    <cellStyle name="Normal 15 2" xfId="194" xr:uid="{00000000-0005-0000-0000-000064000000}"/>
    <cellStyle name="Normal 15 2 2" xfId="196" xr:uid="{00000000-0005-0000-0000-000065000000}"/>
    <cellStyle name="Normal 15 2 3" xfId="199" xr:uid="{00000000-0005-0000-0000-000066000000}"/>
    <cellStyle name="Normal 15 2 3 2" xfId="200" xr:uid="{00000000-0005-0000-0000-000067000000}"/>
    <cellStyle name="Normal 2" xfId="76" xr:uid="{00000000-0005-0000-0000-000068000000}"/>
    <cellStyle name="Normal 2 10 2" xfId="201" xr:uid="{00000000-0005-0000-0000-000069000000}"/>
    <cellStyle name="Normal 2 2" xfId="77" xr:uid="{00000000-0005-0000-0000-00006A000000}"/>
    <cellStyle name="Normal 2 2 2" xfId="78" xr:uid="{00000000-0005-0000-0000-00006B000000}"/>
    <cellStyle name="Normal 2 2 3" xfId="79" xr:uid="{00000000-0005-0000-0000-00006C000000}"/>
    <cellStyle name="Normal 2 2 4" xfId="80" xr:uid="{00000000-0005-0000-0000-00006D000000}"/>
    <cellStyle name="Normal 2 2 5" xfId="133" xr:uid="{00000000-0005-0000-0000-00006E000000}"/>
    <cellStyle name="Normal 2 2 5 2" xfId="176" xr:uid="{00000000-0005-0000-0000-00006F000000}"/>
    <cellStyle name="Normal 2 2 6" xfId="153" xr:uid="{00000000-0005-0000-0000-000070000000}"/>
    <cellStyle name="Normal 2 3" xfId="81" xr:uid="{00000000-0005-0000-0000-000071000000}"/>
    <cellStyle name="Normal 2 3 3" xfId="150" xr:uid="{00000000-0005-0000-0000-000072000000}"/>
    <cellStyle name="Normal 2 4" xfId="82" xr:uid="{00000000-0005-0000-0000-000073000000}"/>
    <cellStyle name="Normal 2 5" xfId="83" xr:uid="{00000000-0005-0000-0000-000074000000}"/>
    <cellStyle name="Normal 2 6" xfId="84" xr:uid="{00000000-0005-0000-0000-000075000000}"/>
    <cellStyle name="Normal 2 7" xfId="85" xr:uid="{00000000-0005-0000-0000-000076000000}"/>
    <cellStyle name="Normal 2 8" xfId="86" xr:uid="{00000000-0005-0000-0000-000077000000}"/>
    <cellStyle name="Normal 2 8 2" xfId="134" xr:uid="{00000000-0005-0000-0000-000078000000}"/>
    <cellStyle name="Normal 2 8 2 2" xfId="177" xr:uid="{00000000-0005-0000-0000-000079000000}"/>
    <cellStyle name="Normal 2 8 3" xfId="154" xr:uid="{00000000-0005-0000-0000-00007A000000}"/>
    <cellStyle name="Normal 2 9" xfId="87" xr:uid="{00000000-0005-0000-0000-00007B000000}"/>
    <cellStyle name="Normal 2 9 2" xfId="135" xr:uid="{00000000-0005-0000-0000-00007C000000}"/>
    <cellStyle name="Normal 2 9 2 2" xfId="178" xr:uid="{00000000-0005-0000-0000-00007D000000}"/>
    <cellStyle name="Normal 2 9 3" xfId="155" xr:uid="{00000000-0005-0000-0000-00007E000000}"/>
    <cellStyle name="Normal 3" xfId="88" xr:uid="{00000000-0005-0000-0000-00007F000000}"/>
    <cellStyle name="Normal 3 2" xfId="89" xr:uid="{00000000-0005-0000-0000-000080000000}"/>
    <cellStyle name="Normal 3 3" xfId="123" xr:uid="{00000000-0005-0000-0000-000081000000}"/>
    <cellStyle name="Normal 3 3 2" xfId="147" xr:uid="{00000000-0005-0000-0000-000082000000}"/>
    <cellStyle name="Normal 3 3 2 2" xfId="190" xr:uid="{00000000-0005-0000-0000-000083000000}"/>
    <cellStyle name="Normal 3 3 3" xfId="167" xr:uid="{00000000-0005-0000-0000-000084000000}"/>
    <cellStyle name="Normal 4" xfId="90" xr:uid="{00000000-0005-0000-0000-000085000000}"/>
    <cellStyle name="Normal 4 2" xfId="136" xr:uid="{00000000-0005-0000-0000-000086000000}"/>
    <cellStyle name="Normal 4 2 2" xfId="179" xr:uid="{00000000-0005-0000-0000-000087000000}"/>
    <cellStyle name="Normal 4 3" xfId="156" xr:uid="{00000000-0005-0000-0000-000088000000}"/>
    <cellStyle name="Normal 4 4" xfId="195" xr:uid="{00000000-0005-0000-0000-000089000000}"/>
    <cellStyle name="Normal 4 4 2" xfId="197" xr:uid="{00000000-0005-0000-0000-00008A000000}"/>
    <cellStyle name="Normal 4 4 3" xfId="198" xr:uid="{00000000-0005-0000-0000-00008B000000}"/>
    <cellStyle name="Normal 5" xfId="91" xr:uid="{00000000-0005-0000-0000-00008C000000}"/>
    <cellStyle name="Normal 5 2" xfId="92" xr:uid="{00000000-0005-0000-0000-00008D000000}"/>
    <cellStyle name="Normal 5 3" xfId="93" xr:uid="{00000000-0005-0000-0000-00008E000000}"/>
    <cellStyle name="Normal 5 4" xfId="94" xr:uid="{00000000-0005-0000-0000-00008F000000}"/>
    <cellStyle name="Normal 5 5" xfId="95" xr:uid="{00000000-0005-0000-0000-000090000000}"/>
    <cellStyle name="Normal 5 6" xfId="149" xr:uid="{00000000-0005-0000-0000-000091000000}"/>
    <cellStyle name="Normal 6" xfId="96" xr:uid="{00000000-0005-0000-0000-000092000000}"/>
    <cellStyle name="Normal 6 2" xfId="97" xr:uid="{00000000-0005-0000-0000-000093000000}"/>
    <cellStyle name="Normal 6 2 2" xfId="137" xr:uid="{00000000-0005-0000-0000-000094000000}"/>
    <cellStyle name="Normal 6 2 2 2" xfId="180" xr:uid="{00000000-0005-0000-0000-000095000000}"/>
    <cellStyle name="Normal 6 2 3" xfId="157" xr:uid="{00000000-0005-0000-0000-000096000000}"/>
    <cellStyle name="Normal 6 3" xfId="98" xr:uid="{00000000-0005-0000-0000-000097000000}"/>
    <cellStyle name="Normal 6 3 2" xfId="138" xr:uid="{00000000-0005-0000-0000-000098000000}"/>
    <cellStyle name="Normal 6 3 2 2" xfId="181" xr:uid="{00000000-0005-0000-0000-000099000000}"/>
    <cellStyle name="Normal 6 3 3" xfId="158" xr:uid="{00000000-0005-0000-0000-00009A000000}"/>
    <cellStyle name="Normal 6 4" xfId="99" xr:uid="{00000000-0005-0000-0000-00009B000000}"/>
    <cellStyle name="Normal 6 4 2" xfId="139" xr:uid="{00000000-0005-0000-0000-00009C000000}"/>
    <cellStyle name="Normal 6 4 2 2" xfId="182" xr:uid="{00000000-0005-0000-0000-00009D000000}"/>
    <cellStyle name="Normal 6 4 3" xfId="159" xr:uid="{00000000-0005-0000-0000-00009E000000}"/>
    <cellStyle name="Normal 7" xfId="100" xr:uid="{00000000-0005-0000-0000-00009F000000}"/>
    <cellStyle name="Normal 7 2" xfId="140" xr:uid="{00000000-0005-0000-0000-0000A0000000}"/>
    <cellStyle name="Normal 7 2 2" xfId="183" xr:uid="{00000000-0005-0000-0000-0000A1000000}"/>
    <cellStyle name="Normal 7 3" xfId="160" xr:uid="{00000000-0005-0000-0000-0000A2000000}"/>
    <cellStyle name="Normal 8" xfId="101" xr:uid="{00000000-0005-0000-0000-0000A3000000}"/>
    <cellStyle name="Normal 8 2" xfId="141" xr:uid="{00000000-0005-0000-0000-0000A4000000}"/>
    <cellStyle name="Normal 8 2 2" xfId="184" xr:uid="{00000000-0005-0000-0000-0000A5000000}"/>
    <cellStyle name="Normal 8 3" xfId="161" xr:uid="{00000000-0005-0000-0000-0000A6000000}"/>
    <cellStyle name="Normal 9" xfId="102" xr:uid="{00000000-0005-0000-0000-0000A7000000}"/>
    <cellStyle name="Normal 9 2" xfId="142" xr:uid="{00000000-0005-0000-0000-0000A8000000}"/>
    <cellStyle name="Normal 9 2 2" xfId="185" xr:uid="{00000000-0005-0000-0000-0000A9000000}"/>
    <cellStyle name="Normal 9 3" xfId="162" xr:uid="{00000000-0005-0000-0000-0000AA000000}"/>
    <cellStyle name="Normal_Grad. Lim. Auto 1-4" xfId="151" xr:uid="{00000000-0005-0000-0000-0000AB000000}"/>
    <cellStyle name="Normal_GRADACION (2)" xfId="103" xr:uid="{00000000-0005-0000-0000-0000AC000000}"/>
    <cellStyle name="Normal_MEZCLAR4  " xfId="104" xr:uid="{00000000-0005-0000-0000-0000AD000000}"/>
    <cellStyle name="Normal_TSR-DISEÑO" xfId="193" xr:uid="{00000000-0005-0000-0000-0000AE000000}"/>
    <cellStyle name="Percen - Modelo3" xfId="105" xr:uid="{00000000-0005-0000-0000-0000AF000000}"/>
    <cellStyle name="Percent" xfId="106" xr:uid="{00000000-0005-0000-0000-0000B0000000}"/>
    <cellStyle name="Porcentaje" xfId="125" builtinId="5"/>
    <cellStyle name="Porcentaje 2" xfId="107" xr:uid="{00000000-0005-0000-0000-0000B2000000}"/>
    <cellStyle name="Porcentual 2" xfId="108" xr:uid="{00000000-0005-0000-0000-0000B3000000}"/>
    <cellStyle name="Porcentual 2 2" xfId="109" xr:uid="{00000000-0005-0000-0000-0000B4000000}"/>
    <cellStyle name="Porcentual 2 2 2" xfId="110" xr:uid="{00000000-0005-0000-0000-0000B5000000}"/>
    <cellStyle name="Porcentual 2 2 3" xfId="111" xr:uid="{00000000-0005-0000-0000-0000B6000000}"/>
    <cellStyle name="Porcentual 2 2 4" xfId="112" xr:uid="{00000000-0005-0000-0000-0000B7000000}"/>
    <cellStyle name="Porcentual 2 2 5" xfId="143" xr:uid="{00000000-0005-0000-0000-0000B8000000}"/>
    <cellStyle name="Porcentual 2 2 5 2" xfId="186" xr:uid="{00000000-0005-0000-0000-0000B9000000}"/>
    <cellStyle name="Porcentual 2 2 6" xfId="163" xr:uid="{00000000-0005-0000-0000-0000BA000000}"/>
    <cellStyle name="Porcentual 2 3" xfId="113" xr:uid="{00000000-0005-0000-0000-0000BB000000}"/>
    <cellStyle name="Porcentual 2 4" xfId="114" xr:uid="{00000000-0005-0000-0000-0000BC000000}"/>
    <cellStyle name="Porcentual 2 5" xfId="115" xr:uid="{00000000-0005-0000-0000-0000BD000000}"/>
    <cellStyle name="Porcentual 2 6" xfId="116" xr:uid="{00000000-0005-0000-0000-0000BE000000}"/>
    <cellStyle name="Porcentual 2 7" xfId="117" xr:uid="{00000000-0005-0000-0000-0000BF000000}"/>
    <cellStyle name="Porcentual 2 8" xfId="118" xr:uid="{00000000-0005-0000-0000-0000C0000000}"/>
    <cellStyle name="Porcentual 2 8 2" xfId="144" xr:uid="{00000000-0005-0000-0000-0000C1000000}"/>
    <cellStyle name="Porcentual 2 8 2 2" xfId="187" xr:uid="{00000000-0005-0000-0000-0000C2000000}"/>
    <cellStyle name="Porcentual 2 8 3" xfId="164" xr:uid="{00000000-0005-0000-0000-0000C3000000}"/>
    <cellStyle name="Porcentual 2 9" xfId="119" xr:uid="{00000000-0005-0000-0000-0000C4000000}"/>
    <cellStyle name="Porcentual 2 9 2" xfId="145" xr:uid="{00000000-0005-0000-0000-0000C5000000}"/>
    <cellStyle name="Porcentual 2 9 2 2" xfId="188" xr:uid="{00000000-0005-0000-0000-0000C6000000}"/>
    <cellStyle name="Porcentual 2 9 3" xfId="165" xr:uid="{00000000-0005-0000-0000-0000C7000000}"/>
    <cellStyle name="Porcentual 3" xfId="120" xr:uid="{00000000-0005-0000-0000-0000C8000000}"/>
    <cellStyle name="resaltado" xfId="121" xr:uid="{00000000-0005-0000-0000-0000C9000000}"/>
  </cellStyles>
  <dxfs count="1">
    <dxf>
      <font>
        <b val="0"/>
        <i val="0"/>
        <color rgb="FFFF0000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E46C0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10" Type="http://schemas.openxmlformats.org/officeDocument/2006/relationships/externalLink" Target="externalLinks/externalLink2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359501820842198E-2"/>
          <c:y val="0.13923097917366475"/>
          <c:w val="0.90794325075982563"/>
          <c:h val="0.70260886063941275"/>
        </c:manualLayout>
      </c:layout>
      <c:scatterChart>
        <c:scatterStyle val="lineMarker"/>
        <c:varyColors val="0"/>
        <c:ser>
          <c:idx val="1"/>
          <c:order val="0"/>
          <c:tx>
            <c:v>Resultado</c:v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'782'!$S$29:$AA$29</c:f>
              <c:numCache>
                <c:formatCode>General</c:formatCode>
                <c:ptCount val="9"/>
                <c:pt idx="0">
                  <c:v>25</c:v>
                </c:pt>
                <c:pt idx="1">
                  <c:v>19</c:v>
                </c:pt>
                <c:pt idx="2">
                  <c:v>12.5</c:v>
                </c:pt>
                <c:pt idx="3">
                  <c:v>9.5</c:v>
                </c:pt>
                <c:pt idx="4">
                  <c:v>4.75</c:v>
                </c:pt>
                <c:pt idx="5" formatCode="0">
                  <c:v>2</c:v>
                </c:pt>
                <c:pt idx="6" formatCode="0.000">
                  <c:v>0.42499999999999999</c:v>
                </c:pt>
                <c:pt idx="7" formatCode="0.000">
                  <c:v>0.18</c:v>
                </c:pt>
                <c:pt idx="8" formatCode="0.000">
                  <c:v>7.4999999999999997E-2</c:v>
                </c:pt>
              </c:numCache>
            </c:numRef>
          </c:xVal>
          <c:yVal>
            <c:numRef>
              <c:f>'782'!$S$30:$AB$30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0.0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EA-485A-8377-E02DB699B198}"/>
            </c:ext>
          </c:extLst>
        </c:ser>
        <c:ser>
          <c:idx val="2"/>
          <c:order val="1"/>
          <c:tx>
            <c:strRef>
              <c:f>'782'!$P$28</c:f>
              <c:strCache>
                <c:ptCount val="1"/>
              </c:strCache>
            </c:strRef>
          </c:tx>
          <c:spPr>
            <a:ln w="12700" cap="rnd">
              <a:solidFill>
                <a:srgbClr val="FF0000"/>
              </a:solidFill>
              <a:prstDash val="lgDashDotDot"/>
              <a:round/>
            </a:ln>
            <a:effectLst/>
          </c:spPr>
          <c:marker>
            <c:symbol val="none"/>
          </c:marker>
          <c:xVal>
            <c:numRef>
              <c:f>'782'!$S$29:$AA$29</c:f>
              <c:numCache>
                <c:formatCode>General</c:formatCode>
                <c:ptCount val="9"/>
                <c:pt idx="0">
                  <c:v>25</c:v>
                </c:pt>
                <c:pt idx="1">
                  <c:v>19</c:v>
                </c:pt>
                <c:pt idx="2">
                  <c:v>12.5</c:v>
                </c:pt>
                <c:pt idx="3">
                  <c:v>9.5</c:v>
                </c:pt>
                <c:pt idx="4">
                  <c:v>4.75</c:v>
                </c:pt>
                <c:pt idx="5" formatCode="0">
                  <c:v>2</c:v>
                </c:pt>
                <c:pt idx="6" formatCode="0.000">
                  <c:v>0.42499999999999999</c:v>
                </c:pt>
                <c:pt idx="7" formatCode="0.000">
                  <c:v>0.18</c:v>
                </c:pt>
                <c:pt idx="8" formatCode="0.000">
                  <c:v>7.4999999999999997E-2</c:v>
                </c:pt>
              </c:numCache>
            </c:numRef>
          </c:xVal>
          <c:yVal>
            <c:numRef>
              <c:f>'782'!$E$28:$M$28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0.0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EA-485A-8377-E02DB699B198}"/>
            </c:ext>
          </c:extLst>
        </c:ser>
        <c:ser>
          <c:idx val="4"/>
          <c:order val="2"/>
          <c:tx>
            <c:strRef>
              <c:f>'782'!$P$29</c:f>
              <c:strCache>
                <c:ptCount val="1"/>
              </c:strCache>
            </c:strRef>
          </c:tx>
          <c:spPr>
            <a:ln w="12700" cap="rnd">
              <a:solidFill>
                <a:srgbClr val="FF0000"/>
              </a:solidFill>
              <a:prstDash val="lgDashDotDot"/>
              <a:round/>
            </a:ln>
            <a:effectLst/>
          </c:spPr>
          <c:marker>
            <c:symbol val="none"/>
          </c:marker>
          <c:xVal>
            <c:numRef>
              <c:f>'782'!$S$29:$AA$29</c:f>
              <c:numCache>
                <c:formatCode>General</c:formatCode>
                <c:ptCount val="9"/>
                <c:pt idx="0">
                  <c:v>25</c:v>
                </c:pt>
                <c:pt idx="1">
                  <c:v>19</c:v>
                </c:pt>
                <c:pt idx="2">
                  <c:v>12.5</c:v>
                </c:pt>
                <c:pt idx="3">
                  <c:v>9.5</c:v>
                </c:pt>
                <c:pt idx="4">
                  <c:v>4.75</c:v>
                </c:pt>
                <c:pt idx="5" formatCode="0">
                  <c:v>2</c:v>
                </c:pt>
                <c:pt idx="6" formatCode="0.000">
                  <c:v>0.42499999999999999</c:v>
                </c:pt>
                <c:pt idx="7" formatCode="0.000">
                  <c:v>0.18</c:v>
                </c:pt>
                <c:pt idx="8" formatCode="0.000">
                  <c:v>7.4999999999999997E-2</c:v>
                </c:pt>
              </c:numCache>
            </c:numRef>
          </c:xVal>
          <c:yVal>
            <c:numRef>
              <c:f>'782'!$E$29:$M$29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0.0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2EA-485A-8377-E02DB699B198}"/>
            </c:ext>
          </c:extLst>
        </c:ser>
        <c:ser>
          <c:idx val="3"/>
          <c:order val="3"/>
          <c:tx>
            <c:v>1"</c:v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1"/>
            <c:bubble3D val="0"/>
            <c:spPr>
              <a:ln w="127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EA-485A-8377-E02DB699B19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lang="es-ES"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EA-485A-8377-E02DB699B1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2"/>
              <c:pt idx="0">
                <c:v>25.4</c:v>
              </c:pt>
              <c:pt idx="1">
                <c:v>25.4</c:v>
              </c:pt>
            </c:numLit>
          </c:xVal>
          <c:yVal>
            <c:numLit>
              <c:formatCode>General</c:formatCode>
              <c:ptCount val="2"/>
              <c:pt idx="0">
                <c:v>100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E2EA-485A-8377-E02DB699B198}"/>
            </c:ext>
          </c:extLst>
        </c:ser>
        <c:ser>
          <c:idx val="6"/>
          <c:order val="4"/>
          <c:tx>
            <c:v>3/4"</c:v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lang="es-ES"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EA-485A-8377-E02DB699B1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2"/>
              <c:pt idx="0">
                <c:v>19</c:v>
              </c:pt>
              <c:pt idx="1">
                <c:v>19</c:v>
              </c:pt>
            </c:numLit>
          </c:xVal>
          <c:yVal>
            <c:numLit>
              <c:formatCode>General</c:formatCode>
              <c:ptCount val="2"/>
              <c:pt idx="0">
                <c:v>100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E2EA-485A-8377-E02DB699B198}"/>
            </c:ext>
          </c:extLst>
        </c:ser>
        <c:ser>
          <c:idx val="7"/>
          <c:order val="5"/>
          <c:tx>
            <c:v>1/2"</c:v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lang="es-ES"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EA-485A-8377-E02DB699B198}"/>
                </c:ext>
              </c:extLst>
            </c:dLbl>
            <c:dLbl>
              <c:idx val="1"/>
              <c:layout>
                <c:manualLayout>
                  <c:x val="-3.4864642950566238E-2"/>
                  <c:y val="6.8562176993715529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EA-485A-8377-E02DB699B1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2"/>
              <c:pt idx="0">
                <c:v>12.5</c:v>
              </c:pt>
              <c:pt idx="1">
                <c:v>12.5</c:v>
              </c:pt>
            </c:numLit>
          </c:xVal>
          <c:yVal>
            <c:numLit>
              <c:formatCode>General</c:formatCode>
              <c:ptCount val="2"/>
              <c:pt idx="0">
                <c:v>100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E2EA-485A-8377-E02DB699B198}"/>
            </c:ext>
          </c:extLst>
        </c:ser>
        <c:ser>
          <c:idx val="8"/>
          <c:order val="6"/>
          <c:tx>
            <c:v>3/8"</c:v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lang="es-ES"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EA-485A-8377-E02DB699B198}"/>
                </c:ext>
              </c:extLst>
            </c:dLbl>
            <c:dLbl>
              <c:idx val="1"/>
              <c:layout>
                <c:manualLayout>
                  <c:x val="-1.7139274505221735E-2"/>
                  <c:y val="7.1041803010839316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EA-485A-8377-E02DB699B1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2"/>
              <c:pt idx="0">
                <c:v>9.5</c:v>
              </c:pt>
              <c:pt idx="1">
                <c:v>9.5</c:v>
              </c:pt>
            </c:numLit>
          </c:xVal>
          <c:yVal>
            <c:numLit>
              <c:formatCode>General</c:formatCode>
              <c:ptCount val="2"/>
              <c:pt idx="0">
                <c:v>100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E2EA-485A-8377-E02DB699B198}"/>
            </c:ext>
          </c:extLst>
        </c:ser>
        <c:ser>
          <c:idx val="9"/>
          <c:order val="7"/>
          <c:tx>
            <c:v>No.4</c:v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lang="es-ES"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EA-485A-8377-E02DB699B198}"/>
                </c:ext>
              </c:extLst>
            </c:dLbl>
            <c:dLbl>
              <c:idx val="1"/>
              <c:layout>
                <c:manualLayout>
                  <c:x val="-3.3427301890436759E-2"/>
                  <c:y val="7.3640706736174816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1E-4FAF-BAE2-72A1CFE5D5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2"/>
              <c:pt idx="0">
                <c:v>4.76</c:v>
              </c:pt>
              <c:pt idx="1">
                <c:v>4.76</c:v>
              </c:pt>
            </c:numLit>
          </c:xVal>
          <c:yVal>
            <c:numLit>
              <c:formatCode>General</c:formatCode>
              <c:ptCount val="2"/>
              <c:pt idx="0">
                <c:v>100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E2EA-485A-8377-E02DB699B198}"/>
            </c:ext>
          </c:extLst>
        </c:ser>
        <c:ser>
          <c:idx val="10"/>
          <c:order val="8"/>
          <c:tx>
            <c:v>No.10</c:v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1"/>
            <c:bubble3D val="0"/>
            <c:spPr>
              <a:ln w="127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E2EA-485A-8377-E02DB699B19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lang="es-ES"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EA-485A-8377-E02DB699B198}"/>
                </c:ext>
              </c:extLst>
            </c:dLbl>
            <c:dLbl>
              <c:idx val="1"/>
              <c:layout>
                <c:manualLayout>
                  <c:x val="-1.7007103348276511E-2"/>
                  <c:y val="6.7924378833202959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EA-485A-8377-E02DB699B1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2"/>
              <c:pt idx="0">
                <c:v>2</c:v>
              </c:pt>
              <c:pt idx="1">
                <c:v>2</c:v>
              </c:pt>
            </c:numLit>
          </c:xVal>
          <c:yVal>
            <c:numLit>
              <c:formatCode>General</c:formatCode>
              <c:ptCount val="2"/>
              <c:pt idx="0">
                <c:v>100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E2EA-485A-8377-E02DB699B198}"/>
            </c:ext>
          </c:extLst>
        </c:ser>
        <c:ser>
          <c:idx val="11"/>
          <c:order val="9"/>
          <c:tx>
            <c:v>No.40</c:v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lang="es-ES"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EA-485A-8377-E02DB699B1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2"/>
              <c:pt idx="0">
                <c:v>0.42500000000000027</c:v>
              </c:pt>
              <c:pt idx="1">
                <c:v>0.42500000000000027</c:v>
              </c:pt>
            </c:numLit>
          </c:xVal>
          <c:yVal>
            <c:numLit>
              <c:formatCode>General</c:formatCode>
              <c:ptCount val="2"/>
              <c:pt idx="0">
                <c:v>100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E2EA-485A-8377-E02DB699B198}"/>
            </c:ext>
          </c:extLst>
        </c:ser>
        <c:ser>
          <c:idx val="12"/>
          <c:order val="10"/>
          <c:tx>
            <c:v>No.80</c:v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lang="es-ES"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EA-485A-8377-E02DB699B1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2"/>
              <c:pt idx="0">
                <c:v>0.1800000000000001</c:v>
              </c:pt>
              <c:pt idx="1">
                <c:v>0.1800000000000001</c:v>
              </c:pt>
            </c:numLit>
          </c:xVal>
          <c:yVal>
            <c:numLit>
              <c:formatCode>General</c:formatCode>
              <c:ptCount val="2"/>
              <c:pt idx="0">
                <c:v>100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E2EA-485A-8377-E02DB699B198}"/>
            </c:ext>
          </c:extLst>
        </c:ser>
        <c:ser>
          <c:idx val="13"/>
          <c:order val="11"/>
          <c:tx>
            <c:v>No.200</c:v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7916100300837204E-2"/>
                  <c:y val="6.362795012069275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316744427164331E-2"/>
                      <c:h val="6.835362447163982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E2EA-485A-8377-E02DB699B19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lang="es-ES"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EA-485A-8377-E02DB699B1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2"/>
              <c:pt idx="0">
                <c:v>7.5000000000000011E-2</c:v>
              </c:pt>
              <c:pt idx="1">
                <c:v>7.5000000000000011E-2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E2EA-485A-8377-E02DB699B198}"/>
            </c:ext>
          </c:extLst>
        </c:ser>
        <c:ser>
          <c:idx val="0"/>
          <c:order val="12"/>
          <c:tx>
            <c:strRef>
              <c:f>'782'!$P$31</c:f>
              <c:strCache>
                <c:ptCount val="1"/>
                <c:pt idx="0">
                  <c:v>FT % Pasa mín</c:v>
                </c:pt>
              </c:strCache>
            </c:strRef>
          </c:tx>
          <c:spPr>
            <a:ln w="127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'782'!$S$29:$AA$29</c:f>
              <c:numCache>
                <c:formatCode>General</c:formatCode>
                <c:ptCount val="9"/>
                <c:pt idx="0">
                  <c:v>25</c:v>
                </c:pt>
                <c:pt idx="1">
                  <c:v>19</c:v>
                </c:pt>
                <c:pt idx="2">
                  <c:v>12.5</c:v>
                </c:pt>
                <c:pt idx="3">
                  <c:v>9.5</c:v>
                </c:pt>
                <c:pt idx="4">
                  <c:v>4.75</c:v>
                </c:pt>
                <c:pt idx="5" formatCode="0">
                  <c:v>2</c:v>
                </c:pt>
                <c:pt idx="6" formatCode="0.000">
                  <c:v>0.42499999999999999</c:v>
                </c:pt>
                <c:pt idx="7" formatCode="0.000">
                  <c:v>0.18</c:v>
                </c:pt>
                <c:pt idx="8" formatCode="0.000">
                  <c:v>7.4999999999999997E-2</c:v>
                </c:pt>
              </c:numCache>
            </c:numRef>
          </c:xVal>
          <c:yVal>
            <c:numRef>
              <c:f>'782'!$E$31:$M$31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0.0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E2EA-485A-8377-E02DB699B198}"/>
            </c:ext>
          </c:extLst>
        </c:ser>
        <c:ser>
          <c:idx val="5"/>
          <c:order val="13"/>
          <c:tx>
            <c:strRef>
              <c:f>'782'!$P$32</c:f>
              <c:strCache>
                <c:ptCount val="1"/>
                <c:pt idx="0">
                  <c:v>FT % Pasa máx</c:v>
                </c:pt>
              </c:strCache>
            </c:strRef>
          </c:tx>
          <c:spPr>
            <a:ln w="127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'782'!$S$29:$AA$29</c:f>
              <c:numCache>
                <c:formatCode>General</c:formatCode>
                <c:ptCount val="9"/>
                <c:pt idx="0">
                  <c:v>25</c:v>
                </c:pt>
                <c:pt idx="1">
                  <c:v>19</c:v>
                </c:pt>
                <c:pt idx="2">
                  <c:v>12.5</c:v>
                </c:pt>
                <c:pt idx="3">
                  <c:v>9.5</c:v>
                </c:pt>
                <c:pt idx="4">
                  <c:v>4.75</c:v>
                </c:pt>
                <c:pt idx="5" formatCode="0">
                  <c:v>2</c:v>
                </c:pt>
                <c:pt idx="6" formatCode="0.000">
                  <c:v>0.42499999999999999</c:v>
                </c:pt>
                <c:pt idx="7" formatCode="0.000">
                  <c:v>0.18</c:v>
                </c:pt>
                <c:pt idx="8" formatCode="0.000">
                  <c:v>7.4999999999999997E-2</c:v>
                </c:pt>
              </c:numCache>
            </c:numRef>
          </c:xVal>
          <c:yVal>
            <c:numRef>
              <c:f>'782'!$E$32:$M$32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0.0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E2EA-485A-8377-E02DB699B198}"/>
            </c:ext>
          </c:extLst>
        </c:ser>
        <c:ser>
          <c:idx val="14"/>
          <c:order val="14"/>
          <c:tx>
            <c:strRef>
              <c:f>'782'!$Z$6</c:f>
              <c:strCache>
                <c:ptCount val="1"/>
                <c:pt idx="0">
                  <c:v>N° 8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8139320400236967E-2"/>
                  <c:y val="-7.2325951318491288E-2"/>
                </c:manualLayout>
              </c:layout>
              <c:tx>
                <c:rich>
                  <a:bodyPr rot="-540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80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</a:defRPr>
                    </a:pPr>
                    <a:r>
                      <a:rPr lang="en-US" sz="800"/>
                      <a:t>2,36</a:t>
                    </a:r>
                  </a:p>
                </c:rich>
              </c:tx>
              <c:spPr>
                <a:solidFill>
                  <a:schemeClr val="bg1"/>
                </a:solidFill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0E1E-4FAF-BAE2-72A1CFE5D557}"/>
                </c:ext>
              </c:extLst>
            </c:dLbl>
            <c:dLbl>
              <c:idx val="1"/>
              <c:layout>
                <c:manualLayout>
                  <c:x val="-4.0476322145382833E-2"/>
                  <c:y val="6.4808755073803542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1E-4FAF-BAE2-72A1CFE5D5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CO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'782'!$T$31:$U$31</c:f>
              <c:numCache>
                <c:formatCode>General</c:formatCode>
                <c:ptCount val="2"/>
                <c:pt idx="0">
                  <c:v>2.36</c:v>
                </c:pt>
                <c:pt idx="1">
                  <c:v>2.36</c:v>
                </c:pt>
              </c:numCache>
            </c:numRef>
          </c:xVal>
          <c:yVal>
            <c:numRef>
              <c:f>'782'!$T$32:$U$32</c:f>
              <c:numCache>
                <c:formatCode>General</c:formatCode>
                <c:ptCount val="2"/>
                <c:pt idx="0">
                  <c:v>100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E1E-4FAF-BAE2-72A1CFE5D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4315664"/>
        <c:axId val="644316208"/>
      </c:scatterChart>
      <c:valAx>
        <c:axId val="644315664"/>
        <c:scaling>
          <c:logBase val="10"/>
          <c:orientation val="maxMin"/>
          <c:max val="100"/>
          <c:min val="1.0000000000000005E-2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s-E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800" b="1">
                    <a:solidFill>
                      <a:sysClr val="windowText" lastClr="000000"/>
                    </a:solidFill>
                  </a:rPr>
                  <a:t>TAMIZ</a:t>
                </a:r>
              </a:p>
            </c:rich>
          </c:tx>
          <c:layout>
            <c:manualLayout>
              <c:xMode val="edge"/>
              <c:yMode val="edge"/>
              <c:x val="0.47360428935681798"/>
              <c:y val="0.935281530175700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44316208"/>
        <c:crossesAt val="1.0000000000000005E-2"/>
        <c:crossBetween val="midCat"/>
        <c:majorUnit val="10"/>
      </c:valAx>
      <c:valAx>
        <c:axId val="644316208"/>
        <c:scaling>
          <c:orientation val="minMax"/>
          <c:max val="100"/>
          <c:min val="0"/>
        </c:scaling>
        <c:delete val="0"/>
        <c:axPos val="r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s-ES"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800" b="1">
                    <a:solidFill>
                      <a:sysClr val="windowText" lastClr="000000"/>
                    </a:solidFill>
                  </a:rPr>
                  <a:t>%  QUE PASA</a:t>
                </a:r>
              </a:p>
              <a:p>
                <a:pPr>
                  <a:defRPr lang="es-ES"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 sz="800" b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1965507878697232E-3"/>
              <c:y val="0.3657826257956318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44315664"/>
        <c:crossesAt val="100"/>
        <c:crossBetween val="midCat"/>
        <c:majorUnit val="10"/>
        <c:minorUnit val="5"/>
      </c:valAx>
      <c:spPr>
        <a:solidFill>
          <a:sysClr val="window" lastClr="FFFFFF"/>
        </a:solidFill>
        <a:ln>
          <a:solidFill>
            <a:schemeClr val="bg1"/>
          </a:solidFill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5"/>
        <c:delete val="1"/>
      </c:legendEntry>
      <c:layout>
        <c:manualLayout>
          <c:xMode val="edge"/>
          <c:yMode val="edge"/>
          <c:x val="0.79464761349275781"/>
          <c:y val="2.9033522708395629E-2"/>
          <c:w val="0.20202666796280094"/>
          <c:h val="0.783997696490470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span"/>
    <c:showDLblsOverMax val="0"/>
  </c:chart>
  <c:spPr>
    <a:solidFill>
      <a:schemeClr val="bg1"/>
    </a:solidFill>
    <a:ln w="9525" cap="flat" cmpd="sng" algn="ctr">
      <a:noFill/>
      <a:round/>
    </a:ln>
    <a:effectLst>
      <a:glow rad="127000">
        <a:schemeClr val="bg1">
          <a:lumMod val="95000"/>
          <a:alpha val="95000"/>
        </a:schemeClr>
      </a:glow>
      <a:softEdge rad="63500"/>
    </a:effectLst>
    <a:scene3d>
      <a:camera prst="orthographicFront"/>
      <a:lightRig rig="threePt" dir="t"/>
    </a:scene3d>
    <a:sp3d prstMaterial="matte"/>
  </c:spPr>
  <c:txPr>
    <a:bodyPr/>
    <a:lstStyle/>
    <a:p>
      <a:pPr>
        <a:defRPr/>
      </a:pPr>
      <a:endParaRPr lang="es-CO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6.emf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4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9.png"/><Relationship Id="rId18" Type="http://schemas.openxmlformats.org/officeDocument/2006/relationships/image" Target="../media/image24.png"/><Relationship Id="rId26" Type="http://schemas.openxmlformats.org/officeDocument/2006/relationships/image" Target="../media/image32.png"/><Relationship Id="rId21" Type="http://schemas.openxmlformats.org/officeDocument/2006/relationships/image" Target="../media/image27.png"/><Relationship Id="rId34" Type="http://schemas.openxmlformats.org/officeDocument/2006/relationships/image" Target="../media/image39.png"/><Relationship Id="rId7" Type="http://schemas.openxmlformats.org/officeDocument/2006/relationships/image" Target="../media/image14.png"/><Relationship Id="rId12" Type="http://schemas.openxmlformats.org/officeDocument/2006/relationships/image" Target="../media/image18.jpeg"/><Relationship Id="rId17" Type="http://schemas.openxmlformats.org/officeDocument/2006/relationships/image" Target="../media/image23.png"/><Relationship Id="rId25" Type="http://schemas.openxmlformats.org/officeDocument/2006/relationships/image" Target="../media/image31.emf"/><Relationship Id="rId33" Type="http://schemas.openxmlformats.org/officeDocument/2006/relationships/image" Target="../media/image38.png"/><Relationship Id="rId38" Type="http://schemas.openxmlformats.org/officeDocument/2006/relationships/image" Target="../media/image43.png"/><Relationship Id="rId2" Type="http://schemas.openxmlformats.org/officeDocument/2006/relationships/image" Target="../media/image11.png"/><Relationship Id="rId16" Type="http://schemas.openxmlformats.org/officeDocument/2006/relationships/image" Target="../media/image22.pn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10.png"/><Relationship Id="rId6" Type="http://schemas.microsoft.com/office/2007/relationships/hdphoto" Target="../media/hdphoto2.wdp"/><Relationship Id="rId11" Type="http://schemas.openxmlformats.org/officeDocument/2006/relationships/image" Target="../media/image17.jpeg"/><Relationship Id="rId24" Type="http://schemas.openxmlformats.org/officeDocument/2006/relationships/image" Target="../media/image30.png"/><Relationship Id="rId32" Type="http://schemas.microsoft.com/office/2007/relationships/hdphoto" Target="../media/hdphoto4.wdp"/><Relationship Id="rId37" Type="http://schemas.openxmlformats.org/officeDocument/2006/relationships/image" Target="../media/image42.png"/><Relationship Id="rId5" Type="http://schemas.openxmlformats.org/officeDocument/2006/relationships/image" Target="../media/image13.png"/><Relationship Id="rId15" Type="http://schemas.openxmlformats.org/officeDocument/2006/relationships/image" Target="../media/image21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36" Type="http://schemas.openxmlformats.org/officeDocument/2006/relationships/image" Target="../media/image41.png"/><Relationship Id="rId10" Type="http://schemas.openxmlformats.org/officeDocument/2006/relationships/image" Target="../media/image16.jpeg"/><Relationship Id="rId19" Type="http://schemas.openxmlformats.org/officeDocument/2006/relationships/image" Target="../media/image25.png"/><Relationship Id="rId31" Type="http://schemas.openxmlformats.org/officeDocument/2006/relationships/image" Target="../media/image37.png"/><Relationship Id="rId4" Type="http://schemas.microsoft.com/office/2007/relationships/hdphoto" Target="../media/hdphoto1.wdp"/><Relationship Id="rId9" Type="http://schemas.openxmlformats.org/officeDocument/2006/relationships/image" Target="../media/image15.png"/><Relationship Id="rId14" Type="http://schemas.openxmlformats.org/officeDocument/2006/relationships/image" Target="../media/image20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png"/><Relationship Id="rId35" Type="http://schemas.openxmlformats.org/officeDocument/2006/relationships/image" Target="../media/image40.png"/><Relationship Id="rId8" Type="http://schemas.microsoft.com/office/2007/relationships/hdphoto" Target="../media/hdphoto3.wdp"/><Relationship Id="rId3" Type="http://schemas.openxmlformats.org/officeDocument/2006/relationships/image" Target="../media/image1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7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39</xdr:row>
      <xdr:rowOff>0</xdr:rowOff>
    </xdr:from>
    <xdr:to>
      <xdr:col>13</xdr:col>
      <xdr:colOff>104775</xdr:colOff>
      <xdr:row>39</xdr:row>
      <xdr:rowOff>217714</xdr:rowOff>
    </xdr:to>
    <xdr:sp macro="" textlink="">
      <xdr:nvSpPr>
        <xdr:cNvPr id="2" name="Text Box 3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104775</xdr:colOff>
      <xdr:row>39</xdr:row>
      <xdr:rowOff>217714</xdr:rowOff>
    </xdr:to>
    <xdr:sp macro="" textlink="">
      <xdr:nvSpPr>
        <xdr:cNvPr id="3" name="Text Box 6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39</xdr:row>
      <xdr:rowOff>0</xdr:rowOff>
    </xdr:from>
    <xdr:to>
      <xdr:col>13</xdr:col>
      <xdr:colOff>104775</xdr:colOff>
      <xdr:row>39</xdr:row>
      <xdr:rowOff>217714</xdr:rowOff>
    </xdr:to>
    <xdr:sp macro="" textlink="">
      <xdr:nvSpPr>
        <xdr:cNvPr id="4" name="Text Box 6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39</xdr:row>
      <xdr:rowOff>0</xdr:rowOff>
    </xdr:from>
    <xdr:to>
      <xdr:col>13</xdr:col>
      <xdr:colOff>104775</xdr:colOff>
      <xdr:row>39</xdr:row>
      <xdr:rowOff>217714</xdr:rowOff>
    </xdr:to>
    <xdr:sp macro="" textlink="">
      <xdr:nvSpPr>
        <xdr:cNvPr id="5" name="Text Box 67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104775</xdr:colOff>
      <xdr:row>39</xdr:row>
      <xdr:rowOff>217714</xdr:rowOff>
    </xdr:to>
    <xdr:sp macro="" textlink="">
      <xdr:nvSpPr>
        <xdr:cNvPr id="6" name="Text Box 6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104775</xdr:colOff>
      <xdr:row>39</xdr:row>
      <xdr:rowOff>217714</xdr:rowOff>
    </xdr:to>
    <xdr:sp macro="" textlink="">
      <xdr:nvSpPr>
        <xdr:cNvPr id="7" name="Text Box 69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39</xdr:row>
      <xdr:rowOff>0</xdr:rowOff>
    </xdr:from>
    <xdr:to>
      <xdr:col>13</xdr:col>
      <xdr:colOff>104775</xdr:colOff>
      <xdr:row>39</xdr:row>
      <xdr:rowOff>217714</xdr:rowOff>
    </xdr:to>
    <xdr:sp macro="" textlink="">
      <xdr:nvSpPr>
        <xdr:cNvPr id="8" name="Text Box 70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39</xdr:row>
      <xdr:rowOff>0</xdr:rowOff>
    </xdr:from>
    <xdr:to>
      <xdr:col>13</xdr:col>
      <xdr:colOff>104775</xdr:colOff>
      <xdr:row>39</xdr:row>
      <xdr:rowOff>217714</xdr:rowOff>
    </xdr:to>
    <xdr:sp macro="" textlink="">
      <xdr:nvSpPr>
        <xdr:cNvPr id="9" name="Text Box 7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104775</xdr:colOff>
      <xdr:row>39</xdr:row>
      <xdr:rowOff>217714</xdr:rowOff>
    </xdr:to>
    <xdr:sp macro="" textlink="">
      <xdr:nvSpPr>
        <xdr:cNvPr id="10" name="Text Box 7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104775</xdr:colOff>
      <xdr:row>39</xdr:row>
      <xdr:rowOff>217714</xdr:rowOff>
    </xdr:to>
    <xdr:sp macro="" textlink="">
      <xdr:nvSpPr>
        <xdr:cNvPr id="11" name="Text Box 7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39</xdr:row>
      <xdr:rowOff>0</xdr:rowOff>
    </xdr:from>
    <xdr:to>
      <xdr:col>13</xdr:col>
      <xdr:colOff>104775</xdr:colOff>
      <xdr:row>39</xdr:row>
      <xdr:rowOff>217714</xdr:rowOff>
    </xdr:to>
    <xdr:sp macro="" textlink="">
      <xdr:nvSpPr>
        <xdr:cNvPr id="12" name="Text Box 74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39</xdr:row>
      <xdr:rowOff>0</xdr:rowOff>
    </xdr:from>
    <xdr:to>
      <xdr:col>13</xdr:col>
      <xdr:colOff>104775</xdr:colOff>
      <xdr:row>39</xdr:row>
      <xdr:rowOff>217714</xdr:rowOff>
    </xdr:to>
    <xdr:sp macro="" textlink="">
      <xdr:nvSpPr>
        <xdr:cNvPr id="13" name="Text Box 7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104775</xdr:colOff>
      <xdr:row>39</xdr:row>
      <xdr:rowOff>217714</xdr:rowOff>
    </xdr:to>
    <xdr:sp macro="" textlink="">
      <xdr:nvSpPr>
        <xdr:cNvPr id="14" name="Text Box 76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104775</xdr:colOff>
      <xdr:row>39</xdr:row>
      <xdr:rowOff>217714</xdr:rowOff>
    </xdr:to>
    <xdr:sp macro="" textlink="">
      <xdr:nvSpPr>
        <xdr:cNvPr id="15" name="Text Box 77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39</xdr:row>
      <xdr:rowOff>0</xdr:rowOff>
    </xdr:from>
    <xdr:to>
      <xdr:col>13</xdr:col>
      <xdr:colOff>104775</xdr:colOff>
      <xdr:row>39</xdr:row>
      <xdr:rowOff>217714</xdr:rowOff>
    </xdr:to>
    <xdr:sp macro="" textlink="">
      <xdr:nvSpPr>
        <xdr:cNvPr id="16" name="Text Box 78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39</xdr:row>
      <xdr:rowOff>0</xdr:rowOff>
    </xdr:from>
    <xdr:to>
      <xdr:col>13</xdr:col>
      <xdr:colOff>104775</xdr:colOff>
      <xdr:row>39</xdr:row>
      <xdr:rowOff>217714</xdr:rowOff>
    </xdr:to>
    <xdr:sp macro="" textlink="">
      <xdr:nvSpPr>
        <xdr:cNvPr id="17" name="Text Box 79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104775</xdr:colOff>
      <xdr:row>39</xdr:row>
      <xdr:rowOff>217714</xdr:rowOff>
    </xdr:to>
    <xdr:sp macro="" textlink="">
      <xdr:nvSpPr>
        <xdr:cNvPr id="18" name="Text Box 80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104775</xdr:colOff>
      <xdr:row>39</xdr:row>
      <xdr:rowOff>217714</xdr:rowOff>
    </xdr:to>
    <xdr:sp macro="" textlink="">
      <xdr:nvSpPr>
        <xdr:cNvPr id="19" name="Text Box 81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39</xdr:row>
      <xdr:rowOff>0</xdr:rowOff>
    </xdr:from>
    <xdr:to>
      <xdr:col>13</xdr:col>
      <xdr:colOff>104775</xdr:colOff>
      <xdr:row>39</xdr:row>
      <xdr:rowOff>217714</xdr:rowOff>
    </xdr:to>
    <xdr:sp macro="" textlink="">
      <xdr:nvSpPr>
        <xdr:cNvPr id="20" name="Text Box 8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39</xdr:row>
      <xdr:rowOff>0</xdr:rowOff>
    </xdr:from>
    <xdr:to>
      <xdr:col>13</xdr:col>
      <xdr:colOff>104775</xdr:colOff>
      <xdr:row>39</xdr:row>
      <xdr:rowOff>217714</xdr:rowOff>
    </xdr:to>
    <xdr:sp macro="" textlink="">
      <xdr:nvSpPr>
        <xdr:cNvPr id="21" name="Text Box 83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259896</xdr:colOff>
      <xdr:row>0</xdr:row>
      <xdr:rowOff>83004</xdr:rowOff>
    </xdr:from>
    <xdr:ext cx="1140279" cy="793296"/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896" y="83004"/>
          <a:ext cx="1140279" cy="793296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35</xdr:row>
          <xdr:rowOff>0</xdr:rowOff>
        </xdr:from>
        <xdr:to>
          <xdr:col>12</xdr:col>
          <xdr:colOff>409575</xdr:colOff>
          <xdr:row>36</xdr:row>
          <xdr:rowOff>0</xdr:rowOff>
        </xdr:to>
        <xdr:pic>
          <xdr:nvPicPr>
            <xdr:cNvPr id="31" name="Imagen 37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aprobofirmas1" spid="_x0000_s1336594"/>
                </a:ext>
              </a:extLst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EFEFE"/>
                </a:clrFrom>
                <a:clrTo>
                  <a:srgbClr val="FEFEFE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4162425" y="7972425"/>
              <a:ext cx="1514475" cy="5048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35</xdr:row>
          <xdr:rowOff>0</xdr:rowOff>
        </xdr:from>
        <xdr:to>
          <xdr:col>6</xdr:col>
          <xdr:colOff>30307</xdr:colOff>
          <xdr:row>36</xdr:row>
          <xdr:rowOff>2598</xdr:rowOff>
        </xdr:to>
        <xdr:pic>
          <xdr:nvPicPr>
            <xdr:cNvPr id="32" name="Picture 313"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revisofirmas1" spid="_x0000_s1336595"/>
                </a:ext>
              </a:extLst>
            </xdr:cNvPicPr>
          </xdr:nvPicPr>
          <xdr:blipFill>
            <a:blip xmlns:r="http://schemas.openxmlformats.org/officeDocument/2006/relationships" r:embed="rId3">
              <a:clrChange>
                <a:clrFrom>
                  <a:srgbClr val="FEFEFE"/>
                </a:clrFrom>
                <a:clrTo>
                  <a:srgbClr val="FEFEFE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871105" y="7983682"/>
              <a:ext cx="1514475" cy="5048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10</xdr:col>
      <xdr:colOff>57150</xdr:colOff>
      <xdr:row>36</xdr:row>
      <xdr:rowOff>0</xdr:rowOff>
    </xdr:from>
    <xdr:to>
      <xdr:col>12</xdr:col>
      <xdr:colOff>435952</xdr:colOff>
      <xdr:row>36</xdr:row>
      <xdr:rowOff>0</xdr:rowOff>
    </xdr:to>
    <xdr:cxnSp macro="">
      <xdr:nvCxnSpPr>
        <xdr:cNvPr id="33" name="Conector recto 10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CxnSpPr/>
      </xdr:nvCxnSpPr>
      <xdr:spPr>
        <a:xfrm>
          <a:off x="4162425" y="8477250"/>
          <a:ext cx="1483702" cy="0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400050</xdr:colOff>
      <xdr:row>36</xdr:row>
      <xdr:rowOff>0</xdr:rowOff>
    </xdr:from>
    <xdr:to>
      <xdr:col>5</xdr:col>
      <xdr:colOff>312127</xdr:colOff>
      <xdr:row>36</xdr:row>
      <xdr:rowOff>0</xdr:rowOff>
    </xdr:to>
    <xdr:cxnSp macro="">
      <xdr:nvCxnSpPr>
        <xdr:cNvPr id="35" name="Conector recto 10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CxnSpPr/>
      </xdr:nvCxnSpPr>
      <xdr:spPr>
        <a:xfrm>
          <a:off x="828675" y="8477250"/>
          <a:ext cx="1483702" cy="0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19</xdr:row>
      <xdr:rowOff>0</xdr:rowOff>
    </xdr:from>
    <xdr:to>
      <xdr:col>13</xdr:col>
      <xdr:colOff>104775</xdr:colOff>
      <xdr:row>19</xdr:row>
      <xdr:rowOff>217714</xdr:rowOff>
    </xdr:to>
    <xdr:sp macro="" textlink="">
      <xdr:nvSpPr>
        <xdr:cNvPr id="2" name="Text Box 3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19</xdr:row>
      <xdr:rowOff>0</xdr:rowOff>
    </xdr:from>
    <xdr:to>
      <xdr:col>14</xdr:col>
      <xdr:colOff>104775</xdr:colOff>
      <xdr:row>19</xdr:row>
      <xdr:rowOff>217714</xdr:rowOff>
    </xdr:to>
    <xdr:sp macro="" textlink="">
      <xdr:nvSpPr>
        <xdr:cNvPr id="3" name="Text Box 65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104775</xdr:colOff>
      <xdr:row>19</xdr:row>
      <xdr:rowOff>217714</xdr:rowOff>
    </xdr:to>
    <xdr:sp macro="" textlink="">
      <xdr:nvSpPr>
        <xdr:cNvPr id="4" name="Text Box 66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104775</xdr:colOff>
      <xdr:row>19</xdr:row>
      <xdr:rowOff>217714</xdr:rowOff>
    </xdr:to>
    <xdr:sp macro="" textlink="">
      <xdr:nvSpPr>
        <xdr:cNvPr id="5" name="Text Box 67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19</xdr:row>
      <xdr:rowOff>0</xdr:rowOff>
    </xdr:from>
    <xdr:to>
      <xdr:col>14</xdr:col>
      <xdr:colOff>104775</xdr:colOff>
      <xdr:row>19</xdr:row>
      <xdr:rowOff>217714</xdr:rowOff>
    </xdr:to>
    <xdr:sp macro="" textlink="">
      <xdr:nvSpPr>
        <xdr:cNvPr id="6" name="Text Box 68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19</xdr:row>
      <xdr:rowOff>0</xdr:rowOff>
    </xdr:from>
    <xdr:to>
      <xdr:col>14</xdr:col>
      <xdr:colOff>104775</xdr:colOff>
      <xdr:row>19</xdr:row>
      <xdr:rowOff>217714</xdr:rowOff>
    </xdr:to>
    <xdr:sp macro="" textlink="">
      <xdr:nvSpPr>
        <xdr:cNvPr id="7" name="Text Box 69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104775</xdr:colOff>
      <xdr:row>19</xdr:row>
      <xdr:rowOff>217714</xdr:rowOff>
    </xdr:to>
    <xdr:sp macro="" textlink="">
      <xdr:nvSpPr>
        <xdr:cNvPr id="8" name="Text Box 70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104775</xdr:colOff>
      <xdr:row>19</xdr:row>
      <xdr:rowOff>217714</xdr:rowOff>
    </xdr:to>
    <xdr:sp macro="" textlink="">
      <xdr:nvSpPr>
        <xdr:cNvPr id="9" name="Text Box 7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19</xdr:row>
      <xdr:rowOff>0</xdr:rowOff>
    </xdr:from>
    <xdr:to>
      <xdr:col>14</xdr:col>
      <xdr:colOff>104775</xdr:colOff>
      <xdr:row>19</xdr:row>
      <xdr:rowOff>217714</xdr:rowOff>
    </xdr:to>
    <xdr:sp macro="" textlink="">
      <xdr:nvSpPr>
        <xdr:cNvPr id="10" name="Text Box 7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19</xdr:row>
      <xdr:rowOff>0</xdr:rowOff>
    </xdr:from>
    <xdr:to>
      <xdr:col>14</xdr:col>
      <xdr:colOff>104775</xdr:colOff>
      <xdr:row>19</xdr:row>
      <xdr:rowOff>217714</xdr:rowOff>
    </xdr:to>
    <xdr:sp macro="" textlink="">
      <xdr:nvSpPr>
        <xdr:cNvPr id="11" name="Text Box 73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104775</xdr:colOff>
      <xdr:row>19</xdr:row>
      <xdr:rowOff>217714</xdr:rowOff>
    </xdr:to>
    <xdr:sp macro="" textlink="">
      <xdr:nvSpPr>
        <xdr:cNvPr id="12" name="Text Box 7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104775</xdr:colOff>
      <xdr:row>19</xdr:row>
      <xdr:rowOff>217714</xdr:rowOff>
    </xdr:to>
    <xdr:sp macro="" textlink="">
      <xdr:nvSpPr>
        <xdr:cNvPr id="13" name="Text Box 75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19</xdr:row>
      <xdr:rowOff>0</xdr:rowOff>
    </xdr:from>
    <xdr:to>
      <xdr:col>14</xdr:col>
      <xdr:colOff>104775</xdr:colOff>
      <xdr:row>19</xdr:row>
      <xdr:rowOff>217714</xdr:rowOff>
    </xdr:to>
    <xdr:sp macro="" textlink="">
      <xdr:nvSpPr>
        <xdr:cNvPr id="14" name="Text Box 76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19</xdr:row>
      <xdr:rowOff>0</xdr:rowOff>
    </xdr:from>
    <xdr:to>
      <xdr:col>14</xdr:col>
      <xdr:colOff>104775</xdr:colOff>
      <xdr:row>19</xdr:row>
      <xdr:rowOff>217714</xdr:rowOff>
    </xdr:to>
    <xdr:sp macro="" textlink="">
      <xdr:nvSpPr>
        <xdr:cNvPr id="15" name="Text Box 77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104775</xdr:colOff>
      <xdr:row>19</xdr:row>
      <xdr:rowOff>217714</xdr:rowOff>
    </xdr:to>
    <xdr:sp macro="" textlink="">
      <xdr:nvSpPr>
        <xdr:cNvPr id="16" name="Text Box 78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104775</xdr:colOff>
      <xdr:row>19</xdr:row>
      <xdr:rowOff>217714</xdr:rowOff>
    </xdr:to>
    <xdr:sp macro="" textlink="">
      <xdr:nvSpPr>
        <xdr:cNvPr id="17" name="Text Box 79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19</xdr:row>
      <xdr:rowOff>0</xdr:rowOff>
    </xdr:from>
    <xdr:to>
      <xdr:col>14</xdr:col>
      <xdr:colOff>104775</xdr:colOff>
      <xdr:row>19</xdr:row>
      <xdr:rowOff>217714</xdr:rowOff>
    </xdr:to>
    <xdr:sp macro="" textlink="">
      <xdr:nvSpPr>
        <xdr:cNvPr id="18" name="Text Box 80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19</xdr:row>
      <xdr:rowOff>0</xdr:rowOff>
    </xdr:from>
    <xdr:to>
      <xdr:col>14</xdr:col>
      <xdr:colOff>104775</xdr:colOff>
      <xdr:row>19</xdr:row>
      <xdr:rowOff>217714</xdr:rowOff>
    </xdr:to>
    <xdr:sp macro="" textlink="">
      <xdr:nvSpPr>
        <xdr:cNvPr id="19" name="Text Box 81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>
          <a:spLocks noChangeArrowheads="1"/>
        </xdr:cNvSpPr>
      </xdr:nvSpPr>
      <xdr:spPr bwMode="auto">
        <a:xfrm>
          <a:off x="6086475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104775</xdr:colOff>
      <xdr:row>19</xdr:row>
      <xdr:rowOff>217714</xdr:rowOff>
    </xdr:to>
    <xdr:sp macro="" textlink="">
      <xdr:nvSpPr>
        <xdr:cNvPr id="20" name="Text Box 82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104775</xdr:colOff>
      <xdr:row>19</xdr:row>
      <xdr:rowOff>217714</xdr:rowOff>
    </xdr:to>
    <xdr:sp macro="" textlink="">
      <xdr:nvSpPr>
        <xdr:cNvPr id="21" name="Text Box 83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>
          <a:spLocks noChangeArrowheads="1"/>
        </xdr:cNvSpPr>
      </xdr:nvSpPr>
      <xdr:spPr bwMode="auto">
        <a:xfrm>
          <a:off x="5676900" y="206025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117021</xdr:colOff>
      <xdr:row>0</xdr:row>
      <xdr:rowOff>54429</xdr:rowOff>
    </xdr:from>
    <xdr:ext cx="1140279" cy="793296"/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21" y="54429"/>
          <a:ext cx="1140279" cy="793296"/>
        </a:xfrm>
        <a:prstGeom prst="rect">
          <a:avLst/>
        </a:prstGeom>
      </xdr:spPr>
    </xdr:pic>
    <xdr:clientData/>
  </xdr:oneCellAnchor>
  <xdr:twoCellAnchor>
    <xdr:from>
      <xdr:col>2</xdr:col>
      <xdr:colOff>28575</xdr:colOff>
      <xdr:row>23</xdr:row>
      <xdr:rowOff>19050</xdr:rowOff>
    </xdr:from>
    <xdr:to>
      <xdr:col>5</xdr:col>
      <xdr:colOff>316050</xdr:colOff>
      <xdr:row>23</xdr:row>
      <xdr:rowOff>19050</xdr:rowOff>
    </xdr:to>
    <xdr:cxnSp macro="">
      <xdr:nvCxnSpPr>
        <xdr:cNvPr id="27" name="Conector recto 10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CxnSpPr/>
      </xdr:nvCxnSpPr>
      <xdr:spPr>
        <a:xfrm>
          <a:off x="923925" y="6315075"/>
          <a:ext cx="1440000" cy="0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95250</xdr:colOff>
      <xdr:row>22</xdr:row>
      <xdr:rowOff>533400</xdr:rowOff>
    </xdr:from>
    <xdr:to>
      <xdr:col>13</xdr:col>
      <xdr:colOff>132000</xdr:colOff>
      <xdr:row>22</xdr:row>
      <xdr:rowOff>533400</xdr:rowOff>
    </xdr:to>
    <xdr:cxnSp macro="">
      <xdr:nvCxnSpPr>
        <xdr:cNvPr id="29" name="Conector recto 10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CxnSpPr/>
      </xdr:nvCxnSpPr>
      <xdr:spPr>
        <a:xfrm>
          <a:off x="4152900" y="6286500"/>
          <a:ext cx="1656000" cy="0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47625</xdr:rowOff>
        </xdr:from>
        <xdr:to>
          <xdr:col>5</xdr:col>
          <xdr:colOff>276225</xdr:colOff>
          <xdr:row>22</xdr:row>
          <xdr:rowOff>514350</xdr:rowOff>
        </xdr:to>
        <xdr:pic>
          <xdr:nvPicPr>
            <xdr:cNvPr id="30" name="Imagen 30">
              <a:extLst>
                <a:ext uri="{FF2B5EF4-FFF2-40B4-BE49-F238E27FC236}">
                  <a16:creationId xmlns:a16="http://schemas.microsoft.com/office/drawing/2014/main" id="{00000000-0008-0000-0100-00001E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revisofirmas732" spid="_x0000_s135081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923925" y="5800725"/>
              <a:ext cx="1400175" cy="4667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22</xdr:row>
          <xdr:rowOff>9525</xdr:rowOff>
        </xdr:from>
        <xdr:to>
          <xdr:col>12</xdr:col>
          <xdr:colOff>495300</xdr:colOff>
          <xdr:row>22</xdr:row>
          <xdr:rowOff>514350</xdr:rowOff>
        </xdr:to>
        <xdr:pic>
          <xdr:nvPicPr>
            <xdr:cNvPr id="31" name="Imagen 37">
              <a:extLst>
                <a:ext uri="{FF2B5EF4-FFF2-40B4-BE49-F238E27FC236}">
                  <a16:creationId xmlns:a16="http://schemas.microsoft.com/office/drawing/2014/main" id="{00000000-0008-0000-0100-00001F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aprobofirmas1" spid="_x0000_s1350813"/>
                </a:ext>
              </a:extLst>
            </xdr:cNvPicPr>
          </xdr:nvPicPr>
          <xdr:blipFill>
            <a:blip xmlns:r="http://schemas.openxmlformats.org/officeDocument/2006/relationships" r:embed="rId3">
              <a:clrChange>
                <a:clrFrom>
                  <a:srgbClr val="FEFEFE"/>
                </a:clrFrom>
                <a:clrTo>
                  <a:srgbClr val="FEFEFE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4238625" y="5762625"/>
              <a:ext cx="1514475" cy="5048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oneCellAnchor>
    <xdr:from>
      <xdr:col>13</xdr:col>
      <xdr:colOff>0</xdr:colOff>
      <xdr:row>25</xdr:row>
      <xdr:rowOff>0</xdr:rowOff>
    </xdr:from>
    <xdr:ext cx="104775" cy="217714"/>
    <xdr:sp macro="" textlink="">
      <xdr:nvSpPr>
        <xdr:cNvPr id="53" name="Text Box 33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>
          <a:spLocks noChangeArrowheads="1"/>
        </xdr:cNvSpPr>
      </xdr:nvSpPr>
      <xdr:spPr bwMode="auto">
        <a:xfrm>
          <a:off x="5676900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25</xdr:row>
      <xdr:rowOff>0</xdr:rowOff>
    </xdr:from>
    <xdr:ext cx="104775" cy="217714"/>
    <xdr:sp macro="" textlink="">
      <xdr:nvSpPr>
        <xdr:cNvPr id="54" name="Text Box 65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>
          <a:spLocks noChangeArrowheads="1"/>
        </xdr:cNvSpPr>
      </xdr:nvSpPr>
      <xdr:spPr bwMode="auto">
        <a:xfrm>
          <a:off x="6086475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25</xdr:row>
      <xdr:rowOff>0</xdr:rowOff>
    </xdr:from>
    <xdr:ext cx="104775" cy="217714"/>
    <xdr:sp macro="" textlink="">
      <xdr:nvSpPr>
        <xdr:cNvPr id="55" name="Text Box 66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>
          <a:spLocks noChangeArrowheads="1"/>
        </xdr:cNvSpPr>
      </xdr:nvSpPr>
      <xdr:spPr bwMode="auto">
        <a:xfrm>
          <a:off x="5676900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25</xdr:row>
      <xdr:rowOff>0</xdr:rowOff>
    </xdr:from>
    <xdr:ext cx="104775" cy="217714"/>
    <xdr:sp macro="" textlink="">
      <xdr:nvSpPr>
        <xdr:cNvPr id="56" name="Text Box 67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>
          <a:spLocks noChangeArrowheads="1"/>
        </xdr:cNvSpPr>
      </xdr:nvSpPr>
      <xdr:spPr bwMode="auto">
        <a:xfrm>
          <a:off x="5676900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25</xdr:row>
      <xdr:rowOff>0</xdr:rowOff>
    </xdr:from>
    <xdr:ext cx="104775" cy="217714"/>
    <xdr:sp macro="" textlink="">
      <xdr:nvSpPr>
        <xdr:cNvPr id="57" name="Text Box 68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>
          <a:spLocks noChangeArrowheads="1"/>
        </xdr:cNvSpPr>
      </xdr:nvSpPr>
      <xdr:spPr bwMode="auto">
        <a:xfrm>
          <a:off x="6086475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25</xdr:row>
      <xdr:rowOff>0</xdr:rowOff>
    </xdr:from>
    <xdr:ext cx="104775" cy="217714"/>
    <xdr:sp macro="" textlink="">
      <xdr:nvSpPr>
        <xdr:cNvPr id="58" name="Text Box 69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>
          <a:spLocks noChangeArrowheads="1"/>
        </xdr:cNvSpPr>
      </xdr:nvSpPr>
      <xdr:spPr bwMode="auto">
        <a:xfrm>
          <a:off x="6086475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25</xdr:row>
      <xdr:rowOff>0</xdr:rowOff>
    </xdr:from>
    <xdr:ext cx="104775" cy="217714"/>
    <xdr:sp macro="" textlink="">
      <xdr:nvSpPr>
        <xdr:cNvPr id="59" name="Text Box 70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>
          <a:spLocks noChangeArrowheads="1"/>
        </xdr:cNvSpPr>
      </xdr:nvSpPr>
      <xdr:spPr bwMode="auto">
        <a:xfrm>
          <a:off x="5676900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25</xdr:row>
      <xdr:rowOff>0</xdr:rowOff>
    </xdr:from>
    <xdr:ext cx="104775" cy="217714"/>
    <xdr:sp macro="" textlink="">
      <xdr:nvSpPr>
        <xdr:cNvPr id="60" name="Text Box 71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>
          <a:spLocks noChangeArrowheads="1"/>
        </xdr:cNvSpPr>
      </xdr:nvSpPr>
      <xdr:spPr bwMode="auto">
        <a:xfrm>
          <a:off x="5676900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25</xdr:row>
      <xdr:rowOff>0</xdr:rowOff>
    </xdr:from>
    <xdr:ext cx="104775" cy="217714"/>
    <xdr:sp macro="" textlink="">
      <xdr:nvSpPr>
        <xdr:cNvPr id="61" name="Text Box 72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>
          <a:spLocks noChangeArrowheads="1"/>
        </xdr:cNvSpPr>
      </xdr:nvSpPr>
      <xdr:spPr bwMode="auto">
        <a:xfrm>
          <a:off x="6086475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25</xdr:row>
      <xdr:rowOff>0</xdr:rowOff>
    </xdr:from>
    <xdr:ext cx="104775" cy="217714"/>
    <xdr:sp macro="" textlink="">
      <xdr:nvSpPr>
        <xdr:cNvPr id="62" name="Text Box 73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>
          <a:spLocks noChangeArrowheads="1"/>
        </xdr:cNvSpPr>
      </xdr:nvSpPr>
      <xdr:spPr bwMode="auto">
        <a:xfrm>
          <a:off x="6086475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25</xdr:row>
      <xdr:rowOff>0</xdr:rowOff>
    </xdr:from>
    <xdr:ext cx="104775" cy="217714"/>
    <xdr:sp macro="" textlink="">
      <xdr:nvSpPr>
        <xdr:cNvPr id="63" name="Text Box 74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>
          <a:spLocks noChangeArrowheads="1"/>
        </xdr:cNvSpPr>
      </xdr:nvSpPr>
      <xdr:spPr bwMode="auto">
        <a:xfrm>
          <a:off x="5676900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25</xdr:row>
      <xdr:rowOff>0</xdr:rowOff>
    </xdr:from>
    <xdr:ext cx="104775" cy="217714"/>
    <xdr:sp macro="" textlink="">
      <xdr:nvSpPr>
        <xdr:cNvPr id="64" name="Text Box 75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>
          <a:spLocks noChangeArrowheads="1"/>
        </xdr:cNvSpPr>
      </xdr:nvSpPr>
      <xdr:spPr bwMode="auto">
        <a:xfrm>
          <a:off x="5676900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25</xdr:row>
      <xdr:rowOff>0</xdr:rowOff>
    </xdr:from>
    <xdr:ext cx="104775" cy="217714"/>
    <xdr:sp macro="" textlink="">
      <xdr:nvSpPr>
        <xdr:cNvPr id="65" name="Text Box 76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>
          <a:spLocks noChangeArrowheads="1"/>
        </xdr:cNvSpPr>
      </xdr:nvSpPr>
      <xdr:spPr bwMode="auto">
        <a:xfrm>
          <a:off x="6086475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25</xdr:row>
      <xdr:rowOff>0</xdr:rowOff>
    </xdr:from>
    <xdr:ext cx="104775" cy="217714"/>
    <xdr:sp macro="" textlink="">
      <xdr:nvSpPr>
        <xdr:cNvPr id="66" name="Text Box 77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>
          <a:spLocks noChangeArrowheads="1"/>
        </xdr:cNvSpPr>
      </xdr:nvSpPr>
      <xdr:spPr bwMode="auto">
        <a:xfrm>
          <a:off x="6086475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25</xdr:row>
      <xdr:rowOff>0</xdr:rowOff>
    </xdr:from>
    <xdr:ext cx="104775" cy="217714"/>
    <xdr:sp macro="" textlink="">
      <xdr:nvSpPr>
        <xdr:cNvPr id="67" name="Text Box 78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>
          <a:spLocks noChangeArrowheads="1"/>
        </xdr:cNvSpPr>
      </xdr:nvSpPr>
      <xdr:spPr bwMode="auto">
        <a:xfrm>
          <a:off x="5676900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25</xdr:row>
      <xdr:rowOff>0</xdr:rowOff>
    </xdr:from>
    <xdr:ext cx="104775" cy="217714"/>
    <xdr:sp macro="" textlink="">
      <xdr:nvSpPr>
        <xdr:cNvPr id="68" name="Text Box 79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>
          <a:spLocks noChangeArrowheads="1"/>
        </xdr:cNvSpPr>
      </xdr:nvSpPr>
      <xdr:spPr bwMode="auto">
        <a:xfrm>
          <a:off x="5676900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25</xdr:row>
      <xdr:rowOff>0</xdr:rowOff>
    </xdr:from>
    <xdr:ext cx="104775" cy="217714"/>
    <xdr:sp macro="" textlink="">
      <xdr:nvSpPr>
        <xdr:cNvPr id="69" name="Text Box 80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>
          <a:spLocks noChangeArrowheads="1"/>
        </xdr:cNvSpPr>
      </xdr:nvSpPr>
      <xdr:spPr bwMode="auto">
        <a:xfrm>
          <a:off x="6086475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25</xdr:row>
      <xdr:rowOff>0</xdr:rowOff>
    </xdr:from>
    <xdr:ext cx="104775" cy="217714"/>
    <xdr:sp macro="" textlink="">
      <xdr:nvSpPr>
        <xdr:cNvPr id="70" name="Text Box 81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>
          <a:spLocks noChangeArrowheads="1"/>
        </xdr:cNvSpPr>
      </xdr:nvSpPr>
      <xdr:spPr bwMode="auto">
        <a:xfrm>
          <a:off x="6086475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25</xdr:row>
      <xdr:rowOff>0</xdr:rowOff>
    </xdr:from>
    <xdr:ext cx="104775" cy="217714"/>
    <xdr:sp macro="" textlink="">
      <xdr:nvSpPr>
        <xdr:cNvPr id="71" name="Text Box 82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>
          <a:spLocks noChangeArrowheads="1"/>
        </xdr:cNvSpPr>
      </xdr:nvSpPr>
      <xdr:spPr bwMode="auto">
        <a:xfrm>
          <a:off x="5676900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25</xdr:row>
      <xdr:rowOff>0</xdr:rowOff>
    </xdr:from>
    <xdr:ext cx="104775" cy="217714"/>
    <xdr:sp macro="" textlink="">
      <xdr:nvSpPr>
        <xdr:cNvPr id="72" name="Text Box 83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>
          <a:spLocks noChangeArrowheads="1"/>
        </xdr:cNvSpPr>
      </xdr:nvSpPr>
      <xdr:spPr bwMode="auto">
        <a:xfrm>
          <a:off x="5676900" y="96107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32</xdr:row>
      <xdr:rowOff>85725</xdr:rowOff>
    </xdr:from>
    <xdr:to>
      <xdr:col>14</xdr:col>
      <xdr:colOff>228600</xdr:colOff>
      <xdr:row>50</xdr:row>
      <xdr:rowOff>57150</xdr:rowOff>
    </xdr:to>
    <xdr:graphicFrame macro="">
      <xdr:nvGraphicFramePr>
        <xdr:cNvPr id="22" name="Chart 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117022</xdr:colOff>
      <xdr:row>0</xdr:row>
      <xdr:rowOff>54429</xdr:rowOff>
    </xdr:from>
    <xdr:ext cx="1061698" cy="793296"/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22" y="54429"/>
          <a:ext cx="1061698" cy="793296"/>
        </a:xfrm>
        <a:prstGeom prst="rect">
          <a:avLst/>
        </a:prstGeom>
      </xdr:spPr>
    </xdr:pic>
    <xdr:clientData/>
  </xdr:oneCellAnchor>
  <xdr:twoCellAnchor>
    <xdr:from>
      <xdr:col>1</xdr:col>
      <xdr:colOff>457200</xdr:colOff>
      <xdr:row>55</xdr:row>
      <xdr:rowOff>0</xdr:rowOff>
    </xdr:from>
    <xdr:to>
      <xdr:col>5</xdr:col>
      <xdr:colOff>254977</xdr:colOff>
      <xdr:row>55</xdr:row>
      <xdr:rowOff>0</xdr:rowOff>
    </xdr:to>
    <xdr:cxnSp macro="">
      <xdr:nvCxnSpPr>
        <xdr:cNvPr id="28" name="Conector recto 10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CxnSpPr/>
      </xdr:nvCxnSpPr>
      <xdr:spPr>
        <a:xfrm>
          <a:off x="885825" y="9439275"/>
          <a:ext cx="1417027" cy="0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152400</xdr:colOff>
      <xdr:row>55</xdr:row>
      <xdr:rowOff>0</xdr:rowOff>
    </xdr:from>
    <xdr:to>
      <xdr:col>12</xdr:col>
      <xdr:colOff>435952</xdr:colOff>
      <xdr:row>55</xdr:row>
      <xdr:rowOff>0</xdr:rowOff>
    </xdr:to>
    <xdr:cxnSp macro="">
      <xdr:nvCxnSpPr>
        <xdr:cNvPr id="29" name="Conector recto 10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CxnSpPr/>
      </xdr:nvCxnSpPr>
      <xdr:spPr>
        <a:xfrm>
          <a:off x="4210050" y="9439275"/>
          <a:ext cx="1388452" cy="0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54</xdr:row>
          <xdr:rowOff>9525</xdr:rowOff>
        </xdr:from>
        <xdr:to>
          <xdr:col>12</xdr:col>
          <xdr:colOff>400050</xdr:colOff>
          <xdr:row>54</xdr:row>
          <xdr:rowOff>514350</xdr:rowOff>
        </xdr:to>
        <xdr:pic>
          <xdr:nvPicPr>
            <xdr:cNvPr id="31" name="Imagen 37">
              <a:extLst>
                <a:ext uri="{FF2B5EF4-FFF2-40B4-BE49-F238E27FC236}">
                  <a16:creationId xmlns:a16="http://schemas.microsoft.com/office/drawing/2014/main" id="{00000000-0008-0000-0200-00001F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aprobofirmas782" spid="_x0000_s1345137"/>
                </a:ext>
              </a:extLst>
            </xdr:cNvPicPr>
          </xdr:nvPicPr>
          <xdr:blipFill>
            <a:blip xmlns:r="http://schemas.openxmlformats.org/officeDocument/2006/relationships" r:embed="rId3">
              <a:clrChange>
                <a:clrFrom>
                  <a:srgbClr val="FEFEFE"/>
                </a:clrFrom>
                <a:clrTo>
                  <a:srgbClr val="FEFEFE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4124325" y="8915400"/>
              <a:ext cx="1514475" cy="5048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447675</xdr:colOff>
          <xdr:row>53</xdr:row>
          <xdr:rowOff>142875</xdr:rowOff>
        </xdr:from>
        <xdr:to>
          <xdr:col>6</xdr:col>
          <xdr:colOff>21431</xdr:colOff>
          <xdr:row>54</xdr:row>
          <xdr:rowOff>495300</xdr:rowOff>
        </xdr:to>
        <xdr:pic>
          <xdr:nvPicPr>
            <xdr:cNvPr id="32" name="Picture 313">
              <a:extLst>
                <a:ext uri="{FF2B5EF4-FFF2-40B4-BE49-F238E27FC236}">
                  <a16:creationId xmlns:a16="http://schemas.microsoft.com/office/drawing/2014/main" id="{00000000-0008-0000-0200-000020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revisofirmas1" spid="_x0000_s1345138"/>
                </a:ext>
              </a:extLst>
            </xdr:cNvPicPr>
          </xdr:nvPicPr>
          <xdr:blipFill>
            <a:blip xmlns:r="http://schemas.openxmlformats.org/officeDocument/2006/relationships" r:embed="rId4">
              <a:clrChange>
                <a:clrFrom>
                  <a:srgbClr val="FEFEFE"/>
                </a:clrFrom>
                <a:clrTo>
                  <a:srgbClr val="FEFEFE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876300" y="8886825"/>
              <a:ext cx="1514475" cy="5143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oneCellAnchor>
    <xdr:from>
      <xdr:col>13</xdr:col>
      <xdr:colOff>0</xdr:colOff>
      <xdr:row>57</xdr:row>
      <xdr:rowOff>0</xdr:rowOff>
    </xdr:from>
    <xdr:ext cx="104775" cy="217714"/>
    <xdr:sp macro="" textlink="">
      <xdr:nvSpPr>
        <xdr:cNvPr id="11" name="Text Box 33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5676900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57</xdr:row>
      <xdr:rowOff>0</xdr:rowOff>
    </xdr:from>
    <xdr:ext cx="104775" cy="217714"/>
    <xdr:sp macro="" textlink="">
      <xdr:nvSpPr>
        <xdr:cNvPr id="12" name="Text Box 65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6086475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57</xdr:row>
      <xdr:rowOff>0</xdr:rowOff>
    </xdr:from>
    <xdr:ext cx="104775" cy="217714"/>
    <xdr:sp macro="" textlink="">
      <xdr:nvSpPr>
        <xdr:cNvPr id="13" name="Text Box 66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5676900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57</xdr:row>
      <xdr:rowOff>0</xdr:rowOff>
    </xdr:from>
    <xdr:ext cx="104775" cy="217714"/>
    <xdr:sp macro="" textlink="">
      <xdr:nvSpPr>
        <xdr:cNvPr id="14" name="Text Box 67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5676900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57</xdr:row>
      <xdr:rowOff>0</xdr:rowOff>
    </xdr:from>
    <xdr:ext cx="104775" cy="217714"/>
    <xdr:sp macro="" textlink="">
      <xdr:nvSpPr>
        <xdr:cNvPr id="15" name="Text Box 68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6086475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57</xdr:row>
      <xdr:rowOff>0</xdr:rowOff>
    </xdr:from>
    <xdr:ext cx="104775" cy="217714"/>
    <xdr:sp macro="" textlink="">
      <xdr:nvSpPr>
        <xdr:cNvPr id="16" name="Text Box 69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6086475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57</xdr:row>
      <xdr:rowOff>0</xdr:rowOff>
    </xdr:from>
    <xdr:ext cx="104775" cy="217714"/>
    <xdr:sp macro="" textlink="">
      <xdr:nvSpPr>
        <xdr:cNvPr id="17" name="Text Box 70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>
          <a:spLocks noChangeArrowheads="1"/>
        </xdr:cNvSpPr>
      </xdr:nvSpPr>
      <xdr:spPr bwMode="auto">
        <a:xfrm>
          <a:off x="5676900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57</xdr:row>
      <xdr:rowOff>0</xdr:rowOff>
    </xdr:from>
    <xdr:ext cx="104775" cy="217714"/>
    <xdr:sp macro="" textlink="">
      <xdr:nvSpPr>
        <xdr:cNvPr id="18" name="Text Box 71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5676900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57</xdr:row>
      <xdr:rowOff>0</xdr:rowOff>
    </xdr:from>
    <xdr:ext cx="104775" cy="217714"/>
    <xdr:sp macro="" textlink="">
      <xdr:nvSpPr>
        <xdr:cNvPr id="19" name="Text Box 7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>
          <a:spLocks noChangeArrowheads="1"/>
        </xdr:cNvSpPr>
      </xdr:nvSpPr>
      <xdr:spPr bwMode="auto">
        <a:xfrm>
          <a:off x="6086475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57</xdr:row>
      <xdr:rowOff>0</xdr:rowOff>
    </xdr:from>
    <xdr:ext cx="104775" cy="217714"/>
    <xdr:sp macro="" textlink="">
      <xdr:nvSpPr>
        <xdr:cNvPr id="20" name="Text Box 73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6086475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57</xdr:row>
      <xdr:rowOff>0</xdr:rowOff>
    </xdr:from>
    <xdr:ext cx="104775" cy="217714"/>
    <xdr:sp macro="" textlink="">
      <xdr:nvSpPr>
        <xdr:cNvPr id="21" name="Text Box 74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>
          <a:spLocks noChangeArrowheads="1"/>
        </xdr:cNvSpPr>
      </xdr:nvSpPr>
      <xdr:spPr bwMode="auto">
        <a:xfrm>
          <a:off x="5676900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57</xdr:row>
      <xdr:rowOff>0</xdr:rowOff>
    </xdr:from>
    <xdr:ext cx="104775" cy="217714"/>
    <xdr:sp macro="" textlink="">
      <xdr:nvSpPr>
        <xdr:cNvPr id="23" name="Text Box 75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>
          <a:spLocks noChangeArrowheads="1"/>
        </xdr:cNvSpPr>
      </xdr:nvSpPr>
      <xdr:spPr bwMode="auto">
        <a:xfrm>
          <a:off x="5676900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57</xdr:row>
      <xdr:rowOff>0</xdr:rowOff>
    </xdr:from>
    <xdr:ext cx="104775" cy="217714"/>
    <xdr:sp macro="" textlink="">
      <xdr:nvSpPr>
        <xdr:cNvPr id="24" name="Text Box 76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>
          <a:spLocks noChangeArrowheads="1"/>
        </xdr:cNvSpPr>
      </xdr:nvSpPr>
      <xdr:spPr bwMode="auto">
        <a:xfrm>
          <a:off x="6086475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57</xdr:row>
      <xdr:rowOff>0</xdr:rowOff>
    </xdr:from>
    <xdr:ext cx="104775" cy="217714"/>
    <xdr:sp macro="" textlink="">
      <xdr:nvSpPr>
        <xdr:cNvPr id="33" name="Text Box 77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>
          <a:spLocks noChangeArrowheads="1"/>
        </xdr:cNvSpPr>
      </xdr:nvSpPr>
      <xdr:spPr bwMode="auto">
        <a:xfrm>
          <a:off x="6086475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57</xdr:row>
      <xdr:rowOff>0</xdr:rowOff>
    </xdr:from>
    <xdr:ext cx="104775" cy="217714"/>
    <xdr:sp macro="" textlink="">
      <xdr:nvSpPr>
        <xdr:cNvPr id="34" name="Text Box 78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>
          <a:spLocks noChangeArrowheads="1"/>
        </xdr:cNvSpPr>
      </xdr:nvSpPr>
      <xdr:spPr bwMode="auto">
        <a:xfrm>
          <a:off x="5676900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57</xdr:row>
      <xdr:rowOff>0</xdr:rowOff>
    </xdr:from>
    <xdr:ext cx="104775" cy="217714"/>
    <xdr:sp macro="" textlink="">
      <xdr:nvSpPr>
        <xdr:cNvPr id="35" name="Text Box 79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>
          <a:spLocks noChangeArrowheads="1"/>
        </xdr:cNvSpPr>
      </xdr:nvSpPr>
      <xdr:spPr bwMode="auto">
        <a:xfrm>
          <a:off x="5676900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57</xdr:row>
      <xdr:rowOff>0</xdr:rowOff>
    </xdr:from>
    <xdr:ext cx="104775" cy="217714"/>
    <xdr:sp macro="" textlink="">
      <xdr:nvSpPr>
        <xdr:cNvPr id="36" name="Text Box 80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>
          <a:spLocks noChangeArrowheads="1"/>
        </xdr:cNvSpPr>
      </xdr:nvSpPr>
      <xdr:spPr bwMode="auto">
        <a:xfrm>
          <a:off x="6086475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57</xdr:row>
      <xdr:rowOff>0</xdr:rowOff>
    </xdr:from>
    <xdr:ext cx="104775" cy="217714"/>
    <xdr:sp macro="" textlink="">
      <xdr:nvSpPr>
        <xdr:cNvPr id="37" name="Text Box 81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>
          <a:spLocks noChangeArrowheads="1"/>
        </xdr:cNvSpPr>
      </xdr:nvSpPr>
      <xdr:spPr bwMode="auto">
        <a:xfrm>
          <a:off x="6086475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57</xdr:row>
      <xdr:rowOff>0</xdr:rowOff>
    </xdr:from>
    <xdr:ext cx="104775" cy="217714"/>
    <xdr:sp macro="" textlink="">
      <xdr:nvSpPr>
        <xdr:cNvPr id="38" name="Text Box 82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>
          <a:spLocks noChangeArrowheads="1"/>
        </xdr:cNvSpPr>
      </xdr:nvSpPr>
      <xdr:spPr bwMode="auto">
        <a:xfrm>
          <a:off x="5676900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57</xdr:row>
      <xdr:rowOff>0</xdr:rowOff>
    </xdr:from>
    <xdr:ext cx="104775" cy="217714"/>
    <xdr:sp macro="" textlink="">
      <xdr:nvSpPr>
        <xdr:cNvPr id="39" name="Text Box 83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>
          <a:spLocks noChangeArrowheads="1"/>
        </xdr:cNvSpPr>
      </xdr:nvSpPr>
      <xdr:spPr bwMode="auto">
        <a:xfrm>
          <a:off x="5676900" y="635317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0.0693</cdr:x>
      <cdr:y>0.01588</cdr:y>
    </cdr:from>
    <cdr:to>
      <cdr:x>0.0693</cdr:x>
      <cdr:y>0.03721</cdr:y>
    </cdr:to>
    <cdr:sp macro="" textlink="">
      <cdr:nvSpPr>
        <cdr:cNvPr id="202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7633" y="53086"/>
          <a:ext cx="0" cy="670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vert="vert270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6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N°200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12</xdr:row>
      <xdr:rowOff>0</xdr:rowOff>
    </xdr:from>
    <xdr:to>
      <xdr:col>13</xdr:col>
      <xdr:colOff>104775</xdr:colOff>
      <xdr:row>12</xdr:row>
      <xdr:rowOff>217714</xdr:rowOff>
    </xdr:to>
    <xdr:sp macro="" textlink="">
      <xdr:nvSpPr>
        <xdr:cNvPr id="2" name="Text Box 3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5676900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</xdr:row>
      <xdr:rowOff>0</xdr:rowOff>
    </xdr:from>
    <xdr:to>
      <xdr:col>14</xdr:col>
      <xdr:colOff>104775</xdr:colOff>
      <xdr:row>12</xdr:row>
      <xdr:rowOff>217714</xdr:rowOff>
    </xdr:to>
    <xdr:sp macro="" textlink="">
      <xdr:nvSpPr>
        <xdr:cNvPr id="3" name="Text Box 6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6086475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104775</xdr:colOff>
      <xdr:row>12</xdr:row>
      <xdr:rowOff>217714</xdr:rowOff>
    </xdr:to>
    <xdr:sp macro="" textlink="">
      <xdr:nvSpPr>
        <xdr:cNvPr id="4" name="Text Box 66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 bwMode="auto">
        <a:xfrm>
          <a:off x="5676900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104775</xdr:colOff>
      <xdr:row>12</xdr:row>
      <xdr:rowOff>217714</xdr:rowOff>
    </xdr:to>
    <xdr:sp macro="" textlink="">
      <xdr:nvSpPr>
        <xdr:cNvPr id="5" name="Text Box 67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 bwMode="auto">
        <a:xfrm>
          <a:off x="5676900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</xdr:row>
      <xdr:rowOff>0</xdr:rowOff>
    </xdr:from>
    <xdr:to>
      <xdr:col>14</xdr:col>
      <xdr:colOff>104775</xdr:colOff>
      <xdr:row>12</xdr:row>
      <xdr:rowOff>217714</xdr:rowOff>
    </xdr:to>
    <xdr:sp macro="" textlink="">
      <xdr:nvSpPr>
        <xdr:cNvPr id="6" name="Text Box 68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 bwMode="auto">
        <a:xfrm>
          <a:off x="6086475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</xdr:row>
      <xdr:rowOff>0</xdr:rowOff>
    </xdr:from>
    <xdr:to>
      <xdr:col>14</xdr:col>
      <xdr:colOff>104775</xdr:colOff>
      <xdr:row>12</xdr:row>
      <xdr:rowOff>217714</xdr:rowOff>
    </xdr:to>
    <xdr:sp macro="" textlink="">
      <xdr:nvSpPr>
        <xdr:cNvPr id="7" name="Text Box 69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 bwMode="auto">
        <a:xfrm>
          <a:off x="6086475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104775</xdr:colOff>
      <xdr:row>12</xdr:row>
      <xdr:rowOff>217714</xdr:rowOff>
    </xdr:to>
    <xdr:sp macro="" textlink="">
      <xdr:nvSpPr>
        <xdr:cNvPr id="8" name="Text Box 70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>
          <a:spLocks noChangeArrowheads="1"/>
        </xdr:cNvSpPr>
      </xdr:nvSpPr>
      <xdr:spPr bwMode="auto">
        <a:xfrm>
          <a:off x="5676900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104775</xdr:colOff>
      <xdr:row>12</xdr:row>
      <xdr:rowOff>217714</xdr:rowOff>
    </xdr:to>
    <xdr:sp macro="" textlink="">
      <xdr:nvSpPr>
        <xdr:cNvPr id="9" name="Text Box 7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>
          <a:spLocks noChangeArrowheads="1"/>
        </xdr:cNvSpPr>
      </xdr:nvSpPr>
      <xdr:spPr bwMode="auto">
        <a:xfrm>
          <a:off x="5676900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</xdr:row>
      <xdr:rowOff>0</xdr:rowOff>
    </xdr:from>
    <xdr:to>
      <xdr:col>14</xdr:col>
      <xdr:colOff>104775</xdr:colOff>
      <xdr:row>12</xdr:row>
      <xdr:rowOff>217714</xdr:rowOff>
    </xdr:to>
    <xdr:sp macro="" textlink="">
      <xdr:nvSpPr>
        <xdr:cNvPr id="10" name="Text Box 7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 bwMode="auto">
        <a:xfrm>
          <a:off x="6086475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</xdr:row>
      <xdr:rowOff>0</xdr:rowOff>
    </xdr:from>
    <xdr:to>
      <xdr:col>14</xdr:col>
      <xdr:colOff>104775</xdr:colOff>
      <xdr:row>12</xdr:row>
      <xdr:rowOff>217714</xdr:rowOff>
    </xdr:to>
    <xdr:sp macro="" textlink="">
      <xdr:nvSpPr>
        <xdr:cNvPr id="11" name="Text Box 73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 bwMode="auto">
        <a:xfrm>
          <a:off x="6086475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104775</xdr:colOff>
      <xdr:row>12</xdr:row>
      <xdr:rowOff>217714</xdr:rowOff>
    </xdr:to>
    <xdr:sp macro="" textlink="">
      <xdr:nvSpPr>
        <xdr:cNvPr id="12" name="Text Box 74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>
          <a:spLocks noChangeArrowheads="1"/>
        </xdr:cNvSpPr>
      </xdr:nvSpPr>
      <xdr:spPr bwMode="auto">
        <a:xfrm>
          <a:off x="5676900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104775</xdr:colOff>
      <xdr:row>12</xdr:row>
      <xdr:rowOff>217714</xdr:rowOff>
    </xdr:to>
    <xdr:sp macro="" textlink="">
      <xdr:nvSpPr>
        <xdr:cNvPr id="13" name="Text Box 75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>
          <a:spLocks noChangeArrowheads="1"/>
        </xdr:cNvSpPr>
      </xdr:nvSpPr>
      <xdr:spPr bwMode="auto">
        <a:xfrm>
          <a:off x="5676900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</xdr:row>
      <xdr:rowOff>0</xdr:rowOff>
    </xdr:from>
    <xdr:to>
      <xdr:col>14</xdr:col>
      <xdr:colOff>104775</xdr:colOff>
      <xdr:row>12</xdr:row>
      <xdr:rowOff>217714</xdr:rowOff>
    </xdr:to>
    <xdr:sp macro="" textlink="">
      <xdr:nvSpPr>
        <xdr:cNvPr id="14" name="Text Box 76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>
          <a:spLocks noChangeArrowheads="1"/>
        </xdr:cNvSpPr>
      </xdr:nvSpPr>
      <xdr:spPr bwMode="auto">
        <a:xfrm>
          <a:off x="6086475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</xdr:row>
      <xdr:rowOff>0</xdr:rowOff>
    </xdr:from>
    <xdr:to>
      <xdr:col>14</xdr:col>
      <xdr:colOff>104775</xdr:colOff>
      <xdr:row>12</xdr:row>
      <xdr:rowOff>217714</xdr:rowOff>
    </xdr:to>
    <xdr:sp macro="" textlink="">
      <xdr:nvSpPr>
        <xdr:cNvPr id="15" name="Text Box 77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>
          <a:spLocks noChangeArrowheads="1"/>
        </xdr:cNvSpPr>
      </xdr:nvSpPr>
      <xdr:spPr bwMode="auto">
        <a:xfrm>
          <a:off x="6086475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104775</xdr:colOff>
      <xdr:row>12</xdr:row>
      <xdr:rowOff>217714</xdr:rowOff>
    </xdr:to>
    <xdr:sp macro="" textlink="">
      <xdr:nvSpPr>
        <xdr:cNvPr id="16" name="Text Box 78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>
          <a:spLocks noChangeArrowheads="1"/>
        </xdr:cNvSpPr>
      </xdr:nvSpPr>
      <xdr:spPr bwMode="auto">
        <a:xfrm>
          <a:off x="5676900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104775</xdr:colOff>
      <xdr:row>12</xdr:row>
      <xdr:rowOff>217714</xdr:rowOff>
    </xdr:to>
    <xdr:sp macro="" textlink="">
      <xdr:nvSpPr>
        <xdr:cNvPr id="17" name="Text Box 79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>
          <a:spLocks noChangeArrowheads="1"/>
        </xdr:cNvSpPr>
      </xdr:nvSpPr>
      <xdr:spPr bwMode="auto">
        <a:xfrm>
          <a:off x="5676900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</xdr:row>
      <xdr:rowOff>0</xdr:rowOff>
    </xdr:from>
    <xdr:to>
      <xdr:col>14</xdr:col>
      <xdr:colOff>104775</xdr:colOff>
      <xdr:row>12</xdr:row>
      <xdr:rowOff>217714</xdr:rowOff>
    </xdr:to>
    <xdr:sp macro="" textlink="">
      <xdr:nvSpPr>
        <xdr:cNvPr id="18" name="Text Box 80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>
          <a:spLocks noChangeArrowheads="1"/>
        </xdr:cNvSpPr>
      </xdr:nvSpPr>
      <xdr:spPr bwMode="auto">
        <a:xfrm>
          <a:off x="6086475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104775</xdr:colOff>
      <xdr:row>12</xdr:row>
      <xdr:rowOff>217714</xdr:rowOff>
    </xdr:to>
    <xdr:sp macro="" textlink="">
      <xdr:nvSpPr>
        <xdr:cNvPr id="20" name="Text Box 82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>
          <a:spLocks noChangeArrowheads="1"/>
        </xdr:cNvSpPr>
      </xdr:nvSpPr>
      <xdr:spPr bwMode="auto">
        <a:xfrm>
          <a:off x="5676900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104775</xdr:colOff>
      <xdr:row>12</xdr:row>
      <xdr:rowOff>217714</xdr:rowOff>
    </xdr:to>
    <xdr:sp macro="" textlink="">
      <xdr:nvSpPr>
        <xdr:cNvPr id="21" name="Text Box 83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>
          <a:spLocks noChangeArrowheads="1"/>
        </xdr:cNvSpPr>
      </xdr:nvSpPr>
      <xdr:spPr bwMode="auto">
        <a:xfrm>
          <a:off x="5676900" y="19621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33</xdr:row>
          <xdr:rowOff>9525</xdr:rowOff>
        </xdr:from>
        <xdr:to>
          <xdr:col>12</xdr:col>
          <xdr:colOff>285750</xdr:colOff>
          <xdr:row>33</xdr:row>
          <xdr:rowOff>540290</xdr:rowOff>
        </xdr:to>
        <xdr:pic>
          <xdr:nvPicPr>
            <xdr:cNvPr id="28" name="Imagen 37">
              <a:extLst>
                <a:ext uri="{FF2B5EF4-FFF2-40B4-BE49-F238E27FC236}">
                  <a16:creationId xmlns:a16="http://schemas.microsoft.com/office/drawing/2014/main" id="{00000000-0008-0000-0300-00001C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aprobofirmas1" spid="_x0000_s1325385"/>
                </a:ext>
              </a:extLst>
            </xdr:cNvPicPr>
          </xdr:nvPicPr>
          <xdr:blipFill>
            <a:blip xmlns:r="http://schemas.openxmlformats.org/officeDocument/2006/relationships" r:embed="rId1">
              <a:clrChange>
                <a:clrFrom>
                  <a:srgbClr val="FEFEFE"/>
                </a:clrFrom>
                <a:clrTo>
                  <a:srgbClr val="FEFEFE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4010025" y="8315325"/>
              <a:ext cx="1514475" cy="5048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33</xdr:row>
          <xdr:rowOff>0</xdr:rowOff>
        </xdr:from>
        <xdr:to>
          <xdr:col>5</xdr:col>
          <xdr:colOff>314325</xdr:colOff>
          <xdr:row>33</xdr:row>
          <xdr:rowOff>530765</xdr:rowOff>
        </xdr:to>
        <xdr:pic>
          <xdr:nvPicPr>
            <xdr:cNvPr id="29" name="Picture 313">
              <a:extLst>
                <a:ext uri="{FF2B5EF4-FFF2-40B4-BE49-F238E27FC236}">
                  <a16:creationId xmlns:a16="http://schemas.microsoft.com/office/drawing/2014/main" id="{00000000-0008-0000-0300-00001D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revisofirmas1" spid="_x0000_s1325386"/>
                </a:ext>
              </a:extLst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EFEFE"/>
                </a:clrFrom>
                <a:clrTo>
                  <a:srgbClr val="FEFEFE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847725" y="8305800"/>
              <a:ext cx="1514475" cy="5048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0</xdr:col>
      <xdr:colOff>19048</xdr:colOff>
      <xdr:row>0</xdr:row>
      <xdr:rowOff>66675</xdr:rowOff>
    </xdr:from>
    <xdr:to>
      <xdr:col>3</xdr:col>
      <xdr:colOff>318134</xdr:colOff>
      <xdr:row>4</xdr:row>
      <xdr:rowOff>151130</xdr:rowOff>
    </xdr:to>
    <xdr:grpSp>
      <xdr:nvGrpSpPr>
        <xdr:cNvPr id="25" name="Grupo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GrpSpPr/>
      </xdr:nvGrpSpPr>
      <xdr:grpSpPr>
        <a:xfrm>
          <a:off x="19048" y="66675"/>
          <a:ext cx="1594486" cy="827405"/>
          <a:chOff x="9524" y="0"/>
          <a:chExt cx="1594587" cy="827405"/>
        </a:xfrm>
      </xdr:grpSpPr>
      <xdr:grpSp>
        <xdr:nvGrpSpPr>
          <xdr:cNvPr id="26" name="Grupo 25">
            <a:extLst>
              <a:ext uri="{FF2B5EF4-FFF2-40B4-BE49-F238E27FC236}">
                <a16:creationId xmlns:a16="http://schemas.microsoft.com/office/drawing/2014/main" id="{00000000-0008-0000-0300-00001A000000}"/>
              </a:ext>
            </a:extLst>
          </xdr:cNvPr>
          <xdr:cNvGrpSpPr/>
        </xdr:nvGrpSpPr>
        <xdr:grpSpPr>
          <a:xfrm>
            <a:off x="9524" y="20688"/>
            <a:ext cx="914401" cy="769620"/>
            <a:chOff x="0" y="0"/>
            <a:chExt cx="875761" cy="769620"/>
          </a:xfrm>
          <a:solidFill>
            <a:schemeClr val="bg1"/>
          </a:solidFill>
        </xdr:grpSpPr>
        <xdr:pic>
          <xdr:nvPicPr>
            <xdr:cNvPr id="30" name="Imagen 29">
              <a:extLst>
                <a:ext uri="{FF2B5EF4-FFF2-40B4-BE49-F238E27FC236}">
                  <a16:creationId xmlns:a16="http://schemas.microsoft.com/office/drawing/2014/main" id="{00000000-0008-0000-0300-00001E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31669"/>
            <a:stretch/>
          </xdr:blipFill>
          <xdr:spPr bwMode="auto">
            <a:xfrm>
              <a:off x="0" y="0"/>
              <a:ext cx="858520" cy="535940"/>
            </a:xfrm>
            <a:prstGeom prst="rect">
              <a:avLst/>
            </a:prstGeom>
            <a:grpFill/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</xdr:pic>
        <xdr:sp macro="" textlink="">
          <xdr:nvSpPr>
            <xdr:cNvPr id="31" name="Cuadro de texto 20">
              <a:extLst>
                <a:ext uri="{FF2B5EF4-FFF2-40B4-BE49-F238E27FC236}">
                  <a16:creationId xmlns:a16="http://schemas.microsoft.com/office/drawing/2014/main" id="{00000000-0008-0000-0300-00001F000000}"/>
                </a:ext>
              </a:extLst>
            </xdr:cNvPr>
            <xdr:cNvSpPr txBox="1"/>
          </xdr:nvSpPr>
          <xdr:spPr>
            <a:xfrm>
              <a:off x="1" y="518160"/>
              <a:ext cx="875760" cy="251460"/>
            </a:xfrm>
            <a:prstGeom prst="rect">
              <a:avLst/>
            </a:prstGeom>
            <a:grpFill/>
            <a:ln>
              <a:noFill/>
            </a:ln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ctr">
                <a:lnSpc>
                  <a:spcPct val="107000"/>
                </a:lnSpc>
                <a:spcAft>
                  <a:spcPts val="0"/>
                </a:spcAft>
              </a:pPr>
              <a:r>
                <a:rPr lang="es-ES" sz="500">
                  <a:effectLst/>
                  <a:latin typeface="Century Gothic" panose="020B0502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ISO/IEC 17025:2017</a:t>
              </a:r>
              <a:endParaRPr lang="es-CO" sz="1100">
                <a:effectLst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 algn="ctr">
                <a:lnSpc>
                  <a:spcPct val="107000"/>
                </a:lnSpc>
                <a:spcAft>
                  <a:spcPts val="0"/>
                </a:spcAft>
              </a:pPr>
              <a:r>
                <a:rPr lang="es-ES" sz="500">
                  <a:effectLst/>
                  <a:latin typeface="Century Gothic" panose="020B0502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19-LAB-016</a:t>
              </a:r>
              <a:endParaRPr lang="es-CO" sz="1100">
                <a:effectLst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27" name="Imagen 26">
            <a:extLst>
              <a:ext uri="{FF2B5EF4-FFF2-40B4-BE49-F238E27FC236}">
                <a16:creationId xmlns:a16="http://schemas.microsoft.com/office/drawing/2014/main" id="{00000000-0008-0000-0300-00001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1240" t="9419" r="1903" b="10248"/>
          <a:stretch/>
        </xdr:blipFill>
        <xdr:spPr bwMode="auto">
          <a:xfrm>
            <a:off x="955776" y="0"/>
            <a:ext cx="648335" cy="827405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oneCellAnchor>
    <xdr:from>
      <xdr:col>13</xdr:col>
      <xdr:colOff>0</xdr:colOff>
      <xdr:row>36</xdr:row>
      <xdr:rowOff>0</xdr:rowOff>
    </xdr:from>
    <xdr:ext cx="104775" cy="217714"/>
    <xdr:sp macro="" textlink="">
      <xdr:nvSpPr>
        <xdr:cNvPr id="32" name="Text Box 33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>
          <a:spLocks noChangeArrowheads="1"/>
        </xdr:cNvSpPr>
      </xdr:nvSpPr>
      <xdr:spPr bwMode="auto">
        <a:xfrm>
          <a:off x="5676900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36</xdr:row>
      <xdr:rowOff>0</xdr:rowOff>
    </xdr:from>
    <xdr:ext cx="104775" cy="217714"/>
    <xdr:sp macro="" textlink="">
      <xdr:nvSpPr>
        <xdr:cNvPr id="33" name="Text Box 65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>
          <a:spLocks noChangeArrowheads="1"/>
        </xdr:cNvSpPr>
      </xdr:nvSpPr>
      <xdr:spPr bwMode="auto">
        <a:xfrm>
          <a:off x="6086475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36</xdr:row>
      <xdr:rowOff>0</xdr:rowOff>
    </xdr:from>
    <xdr:ext cx="104775" cy="217714"/>
    <xdr:sp macro="" textlink="">
      <xdr:nvSpPr>
        <xdr:cNvPr id="34" name="Text Box 66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>
          <a:spLocks noChangeArrowheads="1"/>
        </xdr:cNvSpPr>
      </xdr:nvSpPr>
      <xdr:spPr bwMode="auto">
        <a:xfrm>
          <a:off x="5676900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36</xdr:row>
      <xdr:rowOff>0</xdr:rowOff>
    </xdr:from>
    <xdr:ext cx="104775" cy="217714"/>
    <xdr:sp macro="" textlink="">
      <xdr:nvSpPr>
        <xdr:cNvPr id="35" name="Text Box 67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>
          <a:spLocks noChangeArrowheads="1"/>
        </xdr:cNvSpPr>
      </xdr:nvSpPr>
      <xdr:spPr bwMode="auto">
        <a:xfrm>
          <a:off x="5676900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36</xdr:row>
      <xdr:rowOff>0</xdr:rowOff>
    </xdr:from>
    <xdr:ext cx="104775" cy="217714"/>
    <xdr:sp macro="" textlink="">
      <xdr:nvSpPr>
        <xdr:cNvPr id="36" name="Text Box 68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>
          <a:spLocks noChangeArrowheads="1"/>
        </xdr:cNvSpPr>
      </xdr:nvSpPr>
      <xdr:spPr bwMode="auto">
        <a:xfrm>
          <a:off x="6086475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36</xdr:row>
      <xdr:rowOff>0</xdr:rowOff>
    </xdr:from>
    <xdr:ext cx="104775" cy="217714"/>
    <xdr:sp macro="" textlink="">
      <xdr:nvSpPr>
        <xdr:cNvPr id="37" name="Text Box 69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>
          <a:spLocks noChangeArrowheads="1"/>
        </xdr:cNvSpPr>
      </xdr:nvSpPr>
      <xdr:spPr bwMode="auto">
        <a:xfrm>
          <a:off x="6086475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36</xdr:row>
      <xdr:rowOff>0</xdr:rowOff>
    </xdr:from>
    <xdr:ext cx="104775" cy="217714"/>
    <xdr:sp macro="" textlink="">
      <xdr:nvSpPr>
        <xdr:cNvPr id="38" name="Text Box 70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>
          <a:spLocks noChangeArrowheads="1"/>
        </xdr:cNvSpPr>
      </xdr:nvSpPr>
      <xdr:spPr bwMode="auto">
        <a:xfrm>
          <a:off x="5676900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36</xdr:row>
      <xdr:rowOff>0</xdr:rowOff>
    </xdr:from>
    <xdr:ext cx="104775" cy="217714"/>
    <xdr:sp macro="" textlink="">
      <xdr:nvSpPr>
        <xdr:cNvPr id="39" name="Text Box 71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>
          <a:spLocks noChangeArrowheads="1"/>
        </xdr:cNvSpPr>
      </xdr:nvSpPr>
      <xdr:spPr bwMode="auto">
        <a:xfrm>
          <a:off x="5676900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36</xdr:row>
      <xdr:rowOff>0</xdr:rowOff>
    </xdr:from>
    <xdr:ext cx="104775" cy="217714"/>
    <xdr:sp macro="" textlink="">
      <xdr:nvSpPr>
        <xdr:cNvPr id="40" name="Text Box 72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>
          <a:spLocks noChangeArrowheads="1"/>
        </xdr:cNvSpPr>
      </xdr:nvSpPr>
      <xdr:spPr bwMode="auto">
        <a:xfrm>
          <a:off x="6086475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36</xdr:row>
      <xdr:rowOff>0</xdr:rowOff>
    </xdr:from>
    <xdr:ext cx="104775" cy="217714"/>
    <xdr:sp macro="" textlink="">
      <xdr:nvSpPr>
        <xdr:cNvPr id="41" name="Text Box 73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>
          <a:spLocks noChangeArrowheads="1"/>
        </xdr:cNvSpPr>
      </xdr:nvSpPr>
      <xdr:spPr bwMode="auto">
        <a:xfrm>
          <a:off x="6086475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36</xdr:row>
      <xdr:rowOff>0</xdr:rowOff>
    </xdr:from>
    <xdr:ext cx="104775" cy="217714"/>
    <xdr:sp macro="" textlink="">
      <xdr:nvSpPr>
        <xdr:cNvPr id="42" name="Text Box 74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>
          <a:spLocks noChangeArrowheads="1"/>
        </xdr:cNvSpPr>
      </xdr:nvSpPr>
      <xdr:spPr bwMode="auto">
        <a:xfrm>
          <a:off x="5676900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36</xdr:row>
      <xdr:rowOff>0</xdr:rowOff>
    </xdr:from>
    <xdr:ext cx="104775" cy="217714"/>
    <xdr:sp macro="" textlink="">
      <xdr:nvSpPr>
        <xdr:cNvPr id="43" name="Text Box 75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>
          <a:spLocks noChangeArrowheads="1"/>
        </xdr:cNvSpPr>
      </xdr:nvSpPr>
      <xdr:spPr bwMode="auto">
        <a:xfrm>
          <a:off x="5676900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36</xdr:row>
      <xdr:rowOff>0</xdr:rowOff>
    </xdr:from>
    <xdr:ext cx="104775" cy="217714"/>
    <xdr:sp macro="" textlink="">
      <xdr:nvSpPr>
        <xdr:cNvPr id="44" name="Text Box 76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>
          <a:spLocks noChangeArrowheads="1"/>
        </xdr:cNvSpPr>
      </xdr:nvSpPr>
      <xdr:spPr bwMode="auto">
        <a:xfrm>
          <a:off x="6086475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36</xdr:row>
      <xdr:rowOff>0</xdr:rowOff>
    </xdr:from>
    <xdr:ext cx="104775" cy="217714"/>
    <xdr:sp macro="" textlink="">
      <xdr:nvSpPr>
        <xdr:cNvPr id="45" name="Text Box 77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>
          <a:spLocks noChangeArrowheads="1"/>
        </xdr:cNvSpPr>
      </xdr:nvSpPr>
      <xdr:spPr bwMode="auto">
        <a:xfrm>
          <a:off x="6086475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36</xdr:row>
      <xdr:rowOff>0</xdr:rowOff>
    </xdr:from>
    <xdr:ext cx="104775" cy="217714"/>
    <xdr:sp macro="" textlink="">
      <xdr:nvSpPr>
        <xdr:cNvPr id="46" name="Text Box 78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>
          <a:spLocks noChangeArrowheads="1"/>
        </xdr:cNvSpPr>
      </xdr:nvSpPr>
      <xdr:spPr bwMode="auto">
        <a:xfrm>
          <a:off x="5676900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36</xdr:row>
      <xdr:rowOff>0</xdr:rowOff>
    </xdr:from>
    <xdr:ext cx="104775" cy="217714"/>
    <xdr:sp macro="" textlink="">
      <xdr:nvSpPr>
        <xdr:cNvPr id="47" name="Text Box 79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>
          <a:spLocks noChangeArrowheads="1"/>
        </xdr:cNvSpPr>
      </xdr:nvSpPr>
      <xdr:spPr bwMode="auto">
        <a:xfrm>
          <a:off x="5676900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36</xdr:row>
      <xdr:rowOff>0</xdr:rowOff>
    </xdr:from>
    <xdr:ext cx="104775" cy="217714"/>
    <xdr:sp macro="" textlink="">
      <xdr:nvSpPr>
        <xdr:cNvPr id="48" name="Text Box 80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>
          <a:spLocks noChangeArrowheads="1"/>
        </xdr:cNvSpPr>
      </xdr:nvSpPr>
      <xdr:spPr bwMode="auto">
        <a:xfrm>
          <a:off x="6086475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36</xdr:row>
      <xdr:rowOff>0</xdr:rowOff>
    </xdr:from>
    <xdr:ext cx="104775" cy="217714"/>
    <xdr:sp macro="" textlink="">
      <xdr:nvSpPr>
        <xdr:cNvPr id="49" name="Text Box 81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>
          <a:spLocks noChangeArrowheads="1"/>
        </xdr:cNvSpPr>
      </xdr:nvSpPr>
      <xdr:spPr bwMode="auto">
        <a:xfrm>
          <a:off x="6086475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36</xdr:row>
      <xdr:rowOff>0</xdr:rowOff>
    </xdr:from>
    <xdr:ext cx="104775" cy="217714"/>
    <xdr:sp macro="" textlink="">
      <xdr:nvSpPr>
        <xdr:cNvPr id="50" name="Text Box 82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>
          <a:spLocks noChangeArrowheads="1"/>
        </xdr:cNvSpPr>
      </xdr:nvSpPr>
      <xdr:spPr bwMode="auto">
        <a:xfrm>
          <a:off x="5676900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36</xdr:row>
      <xdr:rowOff>0</xdr:rowOff>
    </xdr:from>
    <xdr:ext cx="104775" cy="217714"/>
    <xdr:sp macro="" textlink="">
      <xdr:nvSpPr>
        <xdr:cNvPr id="51" name="Text Box 83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>
          <a:spLocks noChangeArrowheads="1"/>
        </xdr:cNvSpPr>
      </xdr:nvSpPr>
      <xdr:spPr bwMode="auto">
        <a:xfrm>
          <a:off x="5676900" y="9801225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9</xdr:row>
      <xdr:rowOff>0</xdr:rowOff>
    </xdr:from>
    <xdr:to>
      <xdr:col>14</xdr:col>
      <xdr:colOff>104775</xdr:colOff>
      <xdr:row>9</xdr:row>
      <xdr:rowOff>217714</xdr:rowOff>
    </xdr:to>
    <xdr:sp macro="" textlink="">
      <xdr:nvSpPr>
        <xdr:cNvPr id="2" name="Text Box 3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5676900" y="21526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15</xdr:col>
      <xdr:colOff>104775</xdr:colOff>
      <xdr:row>9</xdr:row>
      <xdr:rowOff>217714</xdr:rowOff>
    </xdr:to>
    <xdr:sp macro="" textlink="">
      <xdr:nvSpPr>
        <xdr:cNvPr id="3" name="Text Box 65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6086475" y="21526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9</xdr:row>
      <xdr:rowOff>0</xdr:rowOff>
    </xdr:from>
    <xdr:to>
      <xdr:col>14</xdr:col>
      <xdr:colOff>104775</xdr:colOff>
      <xdr:row>9</xdr:row>
      <xdr:rowOff>217714</xdr:rowOff>
    </xdr:to>
    <xdr:sp macro="" textlink="">
      <xdr:nvSpPr>
        <xdr:cNvPr id="4" name="Text Box 66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5676900" y="21526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9</xdr:row>
      <xdr:rowOff>0</xdr:rowOff>
    </xdr:from>
    <xdr:to>
      <xdr:col>14</xdr:col>
      <xdr:colOff>104775</xdr:colOff>
      <xdr:row>9</xdr:row>
      <xdr:rowOff>217714</xdr:rowOff>
    </xdr:to>
    <xdr:sp macro="" textlink="">
      <xdr:nvSpPr>
        <xdr:cNvPr id="5" name="Text Box 67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5676900" y="21526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15</xdr:col>
      <xdr:colOff>104775</xdr:colOff>
      <xdr:row>9</xdr:row>
      <xdr:rowOff>217714</xdr:rowOff>
    </xdr:to>
    <xdr:sp macro="" textlink="">
      <xdr:nvSpPr>
        <xdr:cNvPr id="6" name="Text Box 68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6086475" y="21526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15</xdr:col>
      <xdr:colOff>104775</xdr:colOff>
      <xdr:row>9</xdr:row>
      <xdr:rowOff>217714</xdr:rowOff>
    </xdr:to>
    <xdr:sp macro="" textlink="">
      <xdr:nvSpPr>
        <xdr:cNvPr id="7" name="Text Box 69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6086475" y="21526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9</xdr:row>
      <xdr:rowOff>0</xdr:rowOff>
    </xdr:from>
    <xdr:to>
      <xdr:col>14</xdr:col>
      <xdr:colOff>104775</xdr:colOff>
      <xdr:row>9</xdr:row>
      <xdr:rowOff>217714</xdr:rowOff>
    </xdr:to>
    <xdr:sp macro="" textlink="">
      <xdr:nvSpPr>
        <xdr:cNvPr id="8" name="Text Box 70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5676900" y="21526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9</xdr:row>
      <xdr:rowOff>0</xdr:rowOff>
    </xdr:from>
    <xdr:to>
      <xdr:col>14</xdr:col>
      <xdr:colOff>104775</xdr:colOff>
      <xdr:row>9</xdr:row>
      <xdr:rowOff>217714</xdr:rowOff>
    </xdr:to>
    <xdr:sp macro="" textlink="">
      <xdr:nvSpPr>
        <xdr:cNvPr id="9" name="Text Box 7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>
          <a:spLocks noChangeArrowheads="1"/>
        </xdr:cNvSpPr>
      </xdr:nvSpPr>
      <xdr:spPr bwMode="auto">
        <a:xfrm>
          <a:off x="5676900" y="21526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15</xdr:col>
      <xdr:colOff>104775</xdr:colOff>
      <xdr:row>9</xdr:row>
      <xdr:rowOff>217714</xdr:rowOff>
    </xdr:to>
    <xdr:sp macro="" textlink="">
      <xdr:nvSpPr>
        <xdr:cNvPr id="10" name="Text Box 7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6086475" y="21526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15</xdr:col>
      <xdr:colOff>104775</xdr:colOff>
      <xdr:row>9</xdr:row>
      <xdr:rowOff>217714</xdr:rowOff>
    </xdr:to>
    <xdr:sp macro="" textlink="">
      <xdr:nvSpPr>
        <xdr:cNvPr id="11" name="Text Box 7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6086475" y="21526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9</xdr:row>
      <xdr:rowOff>0</xdr:rowOff>
    </xdr:from>
    <xdr:to>
      <xdr:col>14</xdr:col>
      <xdr:colOff>104775</xdr:colOff>
      <xdr:row>9</xdr:row>
      <xdr:rowOff>217714</xdr:rowOff>
    </xdr:to>
    <xdr:sp macro="" textlink="">
      <xdr:nvSpPr>
        <xdr:cNvPr id="12" name="Text Box 74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5676900" y="21526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9</xdr:row>
      <xdr:rowOff>0</xdr:rowOff>
    </xdr:from>
    <xdr:to>
      <xdr:col>14</xdr:col>
      <xdr:colOff>104775</xdr:colOff>
      <xdr:row>9</xdr:row>
      <xdr:rowOff>217714</xdr:rowOff>
    </xdr:to>
    <xdr:sp macro="" textlink="">
      <xdr:nvSpPr>
        <xdr:cNvPr id="13" name="Text Box 75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>
          <a:spLocks noChangeArrowheads="1"/>
        </xdr:cNvSpPr>
      </xdr:nvSpPr>
      <xdr:spPr bwMode="auto">
        <a:xfrm>
          <a:off x="5676900" y="21526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15</xdr:col>
      <xdr:colOff>104775</xdr:colOff>
      <xdr:row>9</xdr:row>
      <xdr:rowOff>217714</xdr:rowOff>
    </xdr:to>
    <xdr:sp macro="" textlink="">
      <xdr:nvSpPr>
        <xdr:cNvPr id="14" name="Text Box 76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>
          <a:spLocks noChangeArrowheads="1"/>
        </xdr:cNvSpPr>
      </xdr:nvSpPr>
      <xdr:spPr bwMode="auto">
        <a:xfrm>
          <a:off x="6086475" y="21526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15</xdr:col>
      <xdr:colOff>104775</xdr:colOff>
      <xdr:row>9</xdr:row>
      <xdr:rowOff>217714</xdr:rowOff>
    </xdr:to>
    <xdr:sp macro="" textlink="">
      <xdr:nvSpPr>
        <xdr:cNvPr id="15" name="Text Box 77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>
          <a:spLocks noChangeArrowheads="1"/>
        </xdr:cNvSpPr>
      </xdr:nvSpPr>
      <xdr:spPr bwMode="auto">
        <a:xfrm>
          <a:off x="6086475" y="21526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15</xdr:col>
      <xdr:colOff>104775</xdr:colOff>
      <xdr:row>9</xdr:row>
      <xdr:rowOff>217714</xdr:rowOff>
    </xdr:to>
    <xdr:sp macro="" textlink="">
      <xdr:nvSpPr>
        <xdr:cNvPr id="16" name="Text Box 80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 txBox="1">
          <a:spLocks noChangeArrowheads="1"/>
        </xdr:cNvSpPr>
      </xdr:nvSpPr>
      <xdr:spPr bwMode="auto">
        <a:xfrm>
          <a:off x="6086475" y="21526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15</xdr:col>
      <xdr:colOff>104775</xdr:colOff>
      <xdr:row>9</xdr:row>
      <xdr:rowOff>217714</xdr:rowOff>
    </xdr:to>
    <xdr:sp macro="" textlink="">
      <xdr:nvSpPr>
        <xdr:cNvPr id="17" name="Text Box 81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>
          <a:spLocks noChangeArrowheads="1"/>
        </xdr:cNvSpPr>
      </xdr:nvSpPr>
      <xdr:spPr bwMode="auto">
        <a:xfrm>
          <a:off x="6086475" y="2152650"/>
          <a:ext cx="104775" cy="2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59872</xdr:colOff>
      <xdr:row>0</xdr:row>
      <xdr:rowOff>121104</xdr:rowOff>
    </xdr:from>
    <xdr:ext cx="721178" cy="720000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7" y="121104"/>
          <a:ext cx="721178" cy="72000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119785</xdr:colOff>
      <xdr:row>0</xdr:row>
      <xdr:rowOff>119497</xdr:rowOff>
    </xdr:from>
    <xdr:to>
      <xdr:col>3</xdr:col>
      <xdr:colOff>114301</xdr:colOff>
      <xdr:row>3</xdr:row>
      <xdr:rowOff>133350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9785" y="119497"/>
          <a:ext cx="718416" cy="7282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101312</xdr:colOff>
      <xdr:row>50</xdr:row>
      <xdr:rowOff>0</xdr:rowOff>
    </xdr:from>
    <xdr:to>
      <xdr:col>25</xdr:col>
      <xdr:colOff>76200</xdr:colOff>
      <xdr:row>50</xdr:row>
      <xdr:rowOff>1588</xdr:rowOff>
    </xdr:to>
    <xdr:cxnSp macro="">
      <xdr:nvCxnSpPr>
        <xdr:cNvPr id="3" name="Conector recto 1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CxnSpPr/>
      </xdr:nvCxnSpPr>
      <xdr:spPr>
        <a:xfrm>
          <a:off x="4349462" y="8667750"/>
          <a:ext cx="1603663" cy="1588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265307</xdr:colOff>
      <xdr:row>50</xdr:row>
      <xdr:rowOff>11595</xdr:rowOff>
    </xdr:from>
    <xdr:to>
      <xdr:col>10</xdr:col>
      <xdr:colOff>299484</xdr:colOff>
      <xdr:row>50</xdr:row>
      <xdr:rowOff>13183</xdr:rowOff>
    </xdr:to>
    <xdr:cxnSp macro="">
      <xdr:nvCxnSpPr>
        <xdr:cNvPr id="4" name="Conector recto 12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CxnSpPr/>
      </xdr:nvCxnSpPr>
      <xdr:spPr>
        <a:xfrm>
          <a:off x="989207" y="8679345"/>
          <a:ext cx="1710577" cy="1588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123825</xdr:colOff>
          <xdr:row>49</xdr:row>
          <xdr:rowOff>1</xdr:rowOff>
        </xdr:from>
        <xdr:to>
          <xdr:col>10</xdr:col>
          <xdr:colOff>76200</xdr:colOff>
          <xdr:row>50</xdr:row>
          <xdr:rowOff>41276</xdr:rowOff>
        </xdr:to>
        <xdr:pic>
          <xdr:nvPicPr>
            <xdr:cNvPr id="5" name="Imagen 4">
              <a:extLst>
                <a:ext uri="{FF2B5EF4-FFF2-40B4-BE49-F238E27FC236}">
                  <a16:creationId xmlns:a16="http://schemas.microsoft.com/office/drawing/2014/main" id="{00000000-0008-0000-0500-000005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revisofirmas" spid="_x0000_s135690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52525" y="8267701"/>
              <a:ext cx="1323975" cy="4413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47626</xdr:colOff>
          <xdr:row>49</xdr:row>
          <xdr:rowOff>9528</xdr:rowOff>
        </xdr:from>
        <xdr:to>
          <xdr:col>24</xdr:col>
          <xdr:colOff>247650</xdr:colOff>
          <xdr:row>50</xdr:row>
          <xdr:rowOff>28575</xdr:rowOff>
        </xdr:to>
        <xdr:pic>
          <xdr:nvPicPr>
            <xdr:cNvPr id="6" name="Imagen 5">
              <a:extLst>
                <a:ext uri="{FF2B5EF4-FFF2-40B4-BE49-F238E27FC236}">
                  <a16:creationId xmlns:a16="http://schemas.microsoft.com/office/drawing/2014/main" id="{00000000-0008-0000-0500-00000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aprobofirmas" spid="_x0000_s1356902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4514851" y="8277228"/>
              <a:ext cx="1295399" cy="4190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31</xdr:row>
      <xdr:rowOff>9525</xdr:rowOff>
    </xdr:from>
    <xdr:to>
      <xdr:col>2</xdr:col>
      <xdr:colOff>1314450</xdr:colOff>
      <xdr:row>31</xdr:row>
      <xdr:rowOff>485775</xdr:rowOff>
    </xdr:to>
    <xdr:pic>
      <xdr:nvPicPr>
        <xdr:cNvPr id="1278978" name="Picture 2">
          <a:extLst>
            <a:ext uri="{FF2B5EF4-FFF2-40B4-BE49-F238E27FC236}">
              <a16:creationId xmlns:a16="http://schemas.microsoft.com/office/drawing/2014/main" id="{00000000-0008-0000-0600-00000284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81325" y="12449175"/>
          <a:ext cx="1228725" cy="476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36</xdr:row>
      <xdr:rowOff>57150</xdr:rowOff>
    </xdr:from>
    <xdr:to>
      <xdr:col>2</xdr:col>
      <xdr:colOff>1266825</xdr:colOff>
      <xdr:row>37</xdr:row>
      <xdr:rowOff>28575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33700" y="15020925"/>
          <a:ext cx="1228725" cy="476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180976</xdr:colOff>
      <xdr:row>39</xdr:row>
      <xdr:rowOff>28576</xdr:rowOff>
    </xdr:from>
    <xdr:to>
      <xdr:col>2</xdr:col>
      <xdr:colOff>1209676</xdr:colOff>
      <xdr:row>39</xdr:row>
      <xdr:rowOff>476127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76576" y="17516476"/>
          <a:ext cx="1028700" cy="447551"/>
        </a:xfrm>
        <a:prstGeom prst="rect">
          <a:avLst/>
        </a:prstGeom>
      </xdr:spPr>
    </xdr:pic>
    <xdr:clientData/>
  </xdr:twoCellAnchor>
  <xdr:oneCellAnchor>
    <xdr:from>
      <xdr:col>2</xdr:col>
      <xdr:colOff>47625</xdr:colOff>
      <xdr:row>33</xdr:row>
      <xdr:rowOff>28575</xdr:rowOff>
    </xdr:from>
    <xdr:ext cx="1419225" cy="466725"/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5400675"/>
          <a:ext cx="1419225" cy="466725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2</xdr:col>
      <xdr:colOff>285750</xdr:colOff>
      <xdr:row>3</xdr:row>
      <xdr:rowOff>28574</xdr:rowOff>
    </xdr:from>
    <xdr:to>
      <xdr:col>2</xdr:col>
      <xdr:colOff>1314449</xdr:colOff>
      <xdr:row>4</xdr:row>
      <xdr:rowOff>28575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0" y="695324"/>
          <a:ext cx="1028699" cy="50482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76200</xdr:colOff>
      <xdr:row>2</xdr:row>
      <xdr:rowOff>19050</xdr:rowOff>
    </xdr:from>
    <xdr:to>
      <xdr:col>2</xdr:col>
      <xdr:colOff>1438275</xdr:colOff>
      <xdr:row>3</xdr:row>
      <xdr:rowOff>25845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71800" y="180975"/>
          <a:ext cx="1362075" cy="5116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86852</xdr:colOff>
      <xdr:row>7</xdr:row>
      <xdr:rowOff>78266</xdr:rowOff>
    </xdr:from>
    <xdr:to>
      <xdr:col>2</xdr:col>
      <xdr:colOff>1387552</xdr:colOff>
      <xdr:row>8</xdr:row>
      <xdr:rowOff>28575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E4E4E4"/>
            </a:clrFrom>
            <a:clrTo>
              <a:srgbClr val="E4E4E4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2452" y="2764316"/>
          <a:ext cx="1300700" cy="45513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142875</xdr:colOff>
      <xdr:row>6</xdr:row>
      <xdr:rowOff>19050</xdr:rowOff>
    </xdr:from>
    <xdr:to>
      <xdr:col>2</xdr:col>
      <xdr:colOff>1400175</xdr:colOff>
      <xdr:row>7</xdr:row>
      <xdr:rowOff>1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475" y="2200275"/>
          <a:ext cx="1257300" cy="48577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47625</xdr:colOff>
      <xdr:row>12</xdr:row>
      <xdr:rowOff>28575</xdr:rowOff>
    </xdr:from>
    <xdr:to>
      <xdr:col>2</xdr:col>
      <xdr:colOff>1466850</xdr:colOff>
      <xdr:row>12</xdr:row>
      <xdr:rowOff>495300</xdr:rowOff>
    </xdr:to>
    <xdr:pic>
      <xdr:nvPicPr>
        <xdr:cNvPr id="37" name="Imagen 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5238750"/>
          <a:ext cx="1419225" cy="466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209551</xdr:colOff>
      <xdr:row>4</xdr:row>
      <xdr:rowOff>48102</xdr:rowOff>
    </xdr:from>
    <xdr:to>
      <xdr:col>2</xdr:col>
      <xdr:colOff>1247775</xdr:colOff>
      <xdr:row>5</xdr:row>
      <xdr:rowOff>9525</xdr:rowOff>
    </xdr:to>
    <xdr:pic>
      <xdr:nvPicPr>
        <xdr:cNvPr id="43" name="Imagen 7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69" t="20349" r="39447" b="15553"/>
        <a:stretch/>
      </xdr:blipFill>
      <xdr:spPr>
        <a:xfrm>
          <a:off x="3105151" y="1219677"/>
          <a:ext cx="1038224" cy="46624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416662</xdr:colOff>
      <xdr:row>10</xdr:row>
      <xdr:rowOff>14606</xdr:rowOff>
    </xdr:from>
    <xdr:to>
      <xdr:col>2</xdr:col>
      <xdr:colOff>1171575</xdr:colOff>
      <xdr:row>10</xdr:row>
      <xdr:rowOff>495300</xdr:rowOff>
    </xdr:to>
    <xdr:pic>
      <xdr:nvPicPr>
        <xdr:cNvPr id="44" name="Imagen 30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2262" y="4215131"/>
          <a:ext cx="754913" cy="480694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5</xdr:row>
      <xdr:rowOff>28576</xdr:rowOff>
    </xdr:from>
    <xdr:to>
      <xdr:col>2</xdr:col>
      <xdr:colOff>1371600</xdr:colOff>
      <xdr:row>5</xdr:row>
      <xdr:rowOff>476250</xdr:rowOff>
    </xdr:to>
    <xdr:pic>
      <xdr:nvPicPr>
        <xdr:cNvPr id="45" name="Imagen 37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28950" y="1704976"/>
          <a:ext cx="1238250" cy="447674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9</xdr:row>
      <xdr:rowOff>28575</xdr:rowOff>
    </xdr:from>
    <xdr:to>
      <xdr:col>2</xdr:col>
      <xdr:colOff>1333500</xdr:colOff>
      <xdr:row>9</xdr:row>
      <xdr:rowOff>495301</xdr:rowOff>
    </xdr:to>
    <xdr:pic>
      <xdr:nvPicPr>
        <xdr:cNvPr id="51" name="Imagen 38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/>
        <a:srcRect l="10185" t="6024" r="10185" b="9638"/>
        <a:stretch/>
      </xdr:blipFill>
      <xdr:spPr>
        <a:xfrm>
          <a:off x="3019426" y="3724275"/>
          <a:ext cx="1209674" cy="466726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17</xdr:row>
      <xdr:rowOff>28576</xdr:rowOff>
    </xdr:from>
    <xdr:to>
      <xdr:col>2</xdr:col>
      <xdr:colOff>1476375</xdr:colOff>
      <xdr:row>17</xdr:row>
      <xdr:rowOff>476250</xdr:rowOff>
    </xdr:to>
    <xdr:pic>
      <xdr:nvPicPr>
        <xdr:cNvPr id="52" name="Imagen 44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/>
        <a:srcRect l="4495" t="11280" r="5044" b="20291"/>
        <a:stretch/>
      </xdr:blipFill>
      <xdr:spPr>
        <a:xfrm>
          <a:off x="2962275" y="7762876"/>
          <a:ext cx="1409700" cy="447674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19</xdr:row>
      <xdr:rowOff>50157</xdr:rowOff>
    </xdr:from>
    <xdr:to>
      <xdr:col>2</xdr:col>
      <xdr:colOff>1266826</xdr:colOff>
      <xdr:row>19</xdr:row>
      <xdr:rowOff>459129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6" y="8794107"/>
          <a:ext cx="1009650" cy="408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24</xdr:row>
      <xdr:rowOff>85725</xdr:rowOff>
    </xdr:from>
    <xdr:to>
      <xdr:col>2</xdr:col>
      <xdr:colOff>981075</xdr:colOff>
      <xdr:row>24</xdr:row>
      <xdr:rowOff>487664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10848975"/>
          <a:ext cx="847725" cy="401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18</xdr:row>
      <xdr:rowOff>85725</xdr:rowOff>
    </xdr:from>
    <xdr:to>
      <xdr:col>2</xdr:col>
      <xdr:colOff>1495425</xdr:colOff>
      <xdr:row>18</xdr:row>
      <xdr:rowOff>371475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8324850"/>
          <a:ext cx="143827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47625</xdr:colOff>
      <xdr:row>11</xdr:row>
      <xdr:rowOff>39780</xdr:rowOff>
    </xdr:from>
    <xdr:ext cx="1419225" cy="466725"/>
    <xdr:pic>
      <xdr:nvPicPr>
        <xdr:cNvPr id="56" name="Imagen 6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4745130"/>
          <a:ext cx="1419225" cy="466725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416662</xdr:colOff>
      <xdr:row>9</xdr:row>
      <xdr:rowOff>14606</xdr:rowOff>
    </xdr:from>
    <xdr:ext cx="754913" cy="480694"/>
    <xdr:pic>
      <xdr:nvPicPr>
        <xdr:cNvPr id="57" name="Imagen 56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2262" y="3710306"/>
          <a:ext cx="754913" cy="480694"/>
        </a:xfrm>
        <a:prstGeom prst="rect">
          <a:avLst/>
        </a:prstGeom>
      </xdr:spPr>
    </xdr:pic>
    <xdr:clientData/>
  </xdr:oneCellAnchor>
  <xdr:oneCellAnchor>
    <xdr:from>
      <xdr:col>2</xdr:col>
      <xdr:colOff>123826</xdr:colOff>
      <xdr:row>8</xdr:row>
      <xdr:rowOff>28575</xdr:rowOff>
    </xdr:from>
    <xdr:ext cx="1209674" cy="466726"/>
    <xdr:pic>
      <xdr:nvPicPr>
        <xdr:cNvPr id="58" name="Imagen 38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/>
        <a:srcRect l="10185" t="6024" r="10185" b="9638"/>
        <a:stretch/>
      </xdr:blipFill>
      <xdr:spPr>
        <a:xfrm>
          <a:off x="3019426" y="3219450"/>
          <a:ext cx="1209674" cy="466726"/>
        </a:xfrm>
        <a:prstGeom prst="rect">
          <a:avLst/>
        </a:prstGeom>
      </xdr:spPr>
    </xdr:pic>
    <xdr:clientData/>
  </xdr:oneCellAnchor>
  <xdr:oneCellAnchor>
    <xdr:from>
      <xdr:col>2</xdr:col>
      <xdr:colOff>123825</xdr:colOff>
      <xdr:row>10</xdr:row>
      <xdr:rowOff>28576</xdr:rowOff>
    </xdr:from>
    <xdr:ext cx="1171575" cy="450380"/>
    <xdr:pic>
      <xdr:nvPicPr>
        <xdr:cNvPr id="59" name="Imagen 39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/>
        <a:srcRect l="4762" t="5883" r="11418" b="10283"/>
        <a:stretch/>
      </xdr:blipFill>
      <xdr:spPr>
        <a:xfrm>
          <a:off x="3019425" y="4229101"/>
          <a:ext cx="1171575" cy="450380"/>
        </a:xfrm>
        <a:prstGeom prst="rect">
          <a:avLst/>
        </a:prstGeom>
      </xdr:spPr>
    </xdr:pic>
    <xdr:clientData/>
  </xdr:oneCellAnchor>
  <xdr:oneCellAnchor>
    <xdr:from>
      <xdr:col>2</xdr:col>
      <xdr:colOff>85724</xdr:colOff>
      <xdr:row>12</xdr:row>
      <xdr:rowOff>38100</xdr:rowOff>
    </xdr:from>
    <xdr:ext cx="1333501" cy="428625"/>
    <xdr:pic>
      <xdr:nvPicPr>
        <xdr:cNvPr id="60" name="Imagen 48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/>
        <a:srcRect l="13910" t="26171" r="17208" b="35506"/>
        <a:stretch/>
      </xdr:blipFill>
      <xdr:spPr>
        <a:xfrm>
          <a:off x="2981324" y="5248275"/>
          <a:ext cx="1333501" cy="428625"/>
        </a:xfrm>
        <a:prstGeom prst="rect">
          <a:avLst/>
        </a:prstGeom>
      </xdr:spPr>
    </xdr:pic>
    <xdr:clientData/>
  </xdr:oneCellAnchor>
  <xdr:oneCellAnchor>
    <xdr:from>
      <xdr:col>2</xdr:col>
      <xdr:colOff>142875</xdr:colOff>
      <xdr:row>25</xdr:row>
      <xdr:rowOff>57150</xdr:rowOff>
    </xdr:from>
    <xdr:ext cx="1247775" cy="393716"/>
    <xdr:pic>
      <xdr:nvPicPr>
        <xdr:cNvPr id="61" name="Imagen 60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038475" y="11325225"/>
          <a:ext cx="1247775" cy="393716"/>
        </a:xfrm>
        <a:prstGeom prst="rect">
          <a:avLst/>
        </a:prstGeom>
      </xdr:spPr>
    </xdr:pic>
    <xdr:clientData/>
  </xdr:oneCellAnchor>
  <xdr:twoCellAnchor editAs="oneCell">
    <xdr:from>
      <xdr:col>2</xdr:col>
      <xdr:colOff>295275</xdr:colOff>
      <xdr:row>23</xdr:row>
      <xdr:rowOff>66675</xdr:rowOff>
    </xdr:from>
    <xdr:to>
      <xdr:col>2</xdr:col>
      <xdr:colOff>1308735</xdr:colOff>
      <xdr:row>23</xdr:row>
      <xdr:rowOff>457200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10325100"/>
          <a:ext cx="101346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323850</xdr:colOff>
      <xdr:row>16</xdr:row>
      <xdr:rowOff>66675</xdr:rowOff>
    </xdr:from>
    <xdr:to>
      <xdr:col>2</xdr:col>
      <xdr:colOff>1133475</xdr:colOff>
      <xdr:row>17</xdr:row>
      <xdr:rowOff>4445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219450" y="7296150"/>
          <a:ext cx="809625" cy="44259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20</xdr:row>
      <xdr:rowOff>57150</xdr:rowOff>
    </xdr:from>
    <xdr:to>
      <xdr:col>2</xdr:col>
      <xdr:colOff>1247775</xdr:colOff>
      <xdr:row>20</xdr:row>
      <xdr:rowOff>495300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/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9305925"/>
          <a:ext cx="11239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19051</xdr:colOff>
      <xdr:row>14</xdr:row>
      <xdr:rowOff>76200</xdr:rowOff>
    </xdr:from>
    <xdr:to>
      <xdr:col>2</xdr:col>
      <xdr:colOff>1504951</xdr:colOff>
      <xdr:row>14</xdr:row>
      <xdr:rowOff>466725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1" y="6296025"/>
          <a:ext cx="1485900" cy="390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104775</xdr:colOff>
      <xdr:row>30</xdr:row>
      <xdr:rowOff>19050</xdr:rowOff>
    </xdr:from>
    <xdr:to>
      <xdr:col>2</xdr:col>
      <xdr:colOff>1057274</xdr:colOff>
      <xdr:row>30</xdr:row>
      <xdr:rowOff>450904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000375" y="12801600"/>
          <a:ext cx="952499" cy="43185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36</xdr:row>
      <xdr:rowOff>57150</xdr:rowOff>
    </xdr:from>
    <xdr:to>
      <xdr:col>2</xdr:col>
      <xdr:colOff>1266825</xdr:colOff>
      <xdr:row>37</xdr:row>
      <xdr:rowOff>28575</xdr:rowOff>
    </xdr:to>
    <xdr:pic>
      <xdr:nvPicPr>
        <xdr:cNvPr id="38" name="Picture 2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33700" y="14859000"/>
          <a:ext cx="1228725" cy="476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36</xdr:row>
      <xdr:rowOff>57150</xdr:rowOff>
    </xdr:from>
    <xdr:to>
      <xdr:col>2</xdr:col>
      <xdr:colOff>1266825</xdr:colOff>
      <xdr:row>37</xdr:row>
      <xdr:rowOff>28575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33700" y="14859000"/>
          <a:ext cx="1228725" cy="476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36</xdr:row>
      <xdr:rowOff>57150</xdr:rowOff>
    </xdr:from>
    <xdr:to>
      <xdr:col>2</xdr:col>
      <xdr:colOff>1266825</xdr:colOff>
      <xdr:row>37</xdr:row>
      <xdr:rowOff>28575</xdr:rowOff>
    </xdr:to>
    <xdr:pic>
      <xdr:nvPicPr>
        <xdr:cNvPr id="40" name="Picture 2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33700" y="14859000"/>
          <a:ext cx="1228725" cy="476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35</xdr:row>
      <xdr:rowOff>47625</xdr:rowOff>
    </xdr:from>
    <xdr:to>
      <xdr:col>2</xdr:col>
      <xdr:colOff>1419225</xdr:colOff>
      <xdr:row>36</xdr:row>
      <xdr:rowOff>19050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6100" y="17030700"/>
          <a:ext cx="1228725" cy="476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247650</xdr:colOff>
      <xdr:row>38</xdr:row>
      <xdr:rowOff>47625</xdr:rowOff>
    </xdr:from>
    <xdr:to>
      <xdr:col>2</xdr:col>
      <xdr:colOff>1266825</xdr:colOff>
      <xdr:row>38</xdr:row>
      <xdr:rowOff>476250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859125"/>
          <a:ext cx="1019175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34</xdr:row>
      <xdr:rowOff>76200</xdr:rowOff>
    </xdr:from>
    <xdr:to>
      <xdr:col>2</xdr:col>
      <xdr:colOff>1466671</xdr:colOff>
      <xdr:row>34</xdr:row>
      <xdr:rowOff>438105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933700" y="13868400"/>
          <a:ext cx="1428571" cy="36190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13</xdr:row>
      <xdr:rowOff>47625</xdr:rowOff>
    </xdr:from>
    <xdr:to>
      <xdr:col>2</xdr:col>
      <xdr:colOff>1338865</xdr:colOff>
      <xdr:row>13</xdr:row>
      <xdr:rowOff>466725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6267450"/>
          <a:ext cx="1186465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15</xdr:row>
      <xdr:rowOff>85725</xdr:rowOff>
    </xdr:from>
    <xdr:to>
      <xdr:col>2</xdr:col>
      <xdr:colOff>1435647</xdr:colOff>
      <xdr:row>15</xdr:row>
      <xdr:rowOff>457199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/>
        <a:srcRect l="6405" t="9821" r="14830" b="39471"/>
        <a:stretch/>
      </xdr:blipFill>
      <xdr:spPr>
        <a:xfrm>
          <a:off x="3000375" y="6810375"/>
          <a:ext cx="1330872" cy="371474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20</xdr:row>
      <xdr:rowOff>485775</xdr:rowOff>
    </xdr:from>
    <xdr:to>
      <xdr:col>2</xdr:col>
      <xdr:colOff>1143000</xdr:colOff>
      <xdr:row>21</xdr:row>
      <xdr:rowOff>476250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/>
      </xdr:nvPicPr>
      <xdr:blipFill rotWithShape="1">
        <a:blip xmlns:r="http://schemas.openxmlformats.org/officeDocument/2006/relationships" r:embed="rId31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19974" b="62413" l="9921" r="89948">
                      <a14:foregroundMark x1="33785" y1="59178" x2="33785" y2="59178"/>
                      <a14:foregroundMark x1="31425" y1="61538" x2="31425" y2="61538"/>
                      <a14:foregroundMark x1="29021" y1="62413" x2="29021" y2="62413"/>
                      <a14:foregroundMark x1="50481" y1="36626" x2="50481" y2="36626"/>
                    </a14:backgroundRemoval>
                  </a14:imgEffect>
                  <a14:imgEffect>
                    <a14:colorTemperature colorTemp="6499"/>
                  </a14:imgEffect>
                  <a14:imgEffect>
                    <a14:saturation sat="0"/>
                  </a14:imgEffect>
                  <a14:imgEffect>
                    <a14:brightnessContrast bright="9000"/>
                  </a14:imgEffect>
                </a14:imgLayer>
              </a14:imgProps>
            </a:ext>
          </a:extLst>
        </a:blip>
        <a:srcRect t="14987" b="34556"/>
        <a:stretch/>
      </xdr:blipFill>
      <xdr:spPr>
        <a:xfrm>
          <a:off x="3238500" y="9229725"/>
          <a:ext cx="800100" cy="495300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2</xdr:col>
      <xdr:colOff>314325</xdr:colOff>
      <xdr:row>22</xdr:row>
      <xdr:rowOff>47625</xdr:rowOff>
    </xdr:from>
    <xdr:to>
      <xdr:col>2</xdr:col>
      <xdr:colOff>1171575</xdr:colOff>
      <xdr:row>22</xdr:row>
      <xdr:rowOff>485775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/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10306050"/>
          <a:ext cx="8572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304800</xdr:colOff>
      <xdr:row>27</xdr:row>
      <xdr:rowOff>38100</xdr:rowOff>
    </xdr:from>
    <xdr:to>
      <xdr:col>2</xdr:col>
      <xdr:colOff>1102518</xdr:colOff>
      <xdr:row>27</xdr:row>
      <xdr:rowOff>490587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200400" y="12820650"/>
          <a:ext cx="797718" cy="452487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26</xdr:row>
      <xdr:rowOff>28576</xdr:rowOff>
    </xdr:from>
    <xdr:to>
      <xdr:col>2</xdr:col>
      <xdr:colOff>1190626</xdr:colOff>
      <xdr:row>26</xdr:row>
      <xdr:rowOff>476250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009900" y="12306301"/>
          <a:ext cx="1076326" cy="44767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28</xdr:row>
      <xdr:rowOff>104775</xdr:rowOff>
    </xdr:from>
    <xdr:to>
      <xdr:col>2</xdr:col>
      <xdr:colOff>1466850</xdr:colOff>
      <xdr:row>28</xdr:row>
      <xdr:rowOff>371475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/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500"/>
        <a:stretch/>
      </xdr:blipFill>
      <xdr:spPr bwMode="auto">
        <a:xfrm>
          <a:off x="2914650" y="13392150"/>
          <a:ext cx="1447800" cy="2667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123825</xdr:colOff>
      <xdr:row>29</xdr:row>
      <xdr:rowOff>95250</xdr:rowOff>
    </xdr:from>
    <xdr:to>
      <xdr:col>2</xdr:col>
      <xdr:colOff>1362075</xdr:colOff>
      <xdr:row>29</xdr:row>
      <xdr:rowOff>409575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/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13887450"/>
          <a:ext cx="1238250" cy="314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152400</xdr:colOff>
      <xdr:row>31</xdr:row>
      <xdr:rowOff>38100</xdr:rowOff>
    </xdr:from>
    <xdr:to>
      <xdr:col>2</xdr:col>
      <xdr:colOff>1238250</xdr:colOff>
      <xdr:row>31</xdr:row>
      <xdr:rowOff>438150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/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4839950"/>
          <a:ext cx="1085850" cy="400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123825</xdr:colOff>
      <xdr:row>40</xdr:row>
      <xdr:rowOff>0</xdr:rowOff>
    </xdr:from>
    <xdr:to>
      <xdr:col>2</xdr:col>
      <xdr:colOff>1352550</xdr:colOff>
      <xdr:row>40</xdr:row>
      <xdr:rowOff>476250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19425" y="19507200"/>
          <a:ext cx="1228725" cy="47625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iuBPMarco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6\Users\Documents%20and%20Settings\DIANA%20PAO\Configuraci&#243;n%20local\Archivos%20temporales%20de%20Internet\Content.IE5\S1MFOXQ3\DATOS\Equipos\COSTO%20DE%20PROPIEDA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445B2B\COSTO%20DE%20PROPIEDA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isco%20duro\irina\CLAS-BO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INDY.SASTOQUE\Documents\Laboratorio2\9.%20Acreditacion\1.%20Control%20de%20documentos\2.%20Aprobaciones\Julio\GLAB-FM-099%20V1%20Inf.%20Control%20de%20la%20%20calidad%20de%20la%20%20mezcla%20asf&#225;ltic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MV\ESCRITORIO\Formatos%20acreditaci&#243;n\GLAB-FM-099%20V2%20Control%20de%20la%20calidad%20de%20la%20mezcl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Laboratorio/9.%20Acreditacion/1.%20Control%20de%20documentos/2.%20Aprobaciones/33.%20Aprobaciones%20marzo%202021/GLAB-FM-029%20V5%20Formato%20Inf.%20Tracci&#243;n%20Indirecta%20TS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U"/>
      <sheetName val="Program"/>
      <sheetName val="COSTOS"/>
      <sheetName val="EVA"/>
    </sheetNames>
    <sheetDataSet>
      <sheetData sheetId="0" refreshError="1">
        <row r="12">
          <cell r="D12">
            <v>3</v>
          </cell>
        </row>
        <row r="338">
          <cell r="C338" t="str">
            <v>Activos</v>
          </cell>
          <cell r="D338">
            <v>9750</v>
          </cell>
        </row>
        <row r="339">
          <cell r="C339" t="str">
            <v>Direcc.</v>
          </cell>
          <cell r="D339">
            <v>53970</v>
          </cell>
        </row>
        <row r="340">
          <cell r="C340" t="str">
            <v>Admon</v>
          </cell>
          <cell r="D340">
            <v>48583.5</v>
          </cell>
        </row>
        <row r="341">
          <cell r="C341" t="str">
            <v>Topog</v>
          </cell>
          <cell r="D341">
            <v>0</v>
          </cell>
        </row>
        <row r="342">
          <cell r="C342" t="str">
            <v>Taller</v>
          </cell>
          <cell r="D342">
            <v>2898</v>
          </cell>
        </row>
        <row r="343">
          <cell r="C343" t="str">
            <v>Operad.</v>
          </cell>
          <cell r="D343">
            <v>0</v>
          </cell>
        </row>
        <row r="344">
          <cell r="C344" t="str">
            <v>Vigilan.</v>
          </cell>
          <cell r="D344">
            <v>10836</v>
          </cell>
        </row>
        <row r="345">
          <cell r="C345" t="str">
            <v>Prestac</v>
          </cell>
          <cell r="D345">
            <v>66283.875</v>
          </cell>
        </row>
        <row r="346">
          <cell r="C346" t="str">
            <v>Honor</v>
          </cell>
          <cell r="D346">
            <v>6700</v>
          </cell>
        </row>
        <row r="347">
          <cell r="C347" t="str">
            <v>Impues</v>
          </cell>
          <cell r="D347">
            <v>98630.90675611388</v>
          </cell>
        </row>
        <row r="348">
          <cell r="C348" t="str">
            <v>Arrend</v>
          </cell>
          <cell r="D348">
            <v>11295</v>
          </cell>
        </row>
        <row r="349">
          <cell r="C349" t="str">
            <v>Segur</v>
          </cell>
          <cell r="D349">
            <v>30840.71727788596</v>
          </cell>
        </row>
        <row r="350">
          <cell r="C350" t="str">
            <v>Sevic</v>
          </cell>
          <cell r="D350">
            <v>7366.9087499999996</v>
          </cell>
        </row>
        <row r="351">
          <cell r="C351" t="str">
            <v>Legal</v>
          </cell>
          <cell r="D351">
            <v>1.1868038433000001</v>
          </cell>
        </row>
        <row r="352">
          <cell r="C352" t="str">
            <v>Manten</v>
          </cell>
          <cell r="D352">
            <v>1283.2009599999999</v>
          </cell>
        </row>
        <row r="353">
          <cell r="C353" t="str">
            <v>Adecu</v>
          </cell>
          <cell r="D353">
            <v>6090</v>
          </cell>
        </row>
        <row r="354">
          <cell r="C354" t="str">
            <v>Viaje</v>
          </cell>
          <cell r="D354">
            <v>3030</v>
          </cell>
        </row>
        <row r="355">
          <cell r="C355" t="str">
            <v>Divers</v>
          </cell>
          <cell r="D355">
            <v>132161.02532999997</v>
          </cell>
        </row>
        <row r="356">
          <cell r="C356" t="str">
            <v>Financ.</v>
          </cell>
          <cell r="D356">
            <v>360.00599999999997</v>
          </cell>
        </row>
        <row r="357">
          <cell r="C357" t="str">
            <v>Costos</v>
          </cell>
          <cell r="D357">
            <v>68623.484200000006</v>
          </cell>
        </row>
      </sheetData>
      <sheetData sheetId="1" refreshError="1">
        <row r="3">
          <cell r="B3">
            <v>3</v>
          </cell>
        </row>
        <row r="120">
          <cell r="B120">
            <v>608.87199999999996</v>
          </cell>
          <cell r="C120">
            <v>1834.31</v>
          </cell>
          <cell r="D120">
            <v>1512.259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</sheetData>
      <sheetData sheetId="2" refreshError="1"/>
      <sheetData sheetId="3" refreshError="1">
        <row r="6"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</row>
        <row r="39">
          <cell r="D39">
            <v>1730.192047133291</v>
          </cell>
          <cell r="E39">
            <v>0</v>
          </cell>
          <cell r="F39">
            <v>568.1776190974831</v>
          </cell>
          <cell r="G39">
            <v>1711.712623485239</v>
          </cell>
          <cell r="H39">
            <v>1411.1861246349654</v>
          </cell>
          <cell r="I39">
            <v>288.36534118888187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-163.02452898987548</v>
          </cell>
        </row>
        <row r="56">
          <cell r="D56">
            <v>-767.6282221604198</v>
          </cell>
          <cell r="E56">
            <v>-974.18899821035302</v>
          </cell>
          <cell r="F56">
            <v>-1650.8315993601529</v>
          </cell>
          <cell r="G56">
            <v>-1128.6689947358216</v>
          </cell>
          <cell r="H56">
            <v>-362.41393413528147</v>
          </cell>
          <cell r="I56">
            <v>0</v>
          </cell>
          <cell r="J56">
            <v>0</v>
          </cell>
          <cell r="K56">
            <v>-0.16814699999999999</v>
          </cell>
          <cell r="L56">
            <v>0</v>
          </cell>
          <cell r="M56">
            <v>-0.61653900000000006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-4.0400000000000001E-9</v>
          </cell>
        </row>
        <row r="58">
          <cell r="D58">
            <v>962.5638249728712</v>
          </cell>
          <cell r="E58">
            <v>-11.625173237481818</v>
          </cell>
          <cell r="F58">
            <v>-1094.2791535001516</v>
          </cell>
          <cell r="G58">
            <v>-511.23552475073416</v>
          </cell>
          <cell r="H58">
            <v>537.53666574894964</v>
          </cell>
          <cell r="I58">
            <v>825.90200693783152</v>
          </cell>
          <cell r="J58">
            <v>825.90200693783152</v>
          </cell>
          <cell r="K58">
            <v>825.73385993783154</v>
          </cell>
          <cell r="L58">
            <v>825.73385993783154</v>
          </cell>
          <cell r="M58">
            <v>825.11732093783155</v>
          </cell>
          <cell r="N58">
            <v>825.11732093783155</v>
          </cell>
          <cell r="O58">
            <v>825.11732093783155</v>
          </cell>
          <cell r="P58">
            <v>825.11732093783155</v>
          </cell>
          <cell r="Q58">
            <v>825.11732093783155</v>
          </cell>
          <cell r="R58">
            <v>825.11732093783155</v>
          </cell>
          <cell r="S58">
            <v>825.11732093783155</v>
          </cell>
          <cell r="T58">
            <v>825.11732093783155</v>
          </cell>
          <cell r="U58">
            <v>825.11732093783155</v>
          </cell>
          <cell r="V58">
            <v>825.11732093783155</v>
          </cell>
          <cell r="W58">
            <v>825.11732093783155</v>
          </cell>
          <cell r="X58">
            <v>825.11732093783155</v>
          </cell>
          <cell r="Y58">
            <v>825.11732093783155</v>
          </cell>
          <cell r="Z58">
            <v>825.11732093783155</v>
          </cell>
          <cell r="AA58">
            <v>825.11732093783155</v>
          </cell>
          <cell r="AB58">
            <v>825.11732093783155</v>
          </cell>
          <cell r="AC58">
            <v>825.11732093783155</v>
          </cell>
          <cell r="AD58">
            <v>662.09279194391604</v>
          </cell>
        </row>
        <row r="61">
          <cell r="D61">
            <v>962.5638249728712</v>
          </cell>
          <cell r="E61">
            <v>254.53053020849541</v>
          </cell>
          <cell r="F61">
            <v>-292.44877143628497</v>
          </cell>
          <cell r="G61">
            <v>149.81697550795735</v>
          </cell>
          <cell r="H61">
            <v>681.71933634339052</v>
          </cell>
          <cell r="I61">
            <v>825.90200693783152</v>
          </cell>
          <cell r="J61">
            <v>825.90200693783152</v>
          </cell>
          <cell r="K61">
            <v>825.73385993783154</v>
          </cell>
          <cell r="L61">
            <v>825.73385993783154</v>
          </cell>
          <cell r="M61">
            <v>825.11732093783155</v>
          </cell>
          <cell r="N61">
            <v>825.11732093783155</v>
          </cell>
          <cell r="O61">
            <v>825.11732093783155</v>
          </cell>
          <cell r="P61">
            <v>825.11732093783155</v>
          </cell>
          <cell r="Q61">
            <v>825.11732093783155</v>
          </cell>
          <cell r="R61">
            <v>825.11732093783155</v>
          </cell>
          <cell r="S61">
            <v>825.11732093783155</v>
          </cell>
          <cell r="T61">
            <v>825.11732093783155</v>
          </cell>
          <cell r="U61">
            <v>825.11732093783155</v>
          </cell>
          <cell r="V61">
            <v>825.11732093783155</v>
          </cell>
          <cell r="W61">
            <v>825.11732093783155</v>
          </cell>
          <cell r="X61">
            <v>825.11732093783155</v>
          </cell>
          <cell r="Y61">
            <v>825.11732093783155</v>
          </cell>
          <cell r="Z61">
            <v>825.11732093783155</v>
          </cell>
          <cell r="AA61">
            <v>825.11732093783155</v>
          </cell>
          <cell r="AB61">
            <v>825.11732093783155</v>
          </cell>
          <cell r="AC61">
            <v>825.11732093783155</v>
          </cell>
          <cell r="AD61">
            <v>662.09279194391604</v>
          </cell>
        </row>
        <row r="95">
          <cell r="F95">
            <v>412.9</v>
          </cell>
          <cell r="G95">
            <v>367</v>
          </cell>
          <cell r="H95">
            <v>321.10000000000002</v>
          </cell>
          <cell r="I95">
            <v>232</v>
          </cell>
          <cell r="K95">
            <v>3.0149999999999997</v>
          </cell>
        </row>
        <row r="96">
          <cell r="F96">
            <v>404.6</v>
          </cell>
          <cell r="G96">
            <v>358.70000000000005</v>
          </cell>
          <cell r="H96">
            <v>312.8</v>
          </cell>
          <cell r="I96">
            <v>223.7</v>
          </cell>
        </row>
        <row r="97">
          <cell r="F97">
            <v>396.3</v>
          </cell>
          <cell r="G97">
            <v>350.4</v>
          </cell>
          <cell r="H97">
            <v>304.5</v>
          </cell>
          <cell r="I97">
            <v>215.3</v>
          </cell>
        </row>
        <row r="98">
          <cell r="H98">
            <v>5339</v>
          </cell>
          <cell r="I98">
            <v>7.0000000000000007E-2</v>
          </cell>
        </row>
        <row r="99">
          <cell r="F99" t="str">
            <v>Localizacion Dato</v>
          </cell>
          <cell r="H99">
            <v>404.642</v>
          </cell>
          <cell r="I99">
            <v>404.642</v>
          </cell>
        </row>
        <row r="103">
          <cell r="F103">
            <v>30</v>
          </cell>
          <cell r="G103">
            <v>45</v>
          </cell>
          <cell r="H103">
            <v>60</v>
          </cell>
          <cell r="I103">
            <v>90</v>
          </cell>
        </row>
        <row r="104">
          <cell r="F104">
            <v>146.9</v>
          </cell>
          <cell r="G104">
            <v>119.85</v>
          </cell>
          <cell r="H104">
            <v>92.8</v>
          </cell>
          <cell r="I104">
            <v>40.4</v>
          </cell>
        </row>
        <row r="105">
          <cell r="F105">
            <v>412.9</v>
          </cell>
          <cell r="G105">
            <v>367</v>
          </cell>
          <cell r="H105">
            <v>321.10000000000002</v>
          </cell>
          <cell r="I105">
            <v>232</v>
          </cell>
        </row>
        <row r="106">
          <cell r="F106">
            <v>487.4</v>
          </cell>
          <cell r="G106">
            <v>457.25</v>
          </cell>
          <cell r="H106">
            <v>427.1</v>
          </cell>
          <cell r="I106">
            <v>368.5</v>
          </cell>
        </row>
        <row r="109">
          <cell r="G109">
            <v>0</v>
          </cell>
          <cell r="H109">
            <v>3752.1</v>
          </cell>
        </row>
        <row r="110">
          <cell r="G110">
            <v>7.0000000000000007E-2</v>
          </cell>
          <cell r="H110">
            <v>5339</v>
          </cell>
        </row>
        <row r="111">
          <cell r="G111">
            <v>0.1</v>
          </cell>
          <cell r="H111">
            <v>4193.5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CTUBRE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CTUBRE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"/>
      <sheetName val="Recipiente"/>
      <sheetName val="Guia rec."/>
      <sheetName val="MEZCLAS"/>
      <sheetName val="Módulo1"/>
      <sheetName val="Módulo11"/>
      <sheetName val="2-6"/>
      <sheetName val="LIMITE"/>
      <sheetName val="Hoja1"/>
      <sheetName val="CLAS-BO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732"/>
      <sheetName val="782"/>
      <sheetName val="733 "/>
      <sheetName val="748"/>
      <sheetName val="MD-12 UMV  (6)"/>
      <sheetName val="TSR"/>
      <sheetName val="firmas"/>
      <sheetName val="Hoja1"/>
      <sheetName val="Formato"/>
    </sheetNames>
    <sheetDataSet>
      <sheetData sheetId="0">
        <row r="10">
          <cell r="E10">
            <v>0</v>
          </cell>
        </row>
      </sheetData>
      <sheetData sheetId="1">
        <row r="17">
          <cell r="M17" t="str">
            <v/>
          </cell>
        </row>
      </sheetData>
      <sheetData sheetId="2">
        <row r="16">
          <cell r="M16" t="str">
            <v/>
          </cell>
        </row>
      </sheetData>
      <sheetData sheetId="3"/>
      <sheetData sheetId="4">
        <row r="35">
          <cell r="G35" t="str">
            <v/>
          </cell>
        </row>
      </sheetData>
      <sheetData sheetId="5"/>
      <sheetData sheetId="6">
        <row r="51">
          <cell r="F51" t="str">
            <v>--</v>
          </cell>
          <cell r="N51" t="str">
            <v>--</v>
          </cell>
          <cell r="V51" t="str">
            <v>--</v>
          </cell>
        </row>
      </sheetData>
      <sheetData sheetId="7">
        <row r="3">
          <cell r="A3" t="str">
            <v>CHAPARRO CARLOS</v>
          </cell>
          <cell r="C3">
            <v>2</v>
          </cell>
        </row>
        <row r="4">
          <cell r="A4" t="str">
            <v>CORDOBA ALEXANDER</v>
          </cell>
          <cell r="C4">
            <v>3</v>
          </cell>
        </row>
        <row r="5">
          <cell r="A5" t="str">
            <v>CRISTANCHO VICTOR</v>
          </cell>
          <cell r="C5">
            <v>7</v>
          </cell>
        </row>
        <row r="6">
          <cell r="A6" t="str">
            <v>DIAZ CESAR</v>
          </cell>
        </row>
        <row r="7">
          <cell r="A7" t="str">
            <v>FLOREZ KAREN</v>
          </cell>
          <cell r="C7">
            <v>6</v>
          </cell>
        </row>
        <row r="8">
          <cell r="A8" t="str">
            <v>GALVIS DAVID</v>
          </cell>
          <cell r="C8">
            <v>4</v>
          </cell>
        </row>
        <row r="9">
          <cell r="A9" t="str">
            <v>ACHIARDI LEONARDO</v>
          </cell>
          <cell r="C9">
            <v>8</v>
          </cell>
        </row>
        <row r="10">
          <cell r="A10" t="str">
            <v>OSPINA JUAN GABRIEL</v>
          </cell>
        </row>
        <row r="11">
          <cell r="A11" t="str">
            <v>SUAREZ  WILLIAM</v>
          </cell>
          <cell r="C11">
            <v>9</v>
          </cell>
        </row>
        <row r="12">
          <cell r="A12" t="str">
            <v>YARA FABIAN</v>
          </cell>
        </row>
        <row r="13">
          <cell r="A13" t="str">
            <v>RINCON SATURNINO</v>
          </cell>
          <cell r="C13">
            <v>1</v>
          </cell>
        </row>
        <row r="14">
          <cell r="A14" t="str">
            <v xml:space="preserve">MOLINA JOSE </v>
          </cell>
        </row>
        <row r="15">
          <cell r="A15" t="str">
            <v>ALBARRACIN JAIRO</v>
          </cell>
        </row>
        <row r="16">
          <cell r="A16" t="str">
            <v>ALMONACID JIMMY</v>
          </cell>
        </row>
        <row r="17">
          <cell r="A17" t="str">
            <v>CANO LUIS EDUARDO</v>
          </cell>
        </row>
        <row r="19">
          <cell r="A19" t="str">
            <v>GOMEZ LUIS CARLOS</v>
          </cell>
        </row>
        <row r="21">
          <cell r="A21" t="str">
            <v>PATIÑO MARLON</v>
          </cell>
        </row>
        <row r="22">
          <cell r="A22" t="str">
            <v>PRIETO YULY PAOLA</v>
          </cell>
        </row>
        <row r="23">
          <cell r="A23" t="str">
            <v>SASTOQUE CINDY</v>
          </cell>
        </row>
        <row r="24">
          <cell r="A24" t="str">
            <v>TEUTA DIEGO</v>
          </cell>
        </row>
        <row r="25">
          <cell r="A25" t="str">
            <v>VARGAS RODOLFO</v>
          </cell>
        </row>
        <row r="26">
          <cell r="A26" t="str">
            <v>VILLANUEVA BRAYAN</v>
          </cell>
        </row>
        <row r="27">
          <cell r="A27" t="str">
            <v>--</v>
          </cell>
        </row>
        <row r="29">
          <cell r="A29" t="str">
            <v>ARIAS JENNIFER</v>
          </cell>
        </row>
        <row r="30">
          <cell r="A30" t="str">
            <v xml:space="preserve">VARGAS PABLO </v>
          </cell>
        </row>
        <row r="31">
          <cell r="C31">
            <v>1</v>
          </cell>
        </row>
        <row r="32">
          <cell r="A32" t="str">
            <v>--</v>
          </cell>
        </row>
        <row r="34">
          <cell r="A34" t="str">
            <v xml:space="preserve">VARGAS PABLO </v>
          </cell>
        </row>
        <row r="35">
          <cell r="A35" t="str">
            <v>CONTRERAS WILINTONG</v>
          </cell>
        </row>
        <row r="36">
          <cell r="A36" t="str">
            <v>--</v>
          </cell>
        </row>
      </sheetData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732"/>
      <sheetName val="782"/>
      <sheetName val="TSR (2)"/>
      <sheetName val="firmas (2)"/>
      <sheetName val="748"/>
      <sheetName val="TSR"/>
      <sheetName val="firmas"/>
      <sheetName val="Hoja1"/>
    </sheetNames>
    <sheetDataSet>
      <sheetData sheetId="0">
        <row r="6">
          <cell r="E6" t="str">
            <v/>
          </cell>
        </row>
      </sheetData>
      <sheetData sheetId="1"/>
      <sheetData sheetId="2"/>
      <sheetData sheetId="3"/>
      <sheetData sheetId="4"/>
      <sheetData sheetId="5"/>
      <sheetData sheetId="6">
        <row r="51">
          <cell r="F51" t="str">
            <v>ACHIARDI LEONARDO</v>
          </cell>
          <cell r="N51" t="str">
            <v xml:space="preserve">VARGAS PABLO </v>
          </cell>
          <cell r="V51" t="str">
            <v>CONTRERAS WILINTONG</v>
          </cell>
        </row>
      </sheetData>
      <sheetData sheetId="7">
        <row r="3">
          <cell r="A3" t="str">
            <v>CHAPARRO CARLOS</v>
          </cell>
          <cell r="C3">
            <v>2</v>
          </cell>
        </row>
        <row r="4">
          <cell r="A4" t="str">
            <v>CORDOBA ALEXANDER</v>
          </cell>
          <cell r="C4">
            <v>3</v>
          </cell>
        </row>
        <row r="5">
          <cell r="A5" t="str">
            <v>CRISTANCHO VICTOR</v>
          </cell>
          <cell r="C5">
            <v>7</v>
          </cell>
        </row>
        <row r="6">
          <cell r="A6" t="str">
            <v>DIAZ CESAR</v>
          </cell>
        </row>
        <row r="7">
          <cell r="A7" t="str">
            <v>FLOREZ KAREN</v>
          </cell>
          <cell r="C7">
            <v>6</v>
          </cell>
        </row>
        <row r="8">
          <cell r="A8" t="str">
            <v>GALVIS DAVID</v>
          </cell>
          <cell r="C8">
            <v>4</v>
          </cell>
        </row>
        <row r="9">
          <cell r="A9" t="str">
            <v>ACHIARDI LEONARDO</v>
          </cell>
          <cell r="C9">
            <v>8</v>
          </cell>
        </row>
        <row r="10">
          <cell r="A10" t="str">
            <v>OSPINA JUAN GABRIEL</v>
          </cell>
        </row>
        <row r="11">
          <cell r="A11" t="str">
            <v>SUAREZ  WILLIAM</v>
          </cell>
          <cell r="C11">
            <v>9</v>
          </cell>
        </row>
        <row r="12">
          <cell r="A12" t="str">
            <v>YARA FABIAN</v>
          </cell>
        </row>
        <row r="13">
          <cell r="A13" t="str">
            <v>RINCON SATURNINO</v>
          </cell>
          <cell r="C13">
            <v>1</v>
          </cell>
        </row>
        <row r="14">
          <cell r="A14" t="str">
            <v xml:space="preserve">MOLINA JOSE </v>
          </cell>
        </row>
        <row r="15">
          <cell r="A15" t="str">
            <v>ALBARRACIN JAIRO</v>
          </cell>
        </row>
        <row r="16">
          <cell r="A16" t="str">
            <v>ALMONACID JIMMY</v>
          </cell>
        </row>
        <row r="17">
          <cell r="A17" t="str">
            <v>CANO LUIS EDUARDO</v>
          </cell>
        </row>
        <row r="19">
          <cell r="A19" t="str">
            <v>GOMEZ LUIS CARLOS</v>
          </cell>
        </row>
        <row r="21">
          <cell r="A21" t="str">
            <v>PATIÑO MARLON</v>
          </cell>
        </row>
        <row r="22">
          <cell r="A22" t="str">
            <v>PRIETO YULY PAOLA</v>
          </cell>
        </row>
        <row r="23">
          <cell r="A23" t="str">
            <v>SASTOQUE CINDY</v>
          </cell>
        </row>
        <row r="24">
          <cell r="A24" t="str">
            <v>TEUTA DIEGO</v>
          </cell>
        </row>
        <row r="25">
          <cell r="A25" t="str">
            <v>VARGAS RODOLFO</v>
          </cell>
        </row>
        <row r="26">
          <cell r="A26" t="str">
            <v>VILLANUEVA BRAYAN</v>
          </cell>
        </row>
        <row r="27">
          <cell r="A27" t="str">
            <v>--</v>
          </cell>
        </row>
        <row r="29">
          <cell r="A29" t="str">
            <v>ARIAS JENNIFER</v>
          </cell>
        </row>
        <row r="30">
          <cell r="A30" t="str">
            <v xml:space="preserve">VARGAS PABLO </v>
          </cell>
        </row>
        <row r="31">
          <cell r="A31" t="str">
            <v>--</v>
          </cell>
          <cell r="C31">
            <v>1</v>
          </cell>
        </row>
        <row r="32">
          <cell r="A32" t="str">
            <v>--</v>
          </cell>
        </row>
        <row r="34">
          <cell r="A34" t="str">
            <v xml:space="preserve">VARGAS PABLO </v>
          </cell>
        </row>
        <row r="35">
          <cell r="A35" t="str">
            <v>CONTRERAS WILINTONG</v>
          </cell>
        </row>
        <row r="36">
          <cell r="A36" t="str">
            <v>--</v>
          </cell>
        </row>
      </sheetData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732"/>
      <sheetName val="782"/>
      <sheetName val="733 - 735"/>
      <sheetName val="748"/>
      <sheetName val="TSR"/>
      <sheetName val="firmas"/>
      <sheetName val="Hoja1"/>
    </sheetNames>
    <sheetDataSet>
      <sheetData sheetId="0">
        <row r="5">
          <cell r="R5" t="str">
            <v>Gerencia de Producción</v>
          </cell>
        </row>
      </sheetData>
      <sheetData sheetId="1"/>
      <sheetData sheetId="2"/>
      <sheetData sheetId="3">
        <row r="30">
          <cell r="G30" t="str">
            <v/>
          </cell>
        </row>
        <row r="35">
          <cell r="I35" t="str">
            <v>--</v>
          </cell>
        </row>
      </sheetData>
      <sheetData sheetId="4"/>
      <sheetData sheetId="5"/>
      <sheetData sheetId="6">
        <row r="3">
          <cell r="A3" t="str">
            <v>CHAPARRO CARLOS</v>
          </cell>
          <cell r="C3">
            <v>2</v>
          </cell>
        </row>
        <row r="4">
          <cell r="A4" t="str">
            <v>CORDOBA ALEXANDER</v>
          </cell>
          <cell r="C4">
            <v>3</v>
          </cell>
        </row>
        <row r="5">
          <cell r="A5" t="str">
            <v>CRISTANCHO VICTOR</v>
          </cell>
          <cell r="C5">
            <v>7</v>
          </cell>
        </row>
        <row r="6">
          <cell r="A6" t="str">
            <v>DIAZ CESAR</v>
          </cell>
        </row>
        <row r="7">
          <cell r="A7" t="str">
            <v>FLOREZ KAREN</v>
          </cell>
          <cell r="C7">
            <v>6</v>
          </cell>
        </row>
        <row r="8">
          <cell r="A8" t="str">
            <v>GALVIS DAVID</v>
          </cell>
          <cell r="C8">
            <v>4</v>
          </cell>
        </row>
        <row r="9">
          <cell r="A9" t="str">
            <v>OSPINA JUAN GABRIEL</v>
          </cell>
        </row>
        <row r="10">
          <cell r="A10" t="str">
            <v>SUAREZ  WILLIAM</v>
          </cell>
          <cell r="C10">
            <v>9</v>
          </cell>
        </row>
        <row r="11">
          <cell r="A11" t="str">
            <v>YARA FABIAN</v>
          </cell>
        </row>
        <row r="12">
          <cell r="A12" t="str">
            <v>RINCON SATURNINO</v>
          </cell>
          <cell r="C12">
            <v>1</v>
          </cell>
        </row>
        <row r="13">
          <cell r="A13" t="str">
            <v>ACHIARDI LEONARDO</v>
          </cell>
        </row>
        <row r="15">
          <cell r="A15" t="str">
            <v>PRADA CESAR</v>
          </cell>
        </row>
        <row r="17">
          <cell r="A17" t="str">
            <v>CANO LUIS EDUARDO</v>
          </cell>
        </row>
        <row r="18">
          <cell r="A18" t="str">
            <v>GALVIS DANIEL</v>
          </cell>
        </row>
        <row r="19">
          <cell r="A19" t="str">
            <v>GOMEZ LUIS CARLOS</v>
          </cell>
        </row>
        <row r="20">
          <cell r="A20" t="str">
            <v xml:space="preserve">VELASQUEZ JUAN CAMILO </v>
          </cell>
        </row>
        <row r="21">
          <cell r="A21" t="str">
            <v xml:space="preserve">QUIÑONES ETIEL </v>
          </cell>
        </row>
        <row r="23">
          <cell r="A23" t="str">
            <v>RIOS JOSE</v>
          </cell>
        </row>
        <row r="24">
          <cell r="A24" t="str">
            <v xml:space="preserve">VAQUIRO JUAN CAMILO </v>
          </cell>
        </row>
        <row r="25">
          <cell r="A25" t="str">
            <v xml:space="preserve">RINCON ALVARO JOSE </v>
          </cell>
        </row>
        <row r="26">
          <cell r="A26" t="str">
            <v>CABALLERO YESID</v>
          </cell>
        </row>
        <row r="27">
          <cell r="A27" t="str">
            <v xml:space="preserve">ACERO ROBERTO </v>
          </cell>
        </row>
        <row r="28">
          <cell r="A28" t="str">
            <v>GONZALEZ CAMILO</v>
          </cell>
        </row>
        <row r="29">
          <cell r="A29" t="str">
            <v>GARCIA JOSE</v>
          </cell>
        </row>
        <row r="31">
          <cell r="A31" t="str">
            <v>RINCON SATURNINO</v>
          </cell>
          <cell r="C31">
            <v>1</v>
          </cell>
        </row>
        <row r="32">
          <cell r="A32" t="str">
            <v>JENNYFER ARIAS</v>
          </cell>
        </row>
        <row r="33">
          <cell r="C33">
            <v>1</v>
          </cell>
        </row>
        <row r="34">
          <cell r="A34" t="str">
            <v>--</v>
          </cell>
        </row>
        <row r="36">
          <cell r="A36" t="str">
            <v>CINDY NATHALY SASTOQUE</v>
          </cell>
        </row>
        <row r="37">
          <cell r="A37" t="str">
            <v>CONTRERAS WILINTONG</v>
          </cell>
        </row>
        <row r="38">
          <cell r="A38" t="str">
            <v>--</v>
          </cell>
        </row>
      </sheetData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50"/>
  </sheetPr>
  <dimension ref="A1:BC67"/>
  <sheetViews>
    <sheetView showGridLines="0" view="pageBreakPreview" zoomScaleSheetLayoutView="100" workbookViewId="0">
      <selection activeCell="Q12" sqref="Q12"/>
    </sheetView>
  </sheetViews>
  <sheetFormatPr baseColWidth="10" defaultRowHeight="12.75" x14ac:dyDescent="0.2"/>
  <cols>
    <col min="1" max="1" width="6.42578125" style="11" customWidth="1"/>
    <col min="2" max="2" width="7" style="11" customWidth="1"/>
    <col min="3" max="3" width="10" style="11" customWidth="1"/>
    <col min="4" max="4" width="0.85546875" style="11" hidden="1" customWidth="1"/>
    <col min="5" max="5" width="6.5703125" style="11" customWidth="1"/>
    <col min="6" max="6" width="5.140625" style="11" customWidth="1"/>
    <col min="7" max="7" width="5" style="11" customWidth="1"/>
    <col min="8" max="8" width="5.85546875" style="11" customWidth="1"/>
    <col min="9" max="9" width="4.7109375" style="11" customWidth="1"/>
    <col min="10" max="10" width="8.85546875" style="11" customWidth="1"/>
    <col min="11" max="12" width="8.7109375" style="11" customWidth="1"/>
    <col min="13" max="15" width="6.7109375" style="11" customWidth="1"/>
    <col min="16" max="16" width="11" style="11" customWidth="1"/>
    <col min="17" max="17" width="22.140625" style="11" customWidth="1"/>
    <col min="18" max="18" width="17.140625" style="11" customWidth="1"/>
    <col min="19" max="24" width="11.42578125" style="11" customWidth="1"/>
    <col min="25" max="25" width="6.28515625" style="11" customWidth="1"/>
    <col min="26" max="26" width="18.85546875" style="11" customWidth="1"/>
    <col min="27" max="48" width="11.42578125" style="11" customWidth="1"/>
    <col min="49" max="16384" width="11.42578125" style="11"/>
  </cols>
  <sheetData>
    <row r="1" spans="1:55" ht="15" customHeight="1" x14ac:dyDescent="0.2">
      <c r="A1" s="860"/>
      <c r="B1" s="861"/>
      <c r="C1" s="862"/>
      <c r="D1" s="885" t="s">
        <v>325</v>
      </c>
      <c r="E1" s="886"/>
      <c r="F1" s="886"/>
      <c r="G1" s="886"/>
      <c r="H1" s="886"/>
      <c r="I1" s="886"/>
      <c r="J1" s="886"/>
      <c r="K1" s="886"/>
      <c r="L1" s="886"/>
      <c r="M1" s="886"/>
      <c r="N1" s="886"/>
      <c r="O1" s="887"/>
      <c r="P1" s="343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  <c r="AL1" s="344"/>
      <c r="AM1" s="344"/>
      <c r="AN1" s="344"/>
      <c r="AO1" s="344"/>
      <c r="AP1" s="344"/>
      <c r="AQ1" s="344"/>
      <c r="AR1" s="344"/>
      <c r="AS1" s="344"/>
      <c r="AT1" s="344"/>
      <c r="AU1" s="344"/>
      <c r="AV1" s="45"/>
      <c r="AW1" s="45"/>
      <c r="AX1" s="45"/>
      <c r="AY1" s="45"/>
      <c r="AZ1" s="45"/>
      <c r="BA1" s="45"/>
      <c r="BB1" s="45"/>
      <c r="BC1" s="45"/>
    </row>
    <row r="2" spans="1:55" ht="15" customHeight="1" x14ac:dyDescent="0.2">
      <c r="A2" s="863"/>
      <c r="B2" s="864"/>
      <c r="C2" s="865"/>
      <c r="D2" s="888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90"/>
      <c r="P2" s="345"/>
      <c r="Q2" s="344"/>
      <c r="R2" s="344"/>
      <c r="S2" s="344"/>
      <c r="T2" s="344"/>
      <c r="U2" s="344"/>
      <c r="V2" s="344"/>
      <c r="W2" s="344"/>
      <c r="X2" s="344"/>
      <c r="Y2" s="344"/>
      <c r="Z2" s="344"/>
      <c r="AA2" s="344"/>
      <c r="AB2" s="344"/>
      <c r="AC2" s="344"/>
      <c r="AD2" s="344"/>
      <c r="AE2" s="344"/>
      <c r="AF2" s="344"/>
      <c r="AG2" s="344"/>
      <c r="AH2" s="344"/>
      <c r="AI2" s="344"/>
      <c r="AJ2" s="344"/>
      <c r="AK2" s="344"/>
      <c r="AL2" s="344"/>
      <c r="AM2" s="344"/>
      <c r="AN2" s="344"/>
      <c r="AO2" s="344"/>
      <c r="AP2" s="344"/>
      <c r="AQ2" s="344"/>
      <c r="AR2" s="344"/>
      <c r="AS2" s="344"/>
      <c r="AT2" s="344"/>
      <c r="AU2" s="344"/>
      <c r="AV2" s="45"/>
      <c r="AW2" s="45"/>
      <c r="AX2" s="45"/>
      <c r="AY2" s="45"/>
      <c r="AZ2" s="45"/>
      <c r="BA2" s="45"/>
      <c r="BB2" s="45"/>
      <c r="BC2" s="45"/>
    </row>
    <row r="3" spans="1:55" ht="15" customHeight="1" x14ac:dyDescent="0.2">
      <c r="A3" s="863"/>
      <c r="B3" s="864"/>
      <c r="C3" s="865"/>
      <c r="D3" s="891"/>
      <c r="E3" s="892"/>
      <c r="F3" s="892"/>
      <c r="G3" s="892"/>
      <c r="H3" s="892"/>
      <c r="I3" s="892"/>
      <c r="J3" s="892"/>
      <c r="K3" s="892"/>
      <c r="L3" s="892"/>
      <c r="M3" s="892"/>
      <c r="N3" s="892"/>
      <c r="O3" s="893"/>
      <c r="P3" s="345"/>
      <c r="Q3" s="344"/>
      <c r="R3" s="344"/>
      <c r="S3" s="344"/>
      <c r="T3" s="344"/>
      <c r="U3" s="344"/>
      <c r="V3" s="344"/>
      <c r="W3" s="344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44"/>
      <c r="AN3" s="344"/>
      <c r="AO3" s="344"/>
      <c r="AP3" s="344"/>
      <c r="AQ3" s="344"/>
      <c r="AR3" s="344"/>
      <c r="AS3" s="344"/>
      <c r="AT3" s="344"/>
      <c r="AU3" s="344"/>
      <c r="AV3" s="45"/>
      <c r="AW3" s="45"/>
      <c r="AX3" s="45"/>
      <c r="AY3" s="45"/>
      <c r="AZ3" s="45"/>
      <c r="BA3" s="45"/>
      <c r="BB3" s="45"/>
      <c r="BC3" s="45"/>
    </row>
    <row r="4" spans="1:55" ht="14.1" customHeight="1" x14ac:dyDescent="0.2">
      <c r="A4" s="863"/>
      <c r="B4" s="864"/>
      <c r="C4" s="865"/>
      <c r="D4" s="869" t="s">
        <v>204</v>
      </c>
      <c r="E4" s="870"/>
      <c r="F4" s="870"/>
      <c r="G4" s="870"/>
      <c r="H4" s="870"/>
      <c r="I4" s="870"/>
      <c r="J4" s="870"/>
      <c r="K4" s="870"/>
      <c r="L4" s="871"/>
      <c r="M4" s="869" t="s">
        <v>353</v>
      </c>
      <c r="N4" s="870"/>
      <c r="O4" s="871"/>
      <c r="P4" s="346"/>
      <c r="Q4" s="344"/>
      <c r="R4" s="1004" t="s">
        <v>276</v>
      </c>
      <c r="S4" s="1005"/>
      <c r="T4" s="1005"/>
      <c r="U4" s="1006"/>
      <c r="V4" s="347" t="s">
        <v>371</v>
      </c>
      <c r="W4" s="348"/>
      <c r="X4" s="348"/>
      <c r="Y4" s="348"/>
      <c r="Z4" s="349" t="str">
        <f>A8</f>
        <v>Tipo de mezcla asfáltica:</v>
      </c>
      <c r="AA4" s="350"/>
      <c r="AB4" s="350"/>
      <c r="AC4" s="350"/>
      <c r="AD4" s="392"/>
      <c r="AE4" s="529" t="s">
        <v>277</v>
      </c>
      <c r="AF4" s="351"/>
      <c r="AG4" s="352" t="s">
        <v>281</v>
      </c>
      <c r="AH4" s="389" t="s">
        <v>280</v>
      </c>
      <c r="AI4" s="531"/>
      <c r="AJ4" s="531"/>
      <c r="AK4" s="390"/>
      <c r="AN4" s="344"/>
      <c r="AO4" s="344"/>
      <c r="AP4" s="344"/>
      <c r="AQ4" s="344"/>
      <c r="AR4" s="344"/>
      <c r="AS4" s="344"/>
      <c r="AT4" s="344"/>
      <c r="AU4" s="344"/>
      <c r="AV4" s="45"/>
      <c r="AW4" s="45"/>
      <c r="AX4" s="45"/>
      <c r="AY4" s="45"/>
      <c r="AZ4" s="45"/>
      <c r="BA4" s="45"/>
      <c r="BB4" s="45"/>
      <c r="BC4" s="45"/>
    </row>
    <row r="5" spans="1:55" ht="14.1" customHeight="1" x14ac:dyDescent="0.2">
      <c r="A5" s="866"/>
      <c r="B5" s="867"/>
      <c r="C5" s="868"/>
      <c r="D5" s="869" t="s">
        <v>354</v>
      </c>
      <c r="E5" s="870"/>
      <c r="F5" s="870"/>
      <c r="G5" s="870"/>
      <c r="H5" s="870"/>
      <c r="I5" s="870"/>
      <c r="J5" s="870"/>
      <c r="K5" s="870"/>
      <c r="L5" s="870"/>
      <c r="M5" s="870"/>
      <c r="N5" s="870"/>
      <c r="O5" s="871"/>
      <c r="P5" s="346"/>
      <c r="Q5" s="344"/>
      <c r="R5" s="353" t="s">
        <v>213</v>
      </c>
      <c r="S5" s="305"/>
      <c r="T5" s="344"/>
      <c r="U5" s="354"/>
      <c r="V5" s="353" t="s">
        <v>211</v>
      </c>
      <c r="W5" s="344"/>
      <c r="X5" s="344"/>
      <c r="Y5" s="344"/>
      <c r="Z5" s="355" t="s">
        <v>123</v>
      </c>
      <c r="AA5" s="356"/>
      <c r="AB5" s="356"/>
      <c r="AC5" s="356"/>
      <c r="AD5" s="357"/>
      <c r="AE5" s="344" t="s">
        <v>206</v>
      </c>
      <c r="AF5" s="354"/>
      <c r="AG5" s="358" t="s">
        <v>256</v>
      </c>
      <c r="AH5" s="526" t="s">
        <v>372</v>
      </c>
      <c r="AI5" s="305"/>
      <c r="AJ5" s="305"/>
      <c r="AK5" s="354"/>
      <c r="AN5" s="344"/>
      <c r="AO5" s="344"/>
      <c r="AP5" s="344"/>
      <c r="AQ5" s="344"/>
      <c r="AR5" s="344"/>
      <c r="AS5" s="344"/>
      <c r="AT5" s="344"/>
      <c r="AU5" s="344"/>
      <c r="AV5" s="45"/>
      <c r="AW5" s="45"/>
      <c r="AX5" s="45"/>
      <c r="AY5" s="45"/>
      <c r="AZ5" s="45"/>
      <c r="BA5" s="45"/>
      <c r="BB5" s="45"/>
      <c r="BC5" s="45"/>
    </row>
    <row r="6" spans="1:55" ht="14.1" customHeight="1" x14ac:dyDescent="0.2">
      <c r="A6" s="879" t="s">
        <v>41</v>
      </c>
      <c r="B6" s="880"/>
      <c r="C6" s="880"/>
      <c r="D6" s="880"/>
      <c r="E6" s="881" t="str">
        <f>+IF(E7="","",IF(E7=V5,R5,IF(E7=V6,R6,IF(E7=V7,R7))))</f>
        <v/>
      </c>
      <c r="F6" s="881"/>
      <c r="G6" s="881"/>
      <c r="H6" s="881"/>
      <c r="I6" s="881"/>
      <c r="J6" s="881"/>
      <c r="K6" s="698" t="s">
        <v>59</v>
      </c>
      <c r="L6" s="699"/>
      <c r="M6" s="882"/>
      <c r="N6" s="882"/>
      <c r="O6" s="883"/>
      <c r="P6" s="359"/>
      <c r="Q6" s="344"/>
      <c r="R6" s="353" t="s">
        <v>214</v>
      </c>
      <c r="S6" s="305"/>
      <c r="T6" s="344"/>
      <c r="U6" s="354"/>
      <c r="V6" s="353" t="s">
        <v>212</v>
      </c>
      <c r="W6" s="344"/>
      <c r="X6" s="344"/>
      <c r="Y6" s="344"/>
      <c r="Z6" s="353" t="s">
        <v>35</v>
      </c>
      <c r="AA6" s="344"/>
      <c r="AB6" s="344"/>
      <c r="AC6" s="344"/>
      <c r="AD6" s="354"/>
      <c r="AE6" s="344" t="s">
        <v>207</v>
      </c>
      <c r="AF6" s="354"/>
      <c r="AG6" s="360" t="s">
        <v>257</v>
      </c>
      <c r="AH6" s="527" t="s">
        <v>373</v>
      </c>
      <c r="AI6" s="362"/>
      <c r="AJ6" s="362"/>
      <c r="AK6" s="364"/>
      <c r="AN6" s="344"/>
      <c r="AO6" s="344"/>
      <c r="AP6" s="344"/>
      <c r="AQ6" s="344"/>
      <c r="AR6" s="344"/>
      <c r="AS6" s="344"/>
      <c r="AT6" s="344"/>
      <c r="AU6" s="344"/>
      <c r="AV6" s="45"/>
      <c r="AW6" s="45"/>
      <c r="AX6" s="45"/>
      <c r="AY6" s="45"/>
      <c r="AZ6" s="45"/>
      <c r="BA6" s="45"/>
      <c r="BB6" s="45"/>
      <c r="BC6" s="45"/>
    </row>
    <row r="7" spans="1:55" ht="14.1" customHeight="1" x14ac:dyDescent="0.2">
      <c r="A7" s="872" t="s">
        <v>42</v>
      </c>
      <c r="B7" s="873"/>
      <c r="C7" s="873"/>
      <c r="D7" s="873"/>
      <c r="E7" s="874"/>
      <c r="F7" s="874"/>
      <c r="G7" s="874"/>
      <c r="H7" s="874"/>
      <c r="I7" s="874"/>
      <c r="J7" s="874"/>
      <c r="K7" s="700" t="s">
        <v>47</v>
      </c>
      <c r="L7" s="701"/>
      <c r="M7" s="874"/>
      <c r="N7" s="874"/>
      <c r="O7" s="884"/>
      <c r="P7" s="305"/>
      <c r="Q7" s="344"/>
      <c r="R7" s="361" t="s">
        <v>278</v>
      </c>
      <c r="S7" s="362"/>
      <c r="T7" s="363"/>
      <c r="U7" s="364"/>
      <c r="V7" s="361" t="s">
        <v>279</v>
      </c>
      <c r="W7" s="363"/>
      <c r="X7" s="363"/>
      <c r="Y7" s="363"/>
      <c r="Z7" s="353" t="s">
        <v>125</v>
      </c>
      <c r="AA7" s="344"/>
      <c r="AB7" s="344"/>
      <c r="AC7" s="344"/>
      <c r="AD7" s="354"/>
      <c r="AE7" s="11" t="s">
        <v>394</v>
      </c>
      <c r="AG7" s="305"/>
      <c r="AJ7" s="305"/>
      <c r="AK7" s="305"/>
      <c r="AL7" s="305"/>
      <c r="AM7" s="344"/>
      <c r="AN7" s="344"/>
      <c r="AO7" s="344"/>
      <c r="AP7" s="344"/>
      <c r="AQ7" s="344"/>
      <c r="AR7" s="344"/>
      <c r="AS7" s="344"/>
      <c r="AT7" s="344"/>
      <c r="AU7" s="344"/>
      <c r="AV7" s="45"/>
      <c r="AW7" s="45"/>
      <c r="AX7" s="45"/>
      <c r="AY7" s="45"/>
      <c r="AZ7" s="45"/>
      <c r="BA7" s="45"/>
      <c r="BB7" s="45"/>
      <c r="BC7" s="45"/>
    </row>
    <row r="8" spans="1:55" ht="14.1" customHeight="1" x14ac:dyDescent="0.2">
      <c r="A8" s="872" t="s">
        <v>56</v>
      </c>
      <c r="B8" s="873"/>
      <c r="C8" s="873"/>
      <c r="D8" s="873"/>
      <c r="E8" s="874"/>
      <c r="F8" s="874"/>
      <c r="G8" s="874"/>
      <c r="H8" s="874"/>
      <c r="I8" s="874"/>
      <c r="J8" s="874"/>
      <c r="K8" s="700" t="s">
        <v>60</v>
      </c>
      <c r="L8" s="701"/>
      <c r="M8" s="875"/>
      <c r="N8" s="875"/>
      <c r="O8" s="876"/>
      <c r="P8" s="305"/>
      <c r="Q8" s="344"/>
      <c r="R8" s="344"/>
      <c r="S8" s="344"/>
      <c r="T8" s="344"/>
      <c r="U8" s="344"/>
      <c r="V8" s="344"/>
      <c r="W8" s="344"/>
      <c r="X8" s="344"/>
      <c r="Y8" s="344"/>
      <c r="Z8" s="525" t="s">
        <v>375</v>
      </c>
      <c r="AD8" s="342"/>
      <c r="AE8" s="530" t="s">
        <v>208</v>
      </c>
      <c r="AF8" s="268"/>
      <c r="AG8" s="305"/>
      <c r="AH8" s="305"/>
      <c r="AI8" s="305"/>
      <c r="AJ8" s="305"/>
      <c r="AK8" s="305"/>
      <c r="AL8" s="305"/>
      <c r="AM8" s="344"/>
      <c r="AN8" s="344"/>
      <c r="AO8" s="344"/>
      <c r="AP8" s="344"/>
      <c r="AQ8" s="344"/>
      <c r="AR8" s="344"/>
      <c r="AS8" s="344"/>
      <c r="AT8" s="344"/>
      <c r="AU8" s="344"/>
      <c r="AV8" s="45"/>
      <c r="AW8" s="45"/>
      <c r="AX8" s="45"/>
      <c r="AY8" s="45"/>
      <c r="AZ8" s="45"/>
      <c r="BA8" s="45"/>
      <c r="BB8" s="45"/>
      <c r="BC8" s="45"/>
    </row>
    <row r="9" spans="1:55" ht="14.1" customHeight="1" x14ac:dyDescent="0.2">
      <c r="A9" s="877" t="s">
        <v>379</v>
      </c>
      <c r="B9" s="878"/>
      <c r="C9" s="878"/>
      <c r="D9" s="878"/>
      <c r="E9" s="874"/>
      <c r="F9" s="874"/>
      <c r="G9" s="874"/>
      <c r="H9" s="874"/>
      <c r="I9" s="874"/>
      <c r="J9" s="874"/>
      <c r="K9" s="700" t="s">
        <v>61</v>
      </c>
      <c r="L9" s="701"/>
      <c r="M9" s="875"/>
      <c r="N9" s="875"/>
      <c r="O9" s="876"/>
      <c r="P9" s="365"/>
      <c r="Q9" s="344"/>
      <c r="R9" s="344"/>
      <c r="S9" s="344"/>
      <c r="T9" s="344"/>
      <c r="U9" s="344"/>
      <c r="V9" s="344"/>
      <c r="W9" s="344"/>
      <c r="X9" s="344"/>
      <c r="Y9" s="344"/>
      <c r="Z9" s="248" t="s">
        <v>340</v>
      </c>
      <c r="AA9" s="344"/>
      <c r="AB9" s="344"/>
      <c r="AC9" s="344"/>
      <c r="AD9" s="354"/>
      <c r="AE9" s="11" t="s">
        <v>49</v>
      </c>
      <c r="AF9" s="344"/>
      <c r="AG9" s="305"/>
      <c r="AH9" s="344"/>
      <c r="AI9" s="344"/>
      <c r="AJ9" s="344"/>
      <c r="AK9" s="344"/>
      <c r="AL9" s="344"/>
      <c r="AM9" s="344"/>
      <c r="AN9" s="344"/>
      <c r="AO9" s="344"/>
      <c r="AP9" s="344"/>
      <c r="AQ9" s="344"/>
      <c r="AR9" s="344"/>
      <c r="AS9" s="344"/>
      <c r="AT9" s="344"/>
      <c r="AU9" s="344"/>
      <c r="AV9" s="45"/>
      <c r="AW9" s="45"/>
      <c r="AX9" s="45"/>
      <c r="AY9" s="45"/>
      <c r="AZ9" s="45"/>
      <c r="BA9" s="45"/>
      <c r="BB9" s="45"/>
      <c r="BC9" s="45"/>
    </row>
    <row r="10" spans="1:55" ht="14.1" customHeight="1" x14ac:dyDescent="0.2">
      <c r="A10" s="877" t="s">
        <v>201</v>
      </c>
      <c r="B10" s="878"/>
      <c r="C10" s="878"/>
      <c r="D10" s="878"/>
      <c r="E10" s="874"/>
      <c r="F10" s="874"/>
      <c r="G10" s="874"/>
      <c r="H10" s="874"/>
      <c r="I10" s="874"/>
      <c r="J10" s="874"/>
      <c r="K10" s="700" t="s">
        <v>53</v>
      </c>
      <c r="L10" s="701"/>
      <c r="M10" s="875"/>
      <c r="N10" s="875"/>
      <c r="O10" s="876"/>
      <c r="P10" s="365"/>
      <c r="Q10" s="344"/>
      <c r="R10" s="344"/>
      <c r="S10" s="344"/>
      <c r="T10" s="344"/>
      <c r="U10" s="344"/>
      <c r="V10" s="344"/>
      <c r="W10" s="344"/>
      <c r="X10" s="344"/>
      <c r="Y10" s="344"/>
      <c r="Z10" s="249" t="s">
        <v>341</v>
      </c>
      <c r="AA10" s="363"/>
      <c r="AB10" s="363"/>
      <c r="AC10" s="363"/>
      <c r="AD10" s="364"/>
      <c r="AF10" s="344"/>
      <c r="AG10" s="344"/>
      <c r="AH10" s="344"/>
      <c r="AI10" s="344"/>
      <c r="AJ10" s="344"/>
      <c r="AK10" s="344"/>
      <c r="AL10" s="344"/>
      <c r="AM10" s="344"/>
      <c r="AN10" s="344"/>
      <c r="AO10" s="344"/>
      <c r="AP10" s="344"/>
      <c r="AQ10" s="344"/>
      <c r="AR10" s="344"/>
      <c r="AS10" s="344"/>
      <c r="AT10" s="344"/>
      <c r="AU10" s="344"/>
      <c r="AV10" s="45"/>
      <c r="AW10" s="45"/>
      <c r="AX10" s="45"/>
      <c r="AY10" s="45"/>
      <c r="AZ10" s="45"/>
      <c r="BA10" s="45"/>
      <c r="BB10" s="45"/>
      <c r="BC10" s="45"/>
    </row>
    <row r="11" spans="1:55" ht="14.1" customHeight="1" x14ac:dyDescent="0.2">
      <c r="A11" s="877" t="s">
        <v>91</v>
      </c>
      <c r="B11" s="878"/>
      <c r="C11" s="878"/>
      <c r="D11" s="700"/>
      <c r="E11" s="874"/>
      <c r="F11" s="874"/>
      <c r="G11" s="874"/>
      <c r="H11" s="874"/>
      <c r="I11" s="874"/>
      <c r="J11" s="874"/>
      <c r="K11" s="700" t="s">
        <v>165</v>
      </c>
      <c r="L11" s="701"/>
      <c r="M11" s="875"/>
      <c r="N11" s="875"/>
      <c r="O11" s="876"/>
      <c r="P11" s="365"/>
      <c r="Q11" s="344"/>
      <c r="R11" s="344"/>
      <c r="S11" s="344"/>
      <c r="T11" s="344"/>
      <c r="U11" s="344"/>
      <c r="V11" s="344"/>
      <c r="W11" s="344"/>
      <c r="X11" s="344"/>
      <c r="Y11" s="344"/>
      <c r="Z11" s="344"/>
      <c r="AA11" s="344"/>
      <c r="AB11" s="344"/>
      <c r="AC11" s="344"/>
      <c r="AD11" s="344"/>
      <c r="AE11" s="344"/>
      <c r="AF11" s="344"/>
      <c r="AG11" s="344"/>
      <c r="AH11" s="344"/>
      <c r="AI11" s="344"/>
      <c r="AJ11" s="344"/>
      <c r="AK11" s="344"/>
      <c r="AL11" s="344"/>
      <c r="AM11" s="344"/>
      <c r="AN11" s="344"/>
      <c r="AO11" s="344"/>
      <c r="AP11" s="344"/>
      <c r="AQ11" s="344"/>
      <c r="AR11" s="344"/>
      <c r="AS11" s="344"/>
      <c r="AT11" s="344"/>
      <c r="AU11" s="344"/>
      <c r="AV11" s="45"/>
      <c r="AW11" s="45"/>
      <c r="AX11" s="45"/>
      <c r="AY11" s="45"/>
      <c r="AZ11" s="45"/>
      <c r="BA11" s="45"/>
      <c r="BB11" s="45"/>
      <c r="BC11" s="45"/>
    </row>
    <row r="12" spans="1:55" ht="15.75" customHeight="1" x14ac:dyDescent="0.2">
      <c r="A12" s="877"/>
      <c r="B12" s="878"/>
      <c r="C12" s="878"/>
      <c r="D12" s="700"/>
      <c r="E12" s="874"/>
      <c r="F12" s="874"/>
      <c r="G12" s="874"/>
      <c r="H12" s="874"/>
      <c r="I12" s="874"/>
      <c r="J12" s="874"/>
      <c r="K12" s="702" t="s">
        <v>164</v>
      </c>
      <c r="L12" s="703"/>
      <c r="M12" s="858"/>
      <c r="N12" s="858"/>
      <c r="O12" s="859"/>
      <c r="P12" s="366"/>
      <c r="Q12" s="344"/>
      <c r="R12" s="344"/>
      <c r="S12" s="344"/>
      <c r="T12" s="344"/>
      <c r="U12" s="344"/>
      <c r="V12" s="344"/>
      <c r="W12" s="344"/>
      <c r="X12" s="344"/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  <c r="AU12" s="344"/>
      <c r="AV12" s="45"/>
      <c r="AW12" s="45"/>
      <c r="AX12" s="45"/>
      <c r="AY12" s="45"/>
      <c r="AZ12" s="45"/>
      <c r="BA12" s="45"/>
      <c r="BB12" s="45"/>
      <c r="BC12" s="45"/>
    </row>
    <row r="13" spans="1:55" ht="15.75" customHeight="1" x14ac:dyDescent="0.2">
      <c r="A13" s="926" t="s">
        <v>324</v>
      </c>
      <c r="B13" s="927"/>
      <c r="C13" s="927"/>
      <c r="D13" s="524"/>
      <c r="E13" s="928" t="str">
        <f>IF(E8="","",+IF(E8=Z8,AH6,AH5))</f>
        <v/>
      </c>
      <c r="F13" s="928"/>
      <c r="G13" s="928"/>
      <c r="H13" s="928"/>
      <c r="I13" s="928"/>
      <c r="J13" s="928"/>
      <c r="K13" s="928"/>
      <c r="L13" s="928"/>
      <c r="M13" s="928"/>
      <c r="N13" s="928"/>
      <c r="O13" s="929"/>
      <c r="P13" s="366"/>
      <c r="Q13" s="344"/>
      <c r="R13" s="344"/>
      <c r="S13" s="344"/>
      <c r="T13" s="344"/>
      <c r="U13" s="344"/>
      <c r="V13" s="344"/>
      <c r="W13" s="344"/>
      <c r="X13" s="344"/>
      <c r="Y13" s="344"/>
      <c r="Z13" s="344"/>
      <c r="AA13" s="344"/>
      <c r="AB13" s="344"/>
      <c r="AC13" s="344"/>
      <c r="AD13" s="344"/>
      <c r="AE13" s="344"/>
      <c r="AF13" s="344"/>
      <c r="AG13" s="344"/>
      <c r="AH13" s="344"/>
      <c r="AI13" s="344"/>
      <c r="AJ13" s="344"/>
      <c r="AK13" s="344"/>
      <c r="AL13" s="344"/>
      <c r="AM13" s="344"/>
      <c r="AN13" s="344"/>
      <c r="AO13" s="344"/>
      <c r="AP13" s="344"/>
      <c r="AQ13" s="344"/>
      <c r="AR13" s="344"/>
      <c r="AS13" s="344"/>
      <c r="AT13" s="344"/>
      <c r="AU13" s="344"/>
      <c r="AV13" s="45"/>
      <c r="AW13" s="45"/>
      <c r="AX13" s="45"/>
      <c r="AY13" s="45"/>
      <c r="AZ13" s="45"/>
      <c r="BA13" s="45"/>
      <c r="BB13" s="45"/>
      <c r="BC13" s="45"/>
    </row>
    <row r="14" spans="1:55" ht="24.95" customHeight="1" x14ac:dyDescent="0.2">
      <c r="A14" s="894" t="s">
        <v>84</v>
      </c>
      <c r="B14" s="895"/>
      <c r="C14" s="895"/>
      <c r="D14" s="895"/>
      <c r="E14" s="895"/>
      <c r="F14" s="898" t="s">
        <v>67</v>
      </c>
      <c r="G14" s="898"/>
      <c r="H14" s="900" t="s">
        <v>80</v>
      </c>
      <c r="I14" s="902" t="s">
        <v>79</v>
      </c>
      <c r="J14" s="903"/>
      <c r="K14" s="902" t="s">
        <v>227</v>
      </c>
      <c r="L14" s="906"/>
      <c r="M14" s="903"/>
      <c r="N14" s="914" t="s">
        <v>7</v>
      </c>
      <c r="O14" s="915"/>
      <c r="P14" s="916" t="s">
        <v>209</v>
      </c>
      <c r="Q14" s="344"/>
      <c r="R14" s="907" t="s">
        <v>29</v>
      </c>
      <c r="S14" s="908"/>
      <c r="T14" s="908"/>
      <c r="U14" s="908"/>
      <c r="V14" s="908"/>
      <c r="W14" s="908"/>
      <c r="X14" s="908"/>
      <c r="Y14" s="908"/>
      <c r="Z14" s="908"/>
      <c r="AA14" s="908"/>
      <c r="AB14" s="908"/>
      <c r="AC14" s="908"/>
      <c r="AD14" s="908"/>
      <c r="AE14" s="908"/>
      <c r="AF14" s="908"/>
      <c r="AG14" s="908"/>
      <c r="AH14" s="908"/>
      <c r="AI14" s="909"/>
      <c r="AJ14" s="923" t="s">
        <v>280</v>
      </c>
      <c r="AK14" s="924"/>
      <c r="AL14" s="924"/>
      <c r="AM14" s="924"/>
      <c r="AN14" s="924"/>
      <c r="AO14" s="924"/>
      <c r="AP14" s="924"/>
      <c r="AQ14" s="924"/>
      <c r="AR14" s="924"/>
      <c r="AS14" s="924"/>
      <c r="AT14" s="924"/>
      <c r="AU14" s="925"/>
      <c r="AV14" s="45"/>
      <c r="AW14" s="45"/>
      <c r="AX14" s="45"/>
      <c r="AY14" s="45"/>
      <c r="AZ14" s="45"/>
      <c r="BA14" s="45"/>
      <c r="BB14" s="45"/>
      <c r="BC14" s="45"/>
    </row>
    <row r="15" spans="1:55" ht="24.95" customHeight="1" x14ac:dyDescent="0.2">
      <c r="A15" s="896"/>
      <c r="B15" s="897"/>
      <c r="C15" s="897"/>
      <c r="D15" s="897"/>
      <c r="E15" s="897"/>
      <c r="F15" s="899"/>
      <c r="G15" s="899"/>
      <c r="H15" s="901"/>
      <c r="I15" s="904"/>
      <c r="J15" s="905"/>
      <c r="K15" s="20" t="s">
        <v>46</v>
      </c>
      <c r="L15" s="21" t="s">
        <v>374</v>
      </c>
      <c r="M15" s="22" t="s">
        <v>228</v>
      </c>
      <c r="N15" s="136" t="s">
        <v>374</v>
      </c>
      <c r="O15" s="137" t="s">
        <v>228</v>
      </c>
      <c r="P15" s="917"/>
      <c r="Q15" s="344"/>
      <c r="R15" s="918" t="s">
        <v>46</v>
      </c>
      <c r="S15" s="919"/>
      <c r="T15" s="919"/>
      <c r="U15" s="919"/>
      <c r="V15" s="919"/>
      <c r="W15" s="919"/>
      <c r="X15" s="920" t="s">
        <v>43</v>
      </c>
      <c r="Y15" s="921"/>
      <c r="Z15" s="921"/>
      <c r="AA15" s="921"/>
      <c r="AB15" s="921"/>
      <c r="AC15" s="922"/>
      <c r="AD15" s="921" t="s">
        <v>57</v>
      </c>
      <c r="AE15" s="921"/>
      <c r="AF15" s="921"/>
      <c r="AG15" s="921"/>
      <c r="AH15" s="921"/>
      <c r="AI15" s="922"/>
      <c r="AJ15" s="907" t="s">
        <v>43</v>
      </c>
      <c r="AK15" s="908"/>
      <c r="AL15" s="908"/>
      <c r="AM15" s="908"/>
      <c r="AN15" s="908"/>
      <c r="AO15" s="908"/>
      <c r="AP15" s="907" t="s">
        <v>58</v>
      </c>
      <c r="AQ15" s="908"/>
      <c r="AR15" s="908"/>
      <c r="AS15" s="908"/>
      <c r="AT15" s="908"/>
      <c r="AU15" s="909"/>
      <c r="AV15" s="45"/>
      <c r="AW15" s="45"/>
      <c r="AX15" s="45"/>
      <c r="AY15" s="45"/>
      <c r="AZ15" s="45"/>
      <c r="BA15" s="45"/>
      <c r="BB15" s="45"/>
      <c r="BC15" s="45"/>
    </row>
    <row r="16" spans="1:55" ht="24.95" customHeight="1" x14ac:dyDescent="0.2">
      <c r="A16" s="910" t="s">
        <v>112</v>
      </c>
      <c r="B16" s="911"/>
      <c r="C16" s="911"/>
      <c r="D16" s="911"/>
      <c r="E16" s="911"/>
      <c r="F16" s="911"/>
      <c r="G16" s="911"/>
      <c r="H16" s="912"/>
      <c r="I16" s="912"/>
      <c r="J16" s="912"/>
      <c r="K16" s="912"/>
      <c r="L16" s="912"/>
      <c r="M16" s="912"/>
      <c r="N16" s="912"/>
      <c r="O16" s="913"/>
      <c r="P16" s="521"/>
      <c r="Q16" s="344">
        <v>1</v>
      </c>
      <c r="R16" s="367" t="s">
        <v>123</v>
      </c>
      <c r="S16" s="368" t="s">
        <v>35</v>
      </c>
      <c r="T16" s="369" t="s">
        <v>341</v>
      </c>
      <c r="U16" s="368" t="s">
        <v>125</v>
      </c>
      <c r="V16" s="369" t="s">
        <v>340</v>
      </c>
      <c r="W16" s="556" t="s">
        <v>375</v>
      </c>
      <c r="X16" s="370" t="s">
        <v>123</v>
      </c>
      <c r="Y16" s="368" t="s">
        <v>35</v>
      </c>
      <c r="Z16" s="369" t="s">
        <v>341</v>
      </c>
      <c r="AA16" s="368" t="s">
        <v>125</v>
      </c>
      <c r="AB16" s="369" t="s">
        <v>340</v>
      </c>
      <c r="AC16" s="566" t="s">
        <v>375</v>
      </c>
      <c r="AD16" s="368" t="s">
        <v>123</v>
      </c>
      <c r="AE16" s="368" t="s">
        <v>35</v>
      </c>
      <c r="AF16" s="369" t="s">
        <v>341</v>
      </c>
      <c r="AG16" s="368" t="s">
        <v>125</v>
      </c>
      <c r="AH16" s="369" t="s">
        <v>340</v>
      </c>
      <c r="AI16" s="532" t="s">
        <v>123</v>
      </c>
      <c r="AJ16" s="370" t="s">
        <v>123</v>
      </c>
      <c r="AK16" s="368" t="s">
        <v>35</v>
      </c>
      <c r="AL16" s="371" t="s">
        <v>341</v>
      </c>
      <c r="AM16" s="368" t="s">
        <v>125</v>
      </c>
      <c r="AN16" s="371" t="s">
        <v>340</v>
      </c>
      <c r="AO16" s="566" t="s">
        <v>375</v>
      </c>
      <c r="AP16" s="370" t="s">
        <v>123</v>
      </c>
      <c r="AQ16" s="368" t="s">
        <v>35</v>
      </c>
      <c r="AR16" s="369" t="s">
        <v>341</v>
      </c>
      <c r="AS16" s="368" t="s">
        <v>125</v>
      </c>
      <c r="AT16" s="371" t="s">
        <v>340</v>
      </c>
      <c r="AU16" s="573" t="s">
        <v>375</v>
      </c>
      <c r="AV16" s="232"/>
      <c r="AW16" s="45"/>
      <c r="AX16" s="45"/>
      <c r="AY16" s="45"/>
      <c r="AZ16" s="45"/>
      <c r="BA16" s="45"/>
      <c r="BB16" s="45"/>
      <c r="BC16" s="45"/>
    </row>
    <row r="17" spans="1:55" ht="24.95" customHeight="1" x14ac:dyDescent="0.2">
      <c r="A17" s="946" t="s">
        <v>63</v>
      </c>
      <c r="B17" s="947"/>
      <c r="C17" s="947"/>
      <c r="D17" s="947"/>
      <c r="E17" s="139" t="s">
        <v>39</v>
      </c>
      <c r="F17" s="948" t="s">
        <v>69</v>
      </c>
      <c r="G17" s="949"/>
      <c r="H17" s="23" t="str">
        <f>IF('732'!M18="","",'732'!M18)</f>
        <v/>
      </c>
      <c r="I17" s="950" t="s">
        <v>126</v>
      </c>
      <c r="J17" s="951"/>
      <c r="K17" s="24" t="str">
        <f>IF(E8="","",HLOOKUP($E$8,$R$16:$AP$32,Q17,0))</f>
        <v/>
      </c>
      <c r="L17" s="25" t="str">
        <f>IF(OR(K17="",K17="--"),"",K17-0.3)</f>
        <v/>
      </c>
      <c r="M17" s="26" t="str">
        <f>IF(OR(K17="",K17="--"),"",K17+0.3)</f>
        <v/>
      </c>
      <c r="N17" s="952"/>
      <c r="O17" s="953"/>
      <c r="P17" s="522" t="str">
        <f>+IF(H17="","",(IF(AND(H17&gt;L17,H17&lt;M17),"","No cumple")))</f>
        <v/>
      </c>
      <c r="Q17" s="344">
        <v>2</v>
      </c>
      <c r="R17" s="533">
        <v>6.7</v>
      </c>
      <c r="S17" s="534">
        <v>5.9</v>
      </c>
      <c r="T17" s="534">
        <v>6.1</v>
      </c>
      <c r="U17" s="534">
        <v>5.4</v>
      </c>
      <c r="V17" s="534">
        <v>6.7</v>
      </c>
      <c r="W17" s="657" t="s">
        <v>154</v>
      </c>
      <c r="X17" s="535"/>
      <c r="Y17" s="536"/>
      <c r="Z17" s="536"/>
      <c r="AA17" s="536"/>
      <c r="AB17" s="536"/>
      <c r="AC17" s="567"/>
      <c r="AD17" s="536"/>
      <c r="AE17" s="536"/>
      <c r="AF17" s="536"/>
      <c r="AG17" s="536"/>
      <c r="AH17" s="536"/>
      <c r="AI17" s="537"/>
      <c r="AJ17" s="353"/>
      <c r="AK17" s="344"/>
      <c r="AL17" s="344"/>
      <c r="AM17" s="344"/>
      <c r="AN17" s="344"/>
      <c r="AO17" s="683">
        <v>6</v>
      </c>
      <c r="AP17" s="684"/>
      <c r="AQ17" s="685"/>
      <c r="AR17" s="685"/>
      <c r="AS17" s="685"/>
      <c r="AT17" s="685"/>
      <c r="AU17" s="686">
        <v>9</v>
      </c>
      <c r="AV17" s="232"/>
      <c r="AW17" s="45"/>
      <c r="AX17" s="45"/>
      <c r="AY17" s="45"/>
      <c r="AZ17" s="45"/>
      <c r="BA17" s="45"/>
      <c r="BB17" s="45"/>
      <c r="BC17" s="45"/>
    </row>
    <row r="18" spans="1:55" ht="24.95" customHeight="1" x14ac:dyDescent="0.2">
      <c r="A18" s="134" t="s">
        <v>352</v>
      </c>
      <c r="B18" s="135"/>
      <c r="C18" s="135"/>
      <c r="D18" s="135"/>
      <c r="E18" s="141" t="s">
        <v>39</v>
      </c>
      <c r="F18" s="694"/>
      <c r="G18" s="142"/>
      <c r="H18" s="27" t="str">
        <f>+IF(H17="","",IF(E8=Z8,H17/(1-(Q34/100)),"N.A"))</f>
        <v/>
      </c>
      <c r="I18" s="930" t="s">
        <v>119</v>
      </c>
      <c r="J18" s="931"/>
      <c r="K18" s="24" t="str">
        <f>IF(OR(E8="",E8=R16,E8=S16,E8=T16,E8=U16,E8=V16),"",HLOOKUP($E$8,$R$16:$AP$32,Q18,0))</f>
        <v/>
      </c>
      <c r="L18" s="25" t="str">
        <f>IF(OR(K18="",K18="--",K18=0),"",K18-0.3)</f>
        <v/>
      </c>
      <c r="M18" s="26" t="str">
        <f>IF(OR(K18="",K18="--",K18=0),"",K18+0.3)</f>
        <v/>
      </c>
      <c r="N18" s="143"/>
      <c r="O18" s="144"/>
      <c r="P18" s="522" t="str">
        <f t="shared" ref="P18:P23" si="0">+IF(H18="","",(IF(AND(H18&gt;L18,H18&lt;M18),"","No cumple")))</f>
        <v/>
      </c>
      <c r="Q18" s="344">
        <v>3</v>
      </c>
      <c r="R18" s="538"/>
      <c r="S18" s="536"/>
      <c r="T18" s="536"/>
      <c r="U18" s="536"/>
      <c r="V18" s="536"/>
      <c r="W18" s="557">
        <v>7.5</v>
      </c>
      <c r="X18" s="535"/>
      <c r="Y18" s="536"/>
      <c r="Z18" s="536"/>
      <c r="AA18" s="536"/>
      <c r="AB18" s="536"/>
      <c r="AC18" s="567"/>
      <c r="AD18" s="536"/>
      <c r="AE18" s="536"/>
      <c r="AF18" s="536"/>
      <c r="AG18" s="536"/>
      <c r="AH18" s="536"/>
      <c r="AI18" s="537"/>
      <c r="AJ18" s="353"/>
      <c r="AK18" s="344"/>
      <c r="AL18" s="344"/>
      <c r="AM18" s="344"/>
      <c r="AN18" s="344"/>
      <c r="AO18" s="45"/>
      <c r="AP18" s="353"/>
      <c r="AQ18" s="344"/>
      <c r="AR18" s="344"/>
      <c r="AS18" s="344"/>
      <c r="AT18" s="344"/>
      <c r="AU18" s="354"/>
      <c r="AV18" s="232"/>
      <c r="AW18" s="45"/>
      <c r="AX18" s="45"/>
      <c r="AY18" s="45"/>
      <c r="AZ18" s="45"/>
      <c r="BA18" s="45"/>
      <c r="BB18" s="45"/>
      <c r="BC18" s="45"/>
    </row>
    <row r="19" spans="1:55" ht="24.95" customHeight="1" x14ac:dyDescent="0.2">
      <c r="A19" s="932" t="s">
        <v>113</v>
      </c>
      <c r="B19" s="933"/>
      <c r="C19" s="933"/>
      <c r="D19" s="933"/>
      <c r="E19" s="145"/>
      <c r="F19" s="934" t="s">
        <v>94</v>
      </c>
      <c r="G19" s="935"/>
      <c r="H19" s="936" t="str">
        <f>IF(E8="","",HLOOKUP($E$8,$R$16:$AP$32,Q19,0))</f>
        <v/>
      </c>
      <c r="I19" s="937"/>
      <c r="J19" s="937"/>
      <c r="K19" s="937"/>
      <c r="L19" s="937"/>
      <c r="M19" s="937"/>
      <c r="N19" s="937"/>
      <c r="O19" s="938"/>
      <c r="P19" s="522"/>
      <c r="Q19" s="344">
        <v>4</v>
      </c>
      <c r="R19" s="533" t="s">
        <v>95</v>
      </c>
      <c r="S19" s="534" t="s">
        <v>95</v>
      </c>
      <c r="T19" s="534" t="s">
        <v>95</v>
      </c>
      <c r="U19" s="534" t="s">
        <v>95</v>
      </c>
      <c r="V19" s="534" t="s">
        <v>95</v>
      </c>
      <c r="W19" s="557" t="s">
        <v>95</v>
      </c>
      <c r="X19" s="535"/>
      <c r="Y19" s="536"/>
      <c r="Z19" s="536"/>
      <c r="AA19" s="536"/>
      <c r="AB19" s="536"/>
      <c r="AC19" s="557" t="s">
        <v>95</v>
      </c>
      <c r="AD19" s="536"/>
      <c r="AE19" s="536"/>
      <c r="AF19" s="536"/>
      <c r="AG19" s="536"/>
      <c r="AH19" s="536"/>
      <c r="AI19" s="557" t="s">
        <v>95</v>
      </c>
      <c r="AJ19" s="353"/>
      <c r="AK19" s="344"/>
      <c r="AL19" s="344"/>
      <c r="AM19" s="344"/>
      <c r="AN19" s="344"/>
      <c r="AO19" s="354"/>
      <c r="AP19" s="353"/>
      <c r="AQ19" s="344"/>
      <c r="AR19" s="344"/>
      <c r="AS19" s="344"/>
      <c r="AT19" s="344"/>
      <c r="AU19" s="354"/>
      <c r="AV19" s="232"/>
      <c r="AW19" s="45"/>
      <c r="AX19" s="45"/>
      <c r="AY19" s="45"/>
      <c r="AZ19" s="45"/>
      <c r="BA19" s="45"/>
      <c r="BB19" s="45"/>
      <c r="BC19" s="45"/>
    </row>
    <row r="20" spans="1:55" ht="24.95" customHeight="1" x14ac:dyDescent="0.2">
      <c r="A20" s="939" t="s">
        <v>93</v>
      </c>
      <c r="B20" s="940"/>
      <c r="C20" s="940"/>
      <c r="D20" s="940"/>
      <c r="E20" s="940"/>
      <c r="F20" s="940"/>
      <c r="G20" s="940"/>
      <c r="H20" s="941"/>
      <c r="I20" s="941"/>
      <c r="J20" s="941"/>
      <c r="K20" s="941"/>
      <c r="L20" s="941"/>
      <c r="M20" s="941"/>
      <c r="N20" s="941"/>
      <c r="O20" s="942"/>
      <c r="P20" s="522"/>
      <c r="Q20" s="344">
        <v>5</v>
      </c>
      <c r="R20" s="533"/>
      <c r="S20" s="536"/>
      <c r="T20" s="536"/>
      <c r="U20" s="536"/>
      <c r="V20" s="536"/>
      <c r="W20" s="557"/>
      <c r="X20" s="539"/>
      <c r="Y20" s="534"/>
      <c r="Z20" s="534"/>
      <c r="AA20" s="534"/>
      <c r="AB20" s="534"/>
      <c r="AC20" s="557"/>
      <c r="AD20" s="534"/>
      <c r="AE20" s="534"/>
      <c r="AF20" s="534"/>
      <c r="AG20" s="534"/>
      <c r="AH20" s="534"/>
      <c r="AI20" s="557"/>
      <c r="AJ20" s="373"/>
      <c r="AK20" s="372"/>
      <c r="AL20" s="372"/>
      <c r="AM20" s="372"/>
      <c r="AN20" s="372"/>
      <c r="AO20" s="569"/>
      <c r="AP20" s="373"/>
      <c r="AQ20" s="372"/>
      <c r="AR20" s="372"/>
      <c r="AS20" s="372"/>
      <c r="AT20" s="372"/>
      <c r="AU20" s="569"/>
      <c r="AV20" s="232"/>
      <c r="AW20" s="45"/>
      <c r="AX20" s="45"/>
      <c r="AY20" s="45"/>
      <c r="AZ20" s="45"/>
      <c r="BA20" s="45"/>
      <c r="BB20" s="45"/>
      <c r="BC20" s="45"/>
    </row>
    <row r="21" spans="1:55" ht="21.95" customHeight="1" x14ac:dyDescent="0.2">
      <c r="A21" s="946" t="s">
        <v>81</v>
      </c>
      <c r="B21" s="947"/>
      <c r="C21" s="947"/>
      <c r="D21" s="966" t="s">
        <v>65</v>
      </c>
      <c r="E21" s="966"/>
      <c r="F21" s="948" t="s">
        <v>68</v>
      </c>
      <c r="G21" s="967"/>
      <c r="H21" s="28" t="str">
        <f>IF(K21="","",K21)</f>
        <v/>
      </c>
      <c r="I21" s="952"/>
      <c r="J21" s="968"/>
      <c r="K21" s="943" t="str">
        <f>IF(E8="","",HLOOKUP($E$8,$R$16:$AP$32,Q21,0))</f>
        <v/>
      </c>
      <c r="L21" s="944"/>
      <c r="M21" s="945"/>
      <c r="N21" s="969" t="str">
        <f>IF(E8="","",HLOOKUP($E$8,$AJ$16:$AO$32,Q21,0))</f>
        <v/>
      </c>
      <c r="O21" s="949"/>
      <c r="P21" s="522"/>
      <c r="Q21" s="344">
        <v>6</v>
      </c>
      <c r="R21" s="540">
        <v>75</v>
      </c>
      <c r="S21" s="541">
        <v>75</v>
      </c>
      <c r="T21" s="541">
        <v>75</v>
      </c>
      <c r="U21" s="541">
        <v>75</v>
      </c>
      <c r="V21" s="541">
        <v>75</v>
      </c>
      <c r="W21" s="558">
        <v>75</v>
      </c>
      <c r="X21" s="540"/>
      <c r="Y21" s="541"/>
      <c r="Z21" s="541"/>
      <c r="AA21" s="541"/>
      <c r="AB21" s="541"/>
      <c r="AC21" s="558"/>
      <c r="AD21" s="541"/>
      <c r="AE21" s="541"/>
      <c r="AF21" s="541"/>
      <c r="AG21" s="541"/>
      <c r="AH21" s="541"/>
      <c r="AI21" s="558"/>
      <c r="AJ21" s="375">
        <v>75</v>
      </c>
      <c r="AK21" s="376">
        <v>75</v>
      </c>
      <c r="AL21" s="376">
        <v>75</v>
      </c>
      <c r="AM21" s="376">
        <v>75</v>
      </c>
      <c r="AN21" s="376">
        <v>75</v>
      </c>
      <c r="AO21" s="687">
        <v>75</v>
      </c>
      <c r="AP21" s="375"/>
      <c r="AQ21" s="376"/>
      <c r="AR21" s="376"/>
      <c r="AS21" s="376"/>
      <c r="AT21" s="376"/>
      <c r="AU21" s="570"/>
      <c r="AV21" s="232"/>
      <c r="AW21" s="45"/>
      <c r="AX21" s="45"/>
      <c r="AY21" s="45"/>
      <c r="AZ21" s="45"/>
      <c r="BA21" s="45"/>
      <c r="BB21" s="45"/>
      <c r="BC21" s="45"/>
    </row>
    <row r="22" spans="1:55" ht="21.95" customHeight="1" x14ac:dyDescent="0.2">
      <c r="A22" s="961" t="s">
        <v>44</v>
      </c>
      <c r="B22" s="962"/>
      <c r="C22" s="962"/>
      <c r="D22" s="962"/>
      <c r="E22" s="147" t="s">
        <v>62</v>
      </c>
      <c r="F22" s="963" t="s">
        <v>68</v>
      </c>
      <c r="G22" s="963"/>
      <c r="H22" s="29" t="str">
        <f>IF('GLAB-FM-099'!O22="","",'GLAB-FM-099'!O22)</f>
        <v/>
      </c>
      <c r="I22" s="964" t="s">
        <v>110</v>
      </c>
      <c r="J22" s="965"/>
      <c r="K22" s="65" t="str">
        <f>IF($E$8="","",HLOOKUP($E$8,$R$16:$W$32,Q22,0))</f>
        <v/>
      </c>
      <c r="L22" s="67" t="str">
        <f>IF(K22="","",K22*0.9)</f>
        <v/>
      </c>
      <c r="M22" s="30"/>
      <c r="N22" s="148" t="str">
        <f>IF(E8="","",HLOOKUP($E$8,$AJ$16:$AO$32,Q22,0))</f>
        <v/>
      </c>
      <c r="O22" s="149" t="str">
        <f>IF(E8="","",HLOOKUP($E$8,$AP$16:$AU$32,Q22,0))</f>
        <v/>
      </c>
      <c r="P22" s="522" t="str">
        <f>+IF(H22="","",(IF(H22&gt;N22,"","No cumple")))</f>
        <v/>
      </c>
      <c r="Q22" s="344">
        <v>7</v>
      </c>
      <c r="R22" s="540">
        <v>1490</v>
      </c>
      <c r="S22" s="541">
        <v>1400</v>
      </c>
      <c r="T22" s="541">
        <v>1500</v>
      </c>
      <c r="U22" s="541">
        <v>1390</v>
      </c>
      <c r="V22" s="541">
        <v>1470</v>
      </c>
      <c r="W22" s="558">
        <v>1457</v>
      </c>
      <c r="X22" s="542">
        <f>IF(R22="","",R22*0.9)</f>
        <v>1341</v>
      </c>
      <c r="Y22" s="543">
        <f>IF(S22="","",S22*0.9)</f>
        <v>1260</v>
      </c>
      <c r="Z22" s="543">
        <f>IF(T22="","",T22*0.9)</f>
        <v>1350</v>
      </c>
      <c r="AA22" s="543">
        <f>IF(U22="","",U22*0.9)</f>
        <v>1251</v>
      </c>
      <c r="AB22" s="543">
        <f>IF(V22="","",V22*0.9)</f>
        <v>1323</v>
      </c>
      <c r="AC22" s="561" t="s">
        <v>124</v>
      </c>
      <c r="AD22" s="543" t="s">
        <v>49</v>
      </c>
      <c r="AE22" s="543" t="s">
        <v>49</v>
      </c>
      <c r="AF22" s="543" t="s">
        <v>49</v>
      </c>
      <c r="AG22" s="543" t="s">
        <v>49</v>
      </c>
      <c r="AH22" s="543" t="s">
        <v>49</v>
      </c>
      <c r="AI22" s="561" t="s">
        <v>161</v>
      </c>
      <c r="AJ22" s="377">
        <v>900</v>
      </c>
      <c r="AK22" s="378">
        <v>900</v>
      </c>
      <c r="AL22" s="378">
        <v>750</v>
      </c>
      <c r="AM22" s="378">
        <v>750</v>
      </c>
      <c r="AN22" s="378">
        <v>750</v>
      </c>
      <c r="AO22" s="687">
        <v>842</v>
      </c>
      <c r="AP22" s="377" t="s">
        <v>49</v>
      </c>
      <c r="AQ22" s="378" t="s">
        <v>49</v>
      </c>
      <c r="AR22" s="378" t="s">
        <v>49</v>
      </c>
      <c r="AS22" s="378" t="s">
        <v>49</v>
      </c>
      <c r="AT22" s="378" t="s">
        <v>49</v>
      </c>
      <c r="AU22" s="687" t="s">
        <v>49</v>
      </c>
      <c r="AV22" s="232"/>
      <c r="AW22" s="45"/>
      <c r="AX22" s="45"/>
      <c r="AY22" s="45"/>
      <c r="AZ22" s="45"/>
      <c r="BA22" s="45"/>
      <c r="BB22" s="45"/>
      <c r="BC22" s="45"/>
    </row>
    <row r="23" spans="1:55" ht="21.95" hidden="1" customHeight="1" x14ac:dyDescent="0.2">
      <c r="A23" s="692" t="s">
        <v>114</v>
      </c>
      <c r="B23" s="693"/>
      <c r="C23" s="693"/>
      <c r="D23" s="693"/>
      <c r="E23" s="147"/>
      <c r="F23" s="694"/>
      <c r="G23" s="694"/>
      <c r="H23" s="31" t="e">
        <f>IF(#REF!="","",IF(OR(#REF!&gt;1,#REF!&gt;0),"No cumple","Cumple"))</f>
        <v>#REF!</v>
      </c>
      <c r="I23" s="954" t="s">
        <v>111</v>
      </c>
      <c r="J23" s="955"/>
      <c r="K23" s="956"/>
      <c r="L23" s="957"/>
      <c r="M23" s="958"/>
      <c r="N23" s="959"/>
      <c r="O23" s="960"/>
      <c r="P23" s="522" t="e">
        <f t="shared" si="0"/>
        <v>#REF!</v>
      </c>
      <c r="Q23" s="344">
        <v>8</v>
      </c>
      <c r="R23" s="544"/>
      <c r="S23" s="545"/>
      <c r="T23" s="545"/>
      <c r="U23" s="545"/>
      <c r="V23" s="545"/>
      <c r="W23" s="559"/>
      <c r="X23" s="546"/>
      <c r="Y23" s="547"/>
      <c r="Z23" s="547"/>
      <c r="AA23" s="547"/>
      <c r="AB23" s="547"/>
      <c r="AC23" s="568"/>
      <c r="AD23" s="545"/>
      <c r="AE23" s="545"/>
      <c r="AF23" s="545"/>
      <c r="AG23" s="545"/>
      <c r="AH23" s="545"/>
      <c r="AI23" s="559"/>
      <c r="AJ23" s="379"/>
      <c r="AK23" s="380"/>
      <c r="AL23" s="380"/>
      <c r="AM23" s="380"/>
      <c r="AN23" s="380"/>
      <c r="AO23" s="688"/>
      <c r="AP23" s="379"/>
      <c r="AQ23" s="380"/>
      <c r="AR23" s="380"/>
      <c r="AS23" s="380"/>
      <c r="AT23" s="380"/>
      <c r="AU23" s="688"/>
      <c r="AV23" s="232"/>
      <c r="AW23" s="45"/>
      <c r="AX23" s="45"/>
      <c r="AY23" s="45"/>
      <c r="AZ23" s="45"/>
      <c r="BA23" s="45"/>
      <c r="BB23" s="45"/>
      <c r="BC23" s="45"/>
    </row>
    <row r="24" spans="1:55" ht="21.95" customHeight="1" x14ac:dyDescent="0.2">
      <c r="A24" s="961" t="s">
        <v>45</v>
      </c>
      <c r="B24" s="962"/>
      <c r="C24" s="962"/>
      <c r="D24" s="962"/>
      <c r="E24" s="147" t="s">
        <v>11</v>
      </c>
      <c r="F24" s="963" t="s">
        <v>68</v>
      </c>
      <c r="G24" s="963"/>
      <c r="H24" s="32" t="str">
        <f>IF('GLAB-FM-099'!O26="","",'GLAB-FM-099'!O26)</f>
        <v/>
      </c>
      <c r="I24" s="964" t="s">
        <v>103</v>
      </c>
      <c r="J24" s="965"/>
      <c r="K24" s="66" t="str">
        <f>IF(E8="","",HLOOKUP($E$8,$R$16:$W$32,Q24,0))</f>
        <v/>
      </c>
      <c r="L24" s="66" t="str">
        <f>IF(K24="","",K24*0.8)</f>
        <v/>
      </c>
      <c r="M24" s="33" t="str">
        <f>IF(K24="","",K24*1.19)</f>
        <v/>
      </c>
      <c r="N24" s="150" t="str">
        <f>IF(E8="","",HLOOKUP($E$8,$AJ$16:$AO$32,Q24,0))</f>
        <v/>
      </c>
      <c r="O24" s="142" t="str">
        <f>IF(E8="","",HLOOKUP($E$8,$AP$16:$AU$32,Q24,0))</f>
        <v/>
      </c>
      <c r="P24" s="522" t="str">
        <f>+IF(H24="","",(IF(AND(H24&gt;N24,H24&lt;O24),"","No cumple")))</f>
        <v/>
      </c>
      <c r="Q24" s="344">
        <v>9</v>
      </c>
      <c r="R24" s="548">
        <v>3.4</v>
      </c>
      <c r="S24" s="549">
        <v>3.2</v>
      </c>
      <c r="T24" s="549">
        <v>3.45</v>
      </c>
      <c r="U24" s="549">
        <v>3.3</v>
      </c>
      <c r="V24" s="549">
        <v>3.5</v>
      </c>
      <c r="W24" s="560">
        <v>4.5</v>
      </c>
      <c r="X24" s="548">
        <f>IF(R24="","",R24*0.8)</f>
        <v>2.72</v>
      </c>
      <c r="Y24" s="549">
        <f>IF(S24="","",S24*0.8)</f>
        <v>2.5600000000000005</v>
      </c>
      <c r="Z24" s="549">
        <f>IF(T24="","",T24*0.8)</f>
        <v>2.7600000000000002</v>
      </c>
      <c r="AA24" s="549">
        <f>IF(U24="","",U24*0.8)</f>
        <v>2.64</v>
      </c>
      <c r="AB24" s="549">
        <f>IF(V24="","",V24*0.8)</f>
        <v>2.8000000000000003</v>
      </c>
      <c r="AC24" s="560" t="s">
        <v>161</v>
      </c>
      <c r="AD24" s="549">
        <f>IF(R24="","",R24*1.19)</f>
        <v>4.0459999999999994</v>
      </c>
      <c r="AE24" s="549">
        <f>IF(S24="","",S24*1.19)</f>
        <v>3.8079999999999998</v>
      </c>
      <c r="AF24" s="549">
        <f>IF(T24="","",T24*1.19)</f>
        <v>4.1055000000000001</v>
      </c>
      <c r="AG24" s="549">
        <f>IF(U24="","",U24*1.19)</f>
        <v>3.9269999999999996</v>
      </c>
      <c r="AH24" s="549">
        <f>IF(V24="","",V24*1.19)</f>
        <v>4.165</v>
      </c>
      <c r="AI24" s="560" t="s">
        <v>161</v>
      </c>
      <c r="AJ24" s="377">
        <v>2</v>
      </c>
      <c r="AK24" s="378">
        <v>2</v>
      </c>
      <c r="AL24" s="378">
        <v>2</v>
      </c>
      <c r="AM24" s="378">
        <v>2</v>
      </c>
      <c r="AN24" s="378">
        <v>2</v>
      </c>
      <c r="AO24" s="687">
        <v>2.5</v>
      </c>
      <c r="AP24" s="751">
        <v>3.5</v>
      </c>
      <c r="AQ24" s="752">
        <v>3.5</v>
      </c>
      <c r="AR24" s="752">
        <v>3.5</v>
      </c>
      <c r="AS24" s="752">
        <v>3.5</v>
      </c>
      <c r="AT24" s="752">
        <v>3.5</v>
      </c>
      <c r="AU24" s="687">
        <v>5.5</v>
      </c>
      <c r="AV24" s="232"/>
      <c r="AW24" s="45"/>
      <c r="AX24" s="45"/>
      <c r="AY24" s="45"/>
      <c r="AZ24" s="45"/>
      <c r="BA24" s="45"/>
      <c r="BB24" s="45"/>
      <c r="BC24" s="45"/>
    </row>
    <row r="25" spans="1:55" ht="21.95" customHeight="1" x14ac:dyDescent="0.2">
      <c r="A25" s="961" t="s">
        <v>50</v>
      </c>
      <c r="B25" s="962"/>
      <c r="C25" s="962"/>
      <c r="D25" s="962"/>
      <c r="E25" s="34" t="s">
        <v>52</v>
      </c>
      <c r="F25" s="963" t="s">
        <v>68</v>
      </c>
      <c r="G25" s="963"/>
      <c r="H25" s="29" t="str">
        <f>+IF(H22="","",H22/H24)</f>
        <v/>
      </c>
      <c r="I25" s="151"/>
      <c r="J25" s="152"/>
      <c r="K25" s="67" t="str">
        <f>IF(E8="","",HLOOKUP($E$8,$R$16:$W$32,Q25,0))</f>
        <v/>
      </c>
      <c r="L25" s="153"/>
      <c r="M25" s="154"/>
      <c r="N25" s="150" t="str">
        <f>IF(E8="","",HLOOKUP($E$8,$AJ$16:$AO$32,Q25,0))</f>
        <v/>
      </c>
      <c r="O25" s="142" t="str">
        <f>IF(E8="","",HLOOKUP($E$8,$AP$16:$AU$32,Q25,0))</f>
        <v/>
      </c>
      <c r="P25" s="522" t="str">
        <f>+IF(H25="","",(IF(AND(H25&gt;N25,H25&lt;O25),"","No cumple")))</f>
        <v/>
      </c>
      <c r="Q25" s="344">
        <v>10</v>
      </c>
      <c r="R25" s="540">
        <v>438</v>
      </c>
      <c r="S25" s="541">
        <v>400</v>
      </c>
      <c r="T25" s="543">
        <f>+T22/T24</f>
        <v>434.78260869565213</v>
      </c>
      <c r="U25" s="541">
        <v>421</v>
      </c>
      <c r="V25" s="541">
        <f>+V22/V24</f>
        <v>420</v>
      </c>
      <c r="W25" s="561">
        <v>324</v>
      </c>
      <c r="X25" s="540"/>
      <c r="Y25" s="541"/>
      <c r="Z25" s="541"/>
      <c r="AA25" s="541"/>
      <c r="AB25" s="541"/>
      <c r="AC25" s="558"/>
      <c r="AD25" s="536"/>
      <c r="AE25" s="536"/>
      <c r="AF25" s="536"/>
      <c r="AG25" s="536"/>
      <c r="AH25" s="536"/>
      <c r="AI25" s="567"/>
      <c r="AJ25" s="374">
        <v>300</v>
      </c>
      <c r="AK25" s="244">
        <v>300</v>
      </c>
      <c r="AL25" s="244">
        <v>300</v>
      </c>
      <c r="AM25" s="244">
        <v>300</v>
      </c>
      <c r="AN25" s="244">
        <v>300</v>
      </c>
      <c r="AO25" s="687" t="s">
        <v>161</v>
      </c>
      <c r="AP25" s="374">
        <v>600</v>
      </c>
      <c r="AQ25" s="244">
        <v>600</v>
      </c>
      <c r="AR25" s="244">
        <v>500</v>
      </c>
      <c r="AS25" s="244">
        <v>500</v>
      </c>
      <c r="AT25" s="244">
        <v>500</v>
      </c>
      <c r="AU25" s="687" t="s">
        <v>161</v>
      </c>
      <c r="AV25" s="45"/>
      <c r="AW25" s="45"/>
      <c r="AX25" s="45"/>
      <c r="AY25" s="45"/>
      <c r="AZ25" s="45"/>
      <c r="BA25" s="45"/>
      <c r="BB25" s="45"/>
      <c r="BC25" s="45"/>
    </row>
    <row r="26" spans="1:55" ht="21.95" customHeight="1" x14ac:dyDescent="0.2">
      <c r="A26" s="974" t="s">
        <v>66</v>
      </c>
      <c r="B26" s="975"/>
      <c r="C26" s="975"/>
      <c r="D26" s="975"/>
      <c r="E26" s="155" t="s">
        <v>39</v>
      </c>
      <c r="F26" s="963" t="s">
        <v>99</v>
      </c>
      <c r="G26" s="963"/>
      <c r="H26" s="32" t="str">
        <f>+IF('GLAB-FM-099'!O28="","",'GLAB-FM-099'!O28)</f>
        <v/>
      </c>
      <c r="I26" s="964" t="s">
        <v>104</v>
      </c>
      <c r="J26" s="965"/>
      <c r="K26" s="66" t="str">
        <f>IF($E$8="","",HLOOKUP($E$8,$R$16:$W$32,Q26,0))</f>
        <v/>
      </c>
      <c r="L26" s="66" t="str">
        <f>IF(K26="","",K26-0.3)</f>
        <v/>
      </c>
      <c r="M26" s="33" t="str">
        <f>IF(K26="","",K26+0.3)</f>
        <v/>
      </c>
      <c r="N26" s="150" t="str">
        <f>IF(E8="","",HLOOKUP($E$8,$AJ$16:$AO$32,Q26,0))</f>
        <v/>
      </c>
      <c r="O26" s="142" t="str">
        <f>IF(E8="","",HLOOKUP($E$8,$AP$16:$AU$32,Q26,0))</f>
        <v/>
      </c>
      <c r="P26" s="522" t="str">
        <f>+IF(H26="","",(IF(AND(H26&gt;N26,H26&lt;O26),"","No cumple")))</f>
        <v/>
      </c>
      <c r="Q26" s="344">
        <v>11</v>
      </c>
      <c r="R26" s="548">
        <v>5.2</v>
      </c>
      <c r="S26" s="549">
        <v>5</v>
      </c>
      <c r="T26" s="549">
        <v>5.7</v>
      </c>
      <c r="U26" s="549">
        <v>4.5</v>
      </c>
      <c r="V26" s="549">
        <v>4.8</v>
      </c>
      <c r="W26" s="560">
        <v>3.9</v>
      </c>
      <c r="X26" s="548">
        <f>IF(R26="","",3-0.3)</f>
        <v>2.7</v>
      </c>
      <c r="Y26" s="549">
        <f>IF(S26="","",3-0.3)</f>
        <v>2.7</v>
      </c>
      <c r="Z26" s="549">
        <f>IF(T26="","",T26-0.3)</f>
        <v>5.4</v>
      </c>
      <c r="AA26" s="549">
        <f>IF(U26="","",3-0.3)</f>
        <v>2.7</v>
      </c>
      <c r="AB26" s="549">
        <f>IF(V26="","",3-0.3)</f>
        <v>2.7</v>
      </c>
      <c r="AC26" s="560" t="s">
        <v>161</v>
      </c>
      <c r="AD26" s="549">
        <f>IF(R26="","",R26+0.3)</f>
        <v>5.5</v>
      </c>
      <c r="AE26" s="549">
        <f>IF(S26="","",S26+0.3)</f>
        <v>5.3</v>
      </c>
      <c r="AF26" s="549">
        <f>IF(T26="","",T26+0.3)</f>
        <v>6</v>
      </c>
      <c r="AG26" s="549">
        <f>IF(U26="","",U26+0.3)</f>
        <v>4.8</v>
      </c>
      <c r="AH26" s="549">
        <f>IF(V26="","",V26+0.3)</f>
        <v>5.0999999999999996</v>
      </c>
      <c r="AI26" s="560" t="s">
        <v>161</v>
      </c>
      <c r="AJ26" s="377">
        <v>3</v>
      </c>
      <c r="AK26" s="378">
        <v>4</v>
      </c>
      <c r="AL26" s="378">
        <v>3</v>
      </c>
      <c r="AM26" s="378">
        <v>4</v>
      </c>
      <c r="AN26" s="378">
        <v>4</v>
      </c>
      <c r="AO26" s="687">
        <v>3</v>
      </c>
      <c r="AP26" s="377">
        <v>6</v>
      </c>
      <c r="AQ26" s="378">
        <v>6</v>
      </c>
      <c r="AR26" s="378">
        <v>5</v>
      </c>
      <c r="AS26" s="378">
        <v>6</v>
      </c>
      <c r="AT26" s="378">
        <v>5</v>
      </c>
      <c r="AU26" s="687">
        <v>5</v>
      </c>
      <c r="AV26" s="45"/>
      <c r="AW26" s="45"/>
      <c r="AX26" s="45"/>
      <c r="AY26" s="45"/>
      <c r="AZ26" s="45"/>
      <c r="BA26" s="45"/>
      <c r="BB26" s="45"/>
      <c r="BC26" s="45"/>
    </row>
    <row r="27" spans="1:55" ht="21.95" customHeight="1" x14ac:dyDescent="0.2">
      <c r="A27" s="976" t="s">
        <v>48</v>
      </c>
      <c r="B27" s="977"/>
      <c r="C27" s="977"/>
      <c r="D27" s="977"/>
      <c r="E27" s="658" t="s">
        <v>39</v>
      </c>
      <c r="F27" s="963" t="s">
        <v>98</v>
      </c>
      <c r="G27" s="963"/>
      <c r="H27" s="35" t="str">
        <f>+IF(E8="","",'GLAB-FM-099'!O29)</f>
        <v/>
      </c>
      <c r="I27" s="156"/>
      <c r="J27" s="157"/>
      <c r="K27" s="66" t="str">
        <f>IF($E$8="","",HLOOKUP($E$8,$R$16:$W$32,Q27,0))</f>
        <v/>
      </c>
      <c r="L27" s="158"/>
      <c r="M27" s="159"/>
      <c r="N27" s="150" t="str">
        <f>IF(E8="","",HLOOKUP($E$8,$AJ$16:$AO$32,Q27,0))</f>
        <v/>
      </c>
      <c r="O27" s="142" t="str">
        <f>IF(E8="","",HLOOKUP($E$8,$AP$16:$AU$32,Q27,0))</f>
        <v/>
      </c>
      <c r="P27" s="522" t="str">
        <f>+IF(H27="","",(IF(H27&gt;N27,"","No cumple")))</f>
        <v/>
      </c>
      <c r="Q27" s="344">
        <v>12</v>
      </c>
      <c r="R27" s="550">
        <v>19.399999999999999</v>
      </c>
      <c r="S27" s="551">
        <v>17</v>
      </c>
      <c r="T27" s="551">
        <v>18.5</v>
      </c>
      <c r="U27" s="551">
        <v>14.4</v>
      </c>
      <c r="V27" s="551">
        <v>18.7</v>
      </c>
      <c r="W27" s="562">
        <v>19.3</v>
      </c>
      <c r="X27" s="552"/>
      <c r="Y27" s="553"/>
      <c r="Z27" s="553"/>
      <c r="AA27" s="553"/>
      <c r="AB27" s="553"/>
      <c r="AC27" s="563"/>
      <c r="AD27" s="536"/>
      <c r="AE27" s="536"/>
      <c r="AF27" s="536"/>
      <c r="AG27" s="536"/>
      <c r="AH27" s="536"/>
      <c r="AI27" s="567"/>
      <c r="AJ27" s="383">
        <v>16</v>
      </c>
      <c r="AK27" s="384">
        <v>15</v>
      </c>
      <c r="AL27" s="384">
        <v>15</v>
      </c>
      <c r="AM27" s="384">
        <v>14</v>
      </c>
      <c r="AN27" s="384">
        <v>14</v>
      </c>
      <c r="AO27" s="687" t="s">
        <v>49</v>
      </c>
      <c r="AP27" s="377" t="s">
        <v>49</v>
      </c>
      <c r="AQ27" s="378" t="s">
        <v>49</v>
      </c>
      <c r="AR27" s="378" t="s">
        <v>49</v>
      </c>
      <c r="AS27" s="378" t="s">
        <v>49</v>
      </c>
      <c r="AT27" s="378" t="s">
        <v>49</v>
      </c>
      <c r="AU27" s="687">
        <v>15</v>
      </c>
      <c r="AV27" s="45"/>
      <c r="AW27" s="45"/>
      <c r="AX27" s="45"/>
      <c r="AY27" s="45"/>
      <c r="AZ27" s="45"/>
      <c r="BA27" s="45"/>
      <c r="BB27" s="45"/>
      <c r="BC27" s="45"/>
    </row>
    <row r="28" spans="1:55" ht="21.95" customHeight="1" x14ac:dyDescent="0.2">
      <c r="A28" s="961" t="s">
        <v>51</v>
      </c>
      <c r="B28" s="962"/>
      <c r="C28" s="962"/>
      <c r="D28" s="962"/>
      <c r="E28" s="658" t="s">
        <v>39</v>
      </c>
      <c r="F28" s="963" t="s">
        <v>98</v>
      </c>
      <c r="G28" s="963"/>
      <c r="H28" s="32" t="str">
        <f>+IF(E8="","",'GLAB-FM-099'!O30)</f>
        <v/>
      </c>
      <c r="I28" s="156"/>
      <c r="J28" s="157"/>
      <c r="K28" s="66" t="str">
        <f>IF($E$8="","",HLOOKUP($E$8,$R$16:$W$32,Q28,0))</f>
        <v/>
      </c>
      <c r="L28" s="158"/>
      <c r="M28" s="159"/>
      <c r="N28" s="150" t="str">
        <f>IF(E8="","",HLOOKUP($E$8,$AJ$16:$AO$32,Q28,0))</f>
        <v/>
      </c>
      <c r="O28" s="142" t="str">
        <f>IF(E8="","",HLOOKUP($E$8,$AP$16:$AU$32,Q28,0))</f>
        <v/>
      </c>
      <c r="P28" s="522" t="str">
        <f>+IF(H28="","",(IF(AND(H28&gt;N28,H28&lt;O28),"","No cumple")))</f>
        <v/>
      </c>
      <c r="Q28" s="344">
        <v>13</v>
      </c>
      <c r="R28" s="552">
        <v>73</v>
      </c>
      <c r="S28" s="551">
        <v>71.5</v>
      </c>
      <c r="T28" s="553">
        <v>68</v>
      </c>
      <c r="U28" s="553">
        <v>69.099999999999994</v>
      </c>
      <c r="V28" s="553">
        <v>75</v>
      </c>
      <c r="W28" s="563">
        <v>79.7</v>
      </c>
      <c r="X28" s="552"/>
      <c r="Y28" s="553"/>
      <c r="Z28" s="553"/>
      <c r="AA28" s="553"/>
      <c r="AB28" s="553"/>
      <c r="AC28" s="563"/>
      <c r="AD28" s="536"/>
      <c r="AE28" s="536"/>
      <c r="AF28" s="536"/>
      <c r="AG28" s="536"/>
      <c r="AH28" s="536"/>
      <c r="AI28" s="567"/>
      <c r="AJ28" s="377">
        <v>65</v>
      </c>
      <c r="AK28" s="378">
        <v>65</v>
      </c>
      <c r="AL28" s="378">
        <v>65</v>
      </c>
      <c r="AM28" s="378">
        <v>65</v>
      </c>
      <c r="AN28" s="378">
        <v>65</v>
      </c>
      <c r="AO28" s="687" t="s">
        <v>161</v>
      </c>
      <c r="AP28" s="377">
        <v>75</v>
      </c>
      <c r="AQ28" s="378">
        <v>75</v>
      </c>
      <c r="AR28" s="378">
        <v>78</v>
      </c>
      <c r="AS28" s="378">
        <v>78</v>
      </c>
      <c r="AT28" s="378">
        <v>78</v>
      </c>
      <c r="AU28" s="687" t="s">
        <v>161</v>
      </c>
      <c r="AV28" s="232"/>
      <c r="AW28" s="45"/>
      <c r="AX28" s="45"/>
      <c r="AY28" s="45"/>
      <c r="AZ28" s="45"/>
      <c r="BA28" s="45"/>
      <c r="BB28" s="45"/>
      <c r="BC28" s="45"/>
    </row>
    <row r="29" spans="1:55" ht="21.95" customHeight="1" x14ac:dyDescent="0.2">
      <c r="A29" s="961" t="s">
        <v>97</v>
      </c>
      <c r="B29" s="962"/>
      <c r="C29" s="962"/>
      <c r="D29" s="962"/>
      <c r="E29" s="962"/>
      <c r="F29" s="962"/>
      <c r="G29" s="973"/>
      <c r="H29" s="35" t="str">
        <f>+IF('GLAB-FM-099'!V37="","",('GLAB-FM-099'!V37/'GLAB-FM-099'!Z33))</f>
        <v/>
      </c>
      <c r="I29" s="156"/>
      <c r="J29" s="157"/>
      <c r="K29" s="66" t="str">
        <f>IF($E$8="","",HLOOKUP($E$8,$R$16:$W$32,Q29,0))</f>
        <v/>
      </c>
      <c r="L29" s="158"/>
      <c r="M29" s="159"/>
      <c r="N29" s="150" t="str">
        <f>IF(E8="","",HLOOKUP($E$8,$AJ$16:$AO$32,Q29,0))</f>
        <v/>
      </c>
      <c r="O29" s="142" t="str">
        <f>IF(E8="","",HLOOKUP($E$8,$AP$16:$AU$32,Q29,0))</f>
        <v/>
      </c>
      <c r="P29" s="522" t="str">
        <f>+IF(H29="","",(IF(AND(H29&gt;N29,H29&lt;O29),"","No cumple")))</f>
        <v/>
      </c>
      <c r="Q29" s="344">
        <v>14</v>
      </c>
      <c r="R29" s="552">
        <v>1.1000000000000001</v>
      </c>
      <c r="S29" s="553">
        <v>1.1000000000000001</v>
      </c>
      <c r="T29" s="553">
        <v>1312</v>
      </c>
      <c r="U29" s="553">
        <v>1.2</v>
      </c>
      <c r="V29" s="553">
        <v>0.98</v>
      </c>
      <c r="W29" s="563">
        <v>1.1000000000000001</v>
      </c>
      <c r="X29" s="552"/>
      <c r="Y29" s="553"/>
      <c r="Z29" s="553"/>
      <c r="AA29" s="553"/>
      <c r="AB29" s="553"/>
      <c r="AC29" s="563"/>
      <c r="AD29" s="536"/>
      <c r="AE29" s="536"/>
      <c r="AF29" s="536"/>
      <c r="AG29" s="536"/>
      <c r="AH29" s="536"/>
      <c r="AI29" s="567"/>
      <c r="AJ29" s="381">
        <v>0.8</v>
      </c>
      <c r="AK29" s="382">
        <v>0.8</v>
      </c>
      <c r="AL29" s="382">
        <v>0.8</v>
      </c>
      <c r="AM29" s="382">
        <v>0.8</v>
      </c>
      <c r="AN29" s="382">
        <v>0.8</v>
      </c>
      <c r="AO29" s="687" t="s">
        <v>161</v>
      </c>
      <c r="AP29" s="377">
        <v>1.2</v>
      </c>
      <c r="AQ29" s="378">
        <v>1.2</v>
      </c>
      <c r="AR29" s="378">
        <v>1.2</v>
      </c>
      <c r="AS29" s="378">
        <v>1.2</v>
      </c>
      <c r="AT29" s="378">
        <v>1.2</v>
      </c>
      <c r="AU29" s="687" t="s">
        <v>161</v>
      </c>
      <c r="AV29" s="232"/>
      <c r="AW29" s="45"/>
      <c r="AX29" s="45"/>
      <c r="AY29" s="45"/>
      <c r="AZ29" s="45"/>
      <c r="BA29" s="45"/>
      <c r="BB29" s="45"/>
      <c r="BC29" s="45"/>
    </row>
    <row r="30" spans="1:55" ht="21.95" customHeight="1" x14ac:dyDescent="0.2">
      <c r="A30" s="692" t="s">
        <v>115</v>
      </c>
      <c r="B30" s="693"/>
      <c r="C30" s="693"/>
      <c r="D30" s="693"/>
      <c r="E30" s="36" t="s">
        <v>102</v>
      </c>
      <c r="F30" s="963" t="s">
        <v>100</v>
      </c>
      <c r="G30" s="963"/>
      <c r="H30" s="35" t="str">
        <f>IF(E8="","",'GLAB-FM-099'!Z39)</f>
        <v/>
      </c>
      <c r="I30" s="156"/>
      <c r="J30" s="157"/>
      <c r="K30" s="66" t="str">
        <f>IF($E$8="","",HLOOKUP($E$8,$R$16:$W$32,Q30,0))</f>
        <v/>
      </c>
      <c r="L30" s="158"/>
      <c r="M30" s="159"/>
      <c r="N30" s="150" t="str">
        <f>IF(E8="","",HLOOKUP($E$8,$AJ$16:$AO$32,Q30,0))</f>
        <v/>
      </c>
      <c r="O30" s="142" t="str">
        <f>IF(E8="","",HLOOKUP($E$8,$AP$16:$AU$32,Q30,0))</f>
        <v/>
      </c>
      <c r="P30" s="522" t="str">
        <f>+IF(H30="","",(IF(H30&gt;N30,"","No cumple")))</f>
        <v/>
      </c>
      <c r="Q30" s="344">
        <v>15</v>
      </c>
      <c r="R30" s="672" t="s">
        <v>154</v>
      </c>
      <c r="S30" s="675" t="s">
        <v>154</v>
      </c>
      <c r="T30" s="553">
        <v>7.8</v>
      </c>
      <c r="U30" s="553">
        <v>8.8800000000000008</v>
      </c>
      <c r="V30" s="553">
        <v>7.7</v>
      </c>
      <c r="W30" s="676" t="s">
        <v>367</v>
      </c>
      <c r="X30" s="552"/>
      <c r="Y30" s="553"/>
      <c r="Z30" s="553"/>
      <c r="AA30" s="553"/>
      <c r="AB30" s="553"/>
      <c r="AC30" s="563"/>
      <c r="AD30" s="536"/>
      <c r="AE30" s="536"/>
      <c r="AF30" s="536"/>
      <c r="AG30" s="536"/>
      <c r="AH30" s="536"/>
      <c r="AI30" s="567"/>
      <c r="AJ30" s="377">
        <v>7.5</v>
      </c>
      <c r="AK30" s="378">
        <v>7.5</v>
      </c>
      <c r="AL30" s="378">
        <v>7.5</v>
      </c>
      <c r="AM30" s="378">
        <v>7.5</v>
      </c>
      <c r="AN30" s="378">
        <v>7.5</v>
      </c>
      <c r="AO30" s="687">
        <v>7.5</v>
      </c>
      <c r="AP30" s="377" t="s">
        <v>49</v>
      </c>
      <c r="AQ30" s="378" t="s">
        <v>49</v>
      </c>
      <c r="AR30" s="378" t="s">
        <v>49</v>
      </c>
      <c r="AS30" s="378" t="s">
        <v>49</v>
      </c>
      <c r="AT30" s="378" t="s">
        <v>49</v>
      </c>
      <c r="AU30" s="687" t="s">
        <v>49</v>
      </c>
      <c r="AV30" s="232"/>
      <c r="AW30" s="45"/>
      <c r="AX30" s="45"/>
      <c r="AY30" s="45"/>
      <c r="AZ30" s="45"/>
      <c r="BA30" s="45"/>
      <c r="BB30" s="45"/>
      <c r="BC30" s="45"/>
    </row>
    <row r="31" spans="1:55" ht="21.95" customHeight="1" x14ac:dyDescent="0.2">
      <c r="A31" s="340" t="s">
        <v>320</v>
      </c>
      <c r="B31" s="341"/>
      <c r="C31" s="341"/>
      <c r="D31" s="341"/>
      <c r="E31" s="141"/>
      <c r="F31" s="963" t="s">
        <v>96</v>
      </c>
      <c r="G31" s="963"/>
      <c r="H31" s="37" t="str">
        <f>IF(E8="","",'GLAB-FM-099'!U24)</f>
        <v/>
      </c>
      <c r="I31" s="959"/>
      <c r="J31" s="980"/>
      <c r="K31" s="65" t="str">
        <f>IF(E8="","",HLOOKUP($E$8,$R$16:$W$32,Q31,0))</f>
        <v/>
      </c>
      <c r="L31" s="67"/>
      <c r="M31" s="38" t="str">
        <f>K31</f>
        <v/>
      </c>
      <c r="N31" s="959"/>
      <c r="O31" s="960"/>
      <c r="P31" s="522" t="str">
        <f>+IF(H31="","",(IF(H31&lt;M31,"","No cumple")))</f>
        <v/>
      </c>
      <c r="Q31" s="344">
        <v>16</v>
      </c>
      <c r="R31" s="540">
        <v>8.8000000000000007</v>
      </c>
      <c r="S31" s="645">
        <v>8.8000000000000007</v>
      </c>
      <c r="T31" s="541">
        <v>0.31</v>
      </c>
      <c r="U31" s="541">
        <v>0.27</v>
      </c>
      <c r="V31" s="541">
        <v>0.28699999999999998</v>
      </c>
      <c r="W31" s="564">
        <v>8.8000000000000007</v>
      </c>
      <c r="X31" s="542" t="s">
        <v>49</v>
      </c>
      <c r="Y31" s="543" t="s">
        <v>49</v>
      </c>
      <c r="Z31" s="543" t="s">
        <v>49</v>
      </c>
      <c r="AA31" s="543" t="s">
        <v>49</v>
      </c>
      <c r="AB31" s="543" t="s">
        <v>49</v>
      </c>
      <c r="AC31" s="561" t="s">
        <v>161</v>
      </c>
      <c r="AD31" s="541">
        <f>R31</f>
        <v>8.8000000000000007</v>
      </c>
      <c r="AE31" s="541">
        <f>S31</f>
        <v>8.8000000000000007</v>
      </c>
      <c r="AF31" s="541">
        <f>T31</f>
        <v>0.31</v>
      </c>
      <c r="AG31" s="541">
        <f>U31</f>
        <v>0.27</v>
      </c>
      <c r="AH31" s="541">
        <f>V31</f>
        <v>0.28699999999999998</v>
      </c>
      <c r="AI31" s="558" t="s">
        <v>161</v>
      </c>
      <c r="AJ31" s="379"/>
      <c r="AK31" s="380"/>
      <c r="AL31" s="380"/>
      <c r="AM31" s="380"/>
      <c r="AN31" s="380"/>
      <c r="AO31" s="571"/>
      <c r="AP31" s="379"/>
      <c r="AQ31" s="380"/>
      <c r="AR31" s="380"/>
      <c r="AS31" s="380"/>
      <c r="AT31" s="380"/>
      <c r="AU31" s="688"/>
      <c r="AV31" s="45"/>
      <c r="AW31" s="45"/>
      <c r="AX31" s="45"/>
      <c r="AY31" s="45"/>
      <c r="AZ31" s="45"/>
      <c r="BA31" s="45"/>
      <c r="BB31" s="45"/>
      <c r="BC31" s="45"/>
    </row>
    <row r="32" spans="1:55" ht="21.95" customHeight="1" x14ac:dyDescent="0.2">
      <c r="A32" s="981" t="s">
        <v>116</v>
      </c>
      <c r="B32" s="982"/>
      <c r="C32" s="982"/>
      <c r="D32" s="982"/>
      <c r="E32" s="982"/>
      <c r="F32" s="983" t="s">
        <v>87</v>
      </c>
      <c r="G32" s="983"/>
      <c r="H32" s="85" t="str">
        <f>+IF('733 - 735'!G30="","",'733 - 735'!G30)</f>
        <v/>
      </c>
      <c r="I32" s="984" t="str">
        <f>IF(E8="","",HLOOKUP($E$8,$R$16:$W$32,Q32,0))</f>
        <v/>
      </c>
      <c r="J32" s="985"/>
      <c r="K32" s="985" t="e">
        <f>#REF!</f>
        <v>#REF!</v>
      </c>
      <c r="L32" s="985" t="s">
        <v>49</v>
      </c>
      <c r="M32" s="986" t="e">
        <f>K32</f>
        <v>#REF!</v>
      </c>
      <c r="N32" s="984" t="str">
        <f>IF(E8="","",HLOOKUP($E$8,$AJ$16:$AO$32,Q32,0))</f>
        <v/>
      </c>
      <c r="O32" s="987"/>
      <c r="P32" s="523"/>
      <c r="Q32" s="344">
        <v>17</v>
      </c>
      <c r="R32" s="554" t="s">
        <v>124</v>
      </c>
      <c r="S32" s="555" t="s">
        <v>124</v>
      </c>
      <c r="T32" s="555" t="s">
        <v>161</v>
      </c>
      <c r="U32" s="555" t="s">
        <v>124</v>
      </c>
      <c r="V32" s="555" t="s">
        <v>124</v>
      </c>
      <c r="W32" s="565" t="s">
        <v>124</v>
      </c>
      <c r="X32" s="554"/>
      <c r="Y32" s="555"/>
      <c r="Z32" s="555"/>
      <c r="AA32" s="555"/>
      <c r="AB32" s="555"/>
      <c r="AC32" s="565"/>
      <c r="AD32" s="555"/>
      <c r="AE32" s="555"/>
      <c r="AF32" s="555"/>
      <c r="AG32" s="555"/>
      <c r="AH32" s="555"/>
      <c r="AI32" s="565"/>
      <c r="AJ32" s="385" t="s">
        <v>161</v>
      </c>
      <c r="AK32" s="386" t="s">
        <v>161</v>
      </c>
      <c r="AL32" s="386" t="s">
        <v>161</v>
      </c>
      <c r="AM32" s="386" t="s">
        <v>161</v>
      </c>
      <c r="AN32" s="386" t="s">
        <v>161</v>
      </c>
      <c r="AO32" s="572"/>
      <c r="AP32" s="385" t="s">
        <v>161</v>
      </c>
      <c r="AQ32" s="386" t="s">
        <v>161</v>
      </c>
      <c r="AR32" s="386" t="s">
        <v>161</v>
      </c>
      <c r="AS32" s="386" t="s">
        <v>161</v>
      </c>
      <c r="AT32" s="386" t="s">
        <v>161</v>
      </c>
      <c r="AU32" s="572"/>
      <c r="AV32" s="45"/>
      <c r="AW32" s="45"/>
      <c r="AX32" s="45"/>
      <c r="AY32" s="45"/>
      <c r="AZ32" s="45"/>
      <c r="BA32" s="45"/>
      <c r="BB32" s="45"/>
      <c r="BC32" s="45"/>
    </row>
    <row r="33" spans="1:55" ht="28.5" customHeight="1" x14ac:dyDescent="0.2">
      <c r="A33" s="978" t="s">
        <v>3</v>
      </c>
      <c r="B33" s="979"/>
      <c r="C33" s="988" t="str">
        <f>+IF(E8=Z8,CONCATENATE(P33,Q34,P34,", ",P35,Q35),"")</f>
        <v/>
      </c>
      <c r="D33" s="988"/>
      <c r="E33" s="988"/>
      <c r="F33" s="988"/>
      <c r="G33" s="988"/>
      <c r="H33" s="988"/>
      <c r="I33" s="988"/>
      <c r="J33" s="988"/>
      <c r="K33" s="988"/>
      <c r="L33" s="988"/>
      <c r="M33" s="988"/>
      <c r="N33" s="988"/>
      <c r="O33" s="989"/>
      <c r="P33" s="387" t="s">
        <v>356</v>
      </c>
      <c r="Q33" s="344"/>
      <c r="R33" s="344"/>
      <c r="S33" s="344"/>
      <c r="T33" s="344"/>
      <c r="U33" s="344"/>
      <c r="V33" s="344"/>
      <c r="W33" s="344"/>
      <c r="X33" s="344"/>
      <c r="Y33" s="344"/>
      <c r="Z33" s="344"/>
      <c r="AA33" s="344"/>
      <c r="AB33" s="344"/>
      <c r="AC33" s="344"/>
      <c r="AD33" s="344"/>
      <c r="AE33" s="344"/>
      <c r="AF33" s="344"/>
      <c r="AG33" s="344"/>
      <c r="AH33" s="344"/>
      <c r="AI33" s="344"/>
      <c r="AJ33" s="344"/>
      <c r="AK33" s="344"/>
      <c r="AL33" s="344"/>
      <c r="AM33" s="344"/>
      <c r="AN33" s="344"/>
      <c r="AO33" s="344"/>
      <c r="AP33" s="344"/>
      <c r="AQ33" s="344"/>
      <c r="AR33" s="344"/>
      <c r="AS33" s="344"/>
      <c r="AT33" s="344"/>
      <c r="AU33" s="344"/>
      <c r="AV33" s="45"/>
      <c r="AW33" s="45"/>
      <c r="AX33" s="45"/>
      <c r="AY33" s="45"/>
      <c r="AZ33" s="45"/>
      <c r="BA33" s="45"/>
      <c r="BB33" s="45"/>
      <c r="BC33" s="45"/>
    </row>
    <row r="34" spans="1:55" ht="18.75" customHeight="1" x14ac:dyDescent="0.2">
      <c r="A34" s="525"/>
      <c r="C34" s="990"/>
      <c r="D34" s="990"/>
      <c r="E34" s="990"/>
      <c r="F34" s="990"/>
      <c r="G34" s="990"/>
      <c r="H34" s="990"/>
      <c r="I34" s="990"/>
      <c r="J34" s="990"/>
      <c r="K34" s="990"/>
      <c r="L34" s="990"/>
      <c r="M34" s="990"/>
      <c r="N34" s="990"/>
      <c r="O34" s="991"/>
      <c r="P34" s="347" t="s">
        <v>357</v>
      </c>
      <c r="Q34" s="660"/>
      <c r="R34" s="344"/>
      <c r="S34" s="344"/>
      <c r="T34" s="344"/>
      <c r="U34" s="344"/>
      <c r="V34" s="344"/>
      <c r="W34" s="344"/>
      <c r="X34" s="344"/>
      <c r="Y34" s="344"/>
      <c r="Z34" s="344"/>
      <c r="AA34" s="344"/>
      <c r="AB34" s="344"/>
      <c r="AC34" s="344"/>
      <c r="AD34" s="344"/>
      <c r="AE34" s="344"/>
      <c r="AF34" s="344"/>
      <c r="AG34" s="344"/>
      <c r="AH34" s="344"/>
      <c r="AI34" s="344"/>
      <c r="AJ34" s="344"/>
      <c r="AK34" s="344"/>
      <c r="AL34" s="344"/>
      <c r="AM34" s="344"/>
      <c r="AN34" s="344"/>
      <c r="AO34" s="344"/>
      <c r="AP34" s="344"/>
      <c r="AQ34" s="344"/>
      <c r="AR34" s="344"/>
      <c r="AS34" s="344"/>
      <c r="AT34" s="344"/>
      <c r="AU34" s="344"/>
      <c r="AV34" s="45"/>
      <c r="AW34" s="45"/>
      <c r="AX34" s="45"/>
      <c r="AY34" s="45"/>
      <c r="AZ34" s="45"/>
      <c r="BA34" s="45"/>
      <c r="BB34" s="45"/>
      <c r="BC34" s="45"/>
    </row>
    <row r="35" spans="1:55" ht="14.1" customHeight="1" x14ac:dyDescent="0.2">
      <c r="A35" s="970" t="s">
        <v>251</v>
      </c>
      <c r="B35" s="971"/>
      <c r="C35" s="971"/>
      <c r="D35" s="971"/>
      <c r="E35" s="971"/>
      <c r="F35" s="971"/>
      <c r="G35" s="971"/>
      <c r="H35" s="972"/>
      <c r="I35" s="970" t="s">
        <v>9</v>
      </c>
      <c r="J35" s="971"/>
      <c r="K35" s="971"/>
      <c r="L35" s="971"/>
      <c r="M35" s="971"/>
      <c r="N35" s="971"/>
      <c r="O35" s="972"/>
      <c r="P35" s="659" t="s">
        <v>358</v>
      </c>
      <c r="Q35" s="390"/>
      <c r="R35" s="344"/>
      <c r="S35" s="344"/>
      <c r="T35" s="344"/>
      <c r="U35" s="344"/>
      <c r="V35" s="344"/>
      <c r="W35" s="344"/>
      <c r="X35" s="344"/>
      <c r="Y35" s="344"/>
      <c r="Z35" s="344"/>
      <c r="AA35" s="344"/>
      <c r="AB35" s="344"/>
      <c r="AC35" s="344"/>
      <c r="AD35" s="344"/>
      <c r="AE35" s="344"/>
      <c r="AF35" s="344"/>
      <c r="AG35" s="344"/>
      <c r="AH35" s="344"/>
      <c r="AI35" s="344"/>
      <c r="AJ35" s="344"/>
      <c r="AK35" s="344"/>
      <c r="AL35" s="344"/>
      <c r="AM35" s="344"/>
      <c r="AN35" s="344"/>
      <c r="AO35" s="344"/>
      <c r="AP35" s="344"/>
      <c r="AQ35" s="344"/>
      <c r="AR35" s="344"/>
      <c r="AS35" s="344"/>
      <c r="AT35" s="344"/>
      <c r="AU35" s="344"/>
      <c r="AV35" s="45"/>
      <c r="AW35" s="45"/>
      <c r="AX35" s="45"/>
      <c r="AY35" s="45"/>
      <c r="AZ35" s="45"/>
      <c r="BA35" s="45"/>
      <c r="BB35" s="45"/>
      <c r="BC35" s="45"/>
    </row>
    <row r="36" spans="1:55" ht="39.950000000000003" customHeight="1" x14ac:dyDescent="0.2">
      <c r="A36" s="995"/>
      <c r="B36" s="996"/>
      <c r="C36" s="996"/>
      <c r="D36" s="996"/>
      <c r="E36" s="996"/>
      <c r="F36" s="996"/>
      <c r="G36" s="996"/>
      <c r="H36" s="997"/>
      <c r="I36" s="995"/>
      <c r="J36" s="996"/>
      <c r="K36" s="996"/>
      <c r="L36" s="996"/>
      <c r="M36" s="996"/>
      <c r="N36" s="996"/>
      <c r="O36" s="997"/>
      <c r="P36" s="11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</row>
    <row r="37" spans="1:55" ht="14.1" customHeight="1" x14ac:dyDescent="0.2">
      <c r="A37" s="998" t="s">
        <v>154</v>
      </c>
      <c r="B37" s="999"/>
      <c r="C37" s="999"/>
      <c r="D37" s="999"/>
      <c r="E37" s="999"/>
      <c r="F37" s="999"/>
      <c r="G37" s="999"/>
      <c r="H37" s="1000"/>
      <c r="I37" s="998" t="s">
        <v>154</v>
      </c>
      <c r="J37" s="999"/>
      <c r="K37" s="999"/>
      <c r="L37" s="999"/>
      <c r="M37" s="999"/>
      <c r="N37" s="999"/>
      <c r="O37" s="1000"/>
      <c r="P37" s="11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</row>
    <row r="38" spans="1:55" ht="14.1" customHeight="1" x14ac:dyDescent="0.2">
      <c r="A38" s="1001" t="str">
        <f>IF(A37="--","",VLOOKUP(A37,firmas!A34:B37,2,0))</f>
        <v/>
      </c>
      <c r="B38" s="1002"/>
      <c r="C38" s="1002"/>
      <c r="D38" s="1002"/>
      <c r="E38" s="1002"/>
      <c r="F38" s="1002"/>
      <c r="G38" s="1002"/>
      <c r="H38" s="1003"/>
      <c r="I38" s="1001" t="str">
        <f>IF(I37="--","",VLOOKUP(I37,firmas!$A$39:$B$40,2,0))</f>
        <v/>
      </c>
      <c r="J38" s="1002"/>
      <c r="K38" s="1002"/>
      <c r="L38" s="1002"/>
      <c r="M38" s="1002"/>
      <c r="N38" s="1002"/>
      <c r="O38" s="1003"/>
      <c r="P38" s="115"/>
      <c r="Q38" s="45"/>
      <c r="R38" s="45"/>
      <c r="S38" s="116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</row>
    <row r="39" spans="1:55" ht="27.95" customHeight="1" x14ac:dyDescent="0.2">
      <c r="A39" s="994" t="s">
        <v>205</v>
      </c>
      <c r="B39" s="994"/>
      <c r="C39" s="994"/>
      <c r="D39" s="994"/>
      <c r="E39" s="994"/>
      <c r="F39" s="994"/>
      <c r="G39" s="994"/>
      <c r="H39" s="994"/>
      <c r="I39" s="994"/>
      <c r="J39" s="994"/>
      <c r="K39" s="994"/>
      <c r="L39" s="994"/>
      <c r="M39" s="994"/>
      <c r="N39" s="994"/>
      <c r="O39" s="994"/>
      <c r="P39" s="56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</row>
    <row r="40" spans="1:55" ht="27.95" customHeight="1" x14ac:dyDescent="0.2">
      <c r="A40" s="1007" t="s">
        <v>253</v>
      </c>
      <c r="B40" s="1007"/>
      <c r="C40" s="1007"/>
      <c r="D40" s="1007"/>
      <c r="E40" s="1007"/>
      <c r="F40" s="1007"/>
      <c r="G40" s="1007"/>
      <c r="H40" s="1007"/>
      <c r="I40" s="1007"/>
      <c r="J40" s="1007"/>
      <c r="K40" s="1007"/>
      <c r="L40" s="1007"/>
      <c r="M40" s="1007"/>
      <c r="N40" s="1007"/>
      <c r="O40" s="1007"/>
      <c r="R40" s="45"/>
      <c r="S40" s="45"/>
      <c r="T40" s="3"/>
      <c r="U40" s="4"/>
      <c r="V40" s="4"/>
      <c r="W40" s="4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246"/>
      <c r="AN40" s="105"/>
      <c r="AO40" s="105"/>
      <c r="AP40" s="62"/>
      <c r="AQ40" s="62"/>
      <c r="AR40" s="62"/>
      <c r="AS40" s="62"/>
      <c r="AT40" s="45"/>
      <c r="AU40" s="45"/>
      <c r="AV40" s="105"/>
      <c r="AW40" s="62"/>
      <c r="AX40" s="62"/>
      <c r="AY40" s="62"/>
      <c r="AZ40" s="62"/>
      <c r="BA40" s="62"/>
      <c r="BB40" s="45"/>
      <c r="BC40" s="45"/>
    </row>
    <row r="41" spans="1:55" ht="27.95" customHeight="1" x14ac:dyDescent="0.2">
      <c r="A41" s="79"/>
      <c r="B41" s="79"/>
      <c r="R41" s="45"/>
      <c r="S41" s="45"/>
      <c r="T41" s="3"/>
      <c r="U41" s="4"/>
      <c r="V41" s="4"/>
      <c r="W41" s="4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246"/>
      <c r="AN41" s="105"/>
      <c r="AO41" s="105"/>
      <c r="AP41" s="62"/>
      <c r="AQ41" s="62"/>
      <c r="AR41" s="62"/>
      <c r="AS41" s="62"/>
      <c r="AT41" s="45"/>
      <c r="AU41" s="45"/>
      <c r="AV41" s="105"/>
      <c r="AW41" s="247"/>
      <c r="AX41" s="247"/>
      <c r="AY41" s="247"/>
      <c r="AZ41" s="247"/>
      <c r="BA41" s="247"/>
      <c r="BB41" s="45"/>
      <c r="BC41" s="45"/>
    </row>
    <row r="42" spans="1:55" ht="12.95" customHeight="1" x14ac:dyDescent="0.2">
      <c r="A42" s="992"/>
      <c r="B42" s="993"/>
      <c r="C42" s="993"/>
      <c r="D42" s="62"/>
      <c r="R42" s="45"/>
      <c r="S42" s="45"/>
      <c r="T42" s="5"/>
      <c r="U42" s="6"/>
      <c r="V42" s="6"/>
      <c r="W42" s="6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246"/>
      <c r="AN42" s="105"/>
      <c r="AO42" s="105"/>
      <c r="AP42" s="105"/>
      <c r="AQ42" s="105"/>
      <c r="AR42" s="105"/>
      <c r="AS42" s="105"/>
      <c r="AT42" s="45"/>
      <c r="AU42" s="45"/>
      <c r="AV42" s="105"/>
      <c r="AW42" s="189"/>
      <c r="AX42" s="105"/>
      <c r="AY42" s="105"/>
      <c r="AZ42" s="105"/>
      <c r="BA42" s="45"/>
      <c r="BB42" s="45"/>
      <c r="BC42" s="45"/>
    </row>
    <row r="43" spans="1:55" ht="12" customHeight="1" x14ac:dyDescent="0.2">
      <c r="A43" s="992"/>
      <c r="B43" s="993"/>
      <c r="C43" s="993"/>
      <c r="D43" s="62"/>
      <c r="R43" s="45"/>
      <c r="S43" s="45"/>
      <c r="T43" s="3"/>
      <c r="U43" s="4"/>
      <c r="V43" s="4"/>
      <c r="W43" s="4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246"/>
      <c r="AN43" s="45"/>
      <c r="AO43" s="45"/>
      <c r="AP43" s="45"/>
      <c r="AQ43" s="45"/>
      <c r="AR43" s="45"/>
      <c r="AS43" s="45"/>
      <c r="AT43" s="45"/>
      <c r="AU43" s="45"/>
      <c r="AV43" s="45"/>
      <c r="AW43" s="62"/>
      <c r="AX43" s="45"/>
      <c r="AY43" s="45"/>
      <c r="AZ43" s="45"/>
      <c r="BA43" s="45"/>
      <c r="BB43" s="45"/>
      <c r="BC43" s="45"/>
    </row>
    <row r="44" spans="1:55" ht="15.75" x14ac:dyDescent="0.2">
      <c r="A44" s="992"/>
      <c r="B44" s="993"/>
      <c r="C44" s="993"/>
      <c r="D44" s="62"/>
      <c r="R44" s="45"/>
      <c r="S44" s="45"/>
      <c r="T44" s="3"/>
      <c r="U44" s="4"/>
      <c r="V44" s="4"/>
      <c r="W44" s="4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246"/>
      <c r="AN44" s="45"/>
      <c r="AO44" s="45"/>
      <c r="AP44" s="45"/>
      <c r="AQ44" s="45"/>
      <c r="AR44" s="45"/>
      <c r="AS44" s="45"/>
      <c r="AT44" s="45"/>
      <c r="AU44" s="45"/>
      <c r="AV44" s="45"/>
      <c r="AW44" s="62"/>
      <c r="AX44" s="45"/>
      <c r="AY44" s="45"/>
      <c r="AZ44" s="45"/>
      <c r="BA44" s="45"/>
      <c r="BB44" s="45"/>
      <c r="BC44" s="45"/>
    </row>
    <row r="45" spans="1:55" ht="15.75" x14ac:dyDescent="0.2">
      <c r="A45" s="992"/>
      <c r="B45" s="993"/>
      <c r="C45" s="993"/>
      <c r="D45" s="62"/>
      <c r="P45" s="45"/>
      <c r="Q45" s="45"/>
      <c r="R45" s="45"/>
      <c r="S45" s="45"/>
      <c r="T45" s="3"/>
      <c r="U45" s="4"/>
      <c r="V45" s="4"/>
      <c r="W45" s="4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45"/>
      <c r="BC45" s="45"/>
    </row>
    <row r="46" spans="1:55" ht="15.75" x14ac:dyDescent="0.2">
      <c r="A46" s="992"/>
      <c r="B46" s="993"/>
      <c r="C46" s="993"/>
      <c r="D46" s="62"/>
      <c r="P46" s="45"/>
      <c r="Q46" s="45"/>
      <c r="R46" s="45"/>
      <c r="S46" s="45"/>
      <c r="T46" s="3"/>
      <c r="U46" s="4"/>
      <c r="V46" s="4"/>
      <c r="W46" s="4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</row>
    <row r="47" spans="1:55" ht="15.75" x14ac:dyDescent="0.2">
      <c r="A47" s="992"/>
      <c r="B47" s="993"/>
      <c r="C47" s="993"/>
      <c r="D47" s="62"/>
      <c r="P47" s="45"/>
      <c r="Q47" s="45"/>
      <c r="R47" s="45"/>
      <c r="S47" s="45"/>
      <c r="T47" s="3"/>
      <c r="U47" s="4"/>
      <c r="V47" s="4"/>
      <c r="W47" s="4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</row>
    <row r="48" spans="1:55" ht="15.75" x14ac:dyDescent="0.2">
      <c r="A48" s="992"/>
      <c r="B48" s="993"/>
      <c r="C48" s="993"/>
      <c r="D48" s="62"/>
      <c r="P48" s="45"/>
      <c r="Q48" s="45"/>
      <c r="R48" s="45"/>
      <c r="S48" s="45"/>
      <c r="T48" s="3"/>
      <c r="U48" s="4"/>
      <c r="V48" s="4"/>
      <c r="W48" s="4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</row>
    <row r="49" spans="1:55" ht="15.75" x14ac:dyDescent="0.2">
      <c r="A49" s="992"/>
      <c r="B49" s="993"/>
      <c r="C49" s="993"/>
      <c r="D49" s="62"/>
      <c r="P49" s="45"/>
      <c r="Q49" s="45"/>
      <c r="R49" s="45"/>
      <c r="S49" s="45"/>
      <c r="T49" s="3"/>
      <c r="U49" s="4"/>
      <c r="V49" s="4"/>
      <c r="W49" s="4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</row>
    <row r="50" spans="1:55" ht="15.75" x14ac:dyDescent="0.2">
      <c r="A50" s="992"/>
      <c r="B50" s="993"/>
      <c r="C50" s="993"/>
      <c r="D50" s="62"/>
      <c r="P50" s="45"/>
      <c r="Q50" s="45"/>
      <c r="R50" s="45"/>
      <c r="S50" s="45"/>
      <c r="T50" s="3"/>
      <c r="U50" s="4"/>
      <c r="V50" s="4"/>
      <c r="W50" s="4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</row>
    <row r="51" spans="1:55" ht="15.75" x14ac:dyDescent="0.2">
      <c r="A51" s="992"/>
      <c r="B51" s="993"/>
      <c r="C51" s="993"/>
      <c r="D51" s="62"/>
      <c r="P51" s="45"/>
      <c r="Q51" s="45"/>
      <c r="R51" s="45"/>
      <c r="S51" s="45"/>
      <c r="T51" s="3"/>
      <c r="U51" s="4"/>
      <c r="V51" s="4"/>
      <c r="W51" s="4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</row>
    <row r="52" spans="1:55" ht="15.75" x14ac:dyDescent="0.2">
      <c r="A52" s="992"/>
      <c r="B52" s="993"/>
      <c r="C52" s="993"/>
      <c r="D52" s="62"/>
      <c r="P52" s="45"/>
      <c r="Q52" s="45"/>
      <c r="R52" s="45"/>
      <c r="S52" s="45"/>
      <c r="T52" s="3"/>
      <c r="U52" s="4"/>
      <c r="V52" s="4"/>
      <c r="W52" s="4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</row>
    <row r="53" spans="1:55" ht="15.75" x14ac:dyDescent="0.2">
      <c r="A53" s="992"/>
      <c r="B53" s="993"/>
      <c r="C53" s="993"/>
      <c r="D53" s="62"/>
      <c r="P53" s="45"/>
      <c r="Q53" s="45"/>
      <c r="R53" s="45"/>
      <c r="S53" s="45"/>
      <c r="T53" s="3"/>
      <c r="U53" s="4"/>
      <c r="V53" s="4"/>
      <c r="W53" s="4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</row>
    <row r="54" spans="1:55" ht="15.75" x14ac:dyDescent="0.2">
      <c r="A54" s="992"/>
      <c r="B54" s="993"/>
      <c r="C54" s="993"/>
      <c r="D54" s="62"/>
      <c r="P54" s="45"/>
      <c r="Q54" s="45"/>
      <c r="R54" s="45"/>
      <c r="S54" s="45"/>
      <c r="T54" s="3"/>
      <c r="U54" s="4"/>
      <c r="V54" s="4"/>
      <c r="W54" s="4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</row>
    <row r="55" spans="1:55" ht="15.75" x14ac:dyDescent="0.2">
      <c r="A55" s="992"/>
      <c r="B55" s="993"/>
      <c r="C55" s="993"/>
      <c r="D55" s="62"/>
      <c r="P55" s="45"/>
      <c r="Q55" s="45"/>
      <c r="R55" s="45"/>
      <c r="S55" s="45"/>
      <c r="T55" s="3"/>
      <c r="U55" s="4"/>
      <c r="V55" s="4"/>
      <c r="W55" s="4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</row>
    <row r="56" spans="1:55" ht="15.75" x14ac:dyDescent="0.2">
      <c r="A56" s="992"/>
      <c r="B56" s="993"/>
      <c r="C56" s="993"/>
      <c r="D56" s="62"/>
      <c r="P56" s="45"/>
      <c r="Q56" s="45"/>
      <c r="R56" s="45"/>
      <c r="S56" s="45"/>
      <c r="T56" s="3"/>
      <c r="U56" s="4"/>
      <c r="V56" s="4"/>
      <c r="W56" s="4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</row>
    <row r="57" spans="1:55" ht="15.75" x14ac:dyDescent="0.2">
      <c r="A57" s="992"/>
      <c r="B57" s="993"/>
      <c r="C57" s="993"/>
      <c r="D57" s="62"/>
      <c r="P57" s="45"/>
      <c r="Q57" s="45"/>
      <c r="R57" s="45"/>
      <c r="S57" s="45"/>
      <c r="T57" s="3"/>
      <c r="U57" s="4"/>
      <c r="V57" s="4"/>
      <c r="W57" s="4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</row>
    <row r="58" spans="1:55" ht="15.75" x14ac:dyDescent="0.2">
      <c r="A58" s="992"/>
      <c r="B58" s="993"/>
      <c r="C58" s="993"/>
      <c r="D58" s="62"/>
      <c r="P58" s="45"/>
      <c r="Q58" s="45"/>
      <c r="R58" s="45"/>
      <c r="S58" s="45"/>
      <c r="T58" s="5"/>
      <c r="U58" s="6"/>
      <c r="V58" s="6"/>
      <c r="W58" s="6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</row>
    <row r="59" spans="1:55" ht="15.75" x14ac:dyDescent="0.2">
      <c r="A59" s="992"/>
      <c r="B59" s="993"/>
      <c r="C59" s="993"/>
      <c r="D59" s="62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</row>
    <row r="60" spans="1:55" ht="15.75" x14ac:dyDescent="0.2">
      <c r="A60" s="992"/>
      <c r="B60" s="993"/>
      <c r="C60" s="993"/>
      <c r="D60" s="62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</row>
    <row r="61" spans="1:55" ht="15.75" x14ac:dyDescent="0.2">
      <c r="A61" s="992"/>
      <c r="B61" s="993"/>
      <c r="C61" s="993"/>
      <c r="D61" s="62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</row>
    <row r="62" spans="1:55" ht="15.75" x14ac:dyDescent="0.2">
      <c r="A62" s="992"/>
      <c r="B62" s="993"/>
      <c r="C62" s="993"/>
      <c r="D62" s="62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</row>
    <row r="63" spans="1:55" ht="15.75" x14ac:dyDescent="0.2">
      <c r="A63" s="992"/>
      <c r="B63" s="993"/>
      <c r="C63" s="993"/>
      <c r="D63" s="62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</row>
    <row r="64" spans="1:55" ht="15.75" x14ac:dyDescent="0.2">
      <c r="A64" s="992"/>
      <c r="B64" s="993"/>
      <c r="C64" s="993"/>
      <c r="D64" s="62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</row>
    <row r="65" spans="1:55" ht="15.75" x14ac:dyDescent="0.2">
      <c r="A65" s="992"/>
      <c r="B65" s="993"/>
      <c r="C65" s="993"/>
      <c r="D65" s="62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</row>
    <row r="66" spans="1:55" x14ac:dyDescent="0.2"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</row>
    <row r="67" spans="1:55" x14ac:dyDescent="0.2"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</row>
  </sheetData>
  <sheetProtection algorithmName="SHA-512" hashValue="NKNQbqpC3LCxxLS7Q2aVJVUkLbmXnExbEEE+lVjySVRkuuqzy9e4LvIUtsgDkGhaRNvlosKuhLJn2vFErG+93w==" saltValue="ZWligdiqYx6f9cH7N2rPNA==" spinCount="100000" sheet="1" formatCells="0" formatColumns="0" formatRows="0"/>
  <protectedRanges>
    <protectedRange sqref="M2:N4" name="Rango1_1_1"/>
  </protectedRanges>
  <mergeCells count="123">
    <mergeCell ref="R4:U4"/>
    <mergeCell ref="A64:C64"/>
    <mergeCell ref="A65:C65"/>
    <mergeCell ref="A58:C58"/>
    <mergeCell ref="A59:C59"/>
    <mergeCell ref="A60:C60"/>
    <mergeCell ref="A61:C61"/>
    <mergeCell ref="A62:C62"/>
    <mergeCell ref="A63:C63"/>
    <mergeCell ref="A52:C52"/>
    <mergeCell ref="A53:C53"/>
    <mergeCell ref="A54:C54"/>
    <mergeCell ref="A55:C55"/>
    <mergeCell ref="A56:C56"/>
    <mergeCell ref="A57:C57"/>
    <mergeCell ref="A40:O40"/>
    <mergeCell ref="A46:C46"/>
    <mergeCell ref="A47:C47"/>
    <mergeCell ref="A48:C48"/>
    <mergeCell ref="A49:C49"/>
    <mergeCell ref="A50:C50"/>
    <mergeCell ref="A51:C51"/>
    <mergeCell ref="A42:C42"/>
    <mergeCell ref="A43:C43"/>
    <mergeCell ref="A44:C44"/>
    <mergeCell ref="A45:C45"/>
    <mergeCell ref="A39:O39"/>
    <mergeCell ref="A36:H36"/>
    <mergeCell ref="A37:H37"/>
    <mergeCell ref="A38:H38"/>
    <mergeCell ref="I36:O36"/>
    <mergeCell ref="I37:O37"/>
    <mergeCell ref="I38:O38"/>
    <mergeCell ref="A35:H35"/>
    <mergeCell ref="I35:O35"/>
    <mergeCell ref="A28:D28"/>
    <mergeCell ref="F28:G28"/>
    <mergeCell ref="A29:G29"/>
    <mergeCell ref="F30:G30"/>
    <mergeCell ref="F31:G31"/>
    <mergeCell ref="A25:D25"/>
    <mergeCell ref="F25:G25"/>
    <mergeCell ref="A26:D26"/>
    <mergeCell ref="F26:G26"/>
    <mergeCell ref="I26:J26"/>
    <mergeCell ref="A27:D27"/>
    <mergeCell ref="F27:G27"/>
    <mergeCell ref="A33:B33"/>
    <mergeCell ref="I31:J31"/>
    <mergeCell ref="N31:O31"/>
    <mergeCell ref="A32:E32"/>
    <mergeCell ref="F32:G32"/>
    <mergeCell ref="I32:M32"/>
    <mergeCell ref="N32:O32"/>
    <mergeCell ref="C33:O33"/>
    <mergeCell ref="C34:O34"/>
    <mergeCell ref="I23:J23"/>
    <mergeCell ref="K23:M23"/>
    <mergeCell ref="N23:O23"/>
    <mergeCell ref="A24:D24"/>
    <mergeCell ref="F24:G24"/>
    <mergeCell ref="I24:J24"/>
    <mergeCell ref="A21:C21"/>
    <mergeCell ref="D21:E21"/>
    <mergeCell ref="F21:G21"/>
    <mergeCell ref="I21:J21"/>
    <mergeCell ref="N21:O21"/>
    <mergeCell ref="A22:D22"/>
    <mergeCell ref="F22:G22"/>
    <mergeCell ref="I22:J22"/>
    <mergeCell ref="I18:J18"/>
    <mergeCell ref="A19:D19"/>
    <mergeCell ref="F19:G19"/>
    <mergeCell ref="H19:O19"/>
    <mergeCell ref="A20:G20"/>
    <mergeCell ref="H20:O20"/>
    <mergeCell ref="K21:M21"/>
    <mergeCell ref="A17:D17"/>
    <mergeCell ref="F17:G17"/>
    <mergeCell ref="I17:J17"/>
    <mergeCell ref="N17:O17"/>
    <mergeCell ref="A14:E15"/>
    <mergeCell ref="F14:G15"/>
    <mergeCell ref="H14:H15"/>
    <mergeCell ref="I14:J15"/>
    <mergeCell ref="K14:M14"/>
    <mergeCell ref="AP15:AU15"/>
    <mergeCell ref="A16:G16"/>
    <mergeCell ref="H16:O16"/>
    <mergeCell ref="A10:D10"/>
    <mergeCell ref="E10:J10"/>
    <mergeCell ref="M10:O10"/>
    <mergeCell ref="N14:O14"/>
    <mergeCell ref="P14:P15"/>
    <mergeCell ref="R15:W15"/>
    <mergeCell ref="X15:AC15"/>
    <mergeCell ref="AD15:AI15"/>
    <mergeCell ref="AJ15:AO15"/>
    <mergeCell ref="R14:AI14"/>
    <mergeCell ref="AJ14:AU14"/>
    <mergeCell ref="M11:O11"/>
    <mergeCell ref="A11:C12"/>
    <mergeCell ref="E11:J12"/>
    <mergeCell ref="A13:C13"/>
    <mergeCell ref="E13:O13"/>
    <mergeCell ref="M12:O12"/>
    <mergeCell ref="A1:C5"/>
    <mergeCell ref="D4:L4"/>
    <mergeCell ref="M4:O4"/>
    <mergeCell ref="D5:O5"/>
    <mergeCell ref="A8:D8"/>
    <mergeCell ref="E8:J8"/>
    <mergeCell ref="M8:O8"/>
    <mergeCell ref="A9:D9"/>
    <mergeCell ref="E9:J9"/>
    <mergeCell ref="M9:O9"/>
    <mergeCell ref="A6:D6"/>
    <mergeCell ref="E6:J6"/>
    <mergeCell ref="M6:O6"/>
    <mergeCell ref="A7:D7"/>
    <mergeCell ref="E7:J7"/>
    <mergeCell ref="M7:O7"/>
    <mergeCell ref="D1:O3"/>
  </mergeCells>
  <dataValidations count="6">
    <dataValidation type="list" allowBlank="1" showInputMessage="1" showErrorMessage="1" sqref="A37:H37" xr:uid="{00000000-0002-0000-0000-000000000000}">
      <formula1>revisonombres</formula1>
    </dataValidation>
    <dataValidation type="list" allowBlank="1" showInputMessage="1" showErrorMessage="1" sqref="P37 I37" xr:uid="{00000000-0002-0000-0000-000001000000}">
      <formula1>aprobonombres</formula1>
    </dataValidation>
    <dataValidation type="list" allowBlank="1" showInputMessage="1" showErrorMessage="1" sqref="E7:J7" xr:uid="{00000000-0002-0000-0000-000002000000}">
      <formula1>$V$5:$V$7</formula1>
    </dataValidation>
    <dataValidation type="list" allowBlank="1" showInputMessage="1" showErrorMessage="1" sqref="E8:J8" xr:uid="{00000000-0002-0000-0000-000003000000}">
      <formula1>$Z$5:$Z$10</formula1>
    </dataValidation>
    <dataValidation type="list" allowBlank="1" showInputMessage="1" showErrorMessage="1" sqref="M7:O7" xr:uid="{00000000-0002-0000-0000-000004000000}">
      <formula1>$AG$5:$AG$6</formula1>
    </dataValidation>
    <dataValidation type="list" allowBlank="1" showInputMessage="1" showErrorMessage="1" sqref="E10:J10" xr:uid="{00000000-0002-0000-0000-000005000000}">
      <formula1>$AE$5:$AE$9</formula1>
    </dataValidation>
  </dataValidations>
  <printOptions horizontalCentered="1"/>
  <pageMargins left="0.39370078740157483" right="0.19685039370078741" top="0" bottom="0" header="0" footer="0.15748031496062992"/>
  <pageSetup paperSize="9" pageOrder="overThenDown" orientation="portrait" r:id="rId1"/>
  <headerFooter scaleWithDoc="0">
    <oddFooter>&amp;L&amp;6Calle 26 No. 57-41 Torre 8 Piso 8 CEMSA - CP: 1113111            
Pbx: 3779555  - Información: Línea 195     
www.umv.gov.co111311&amp;C&amp;6Página 1 de 1</oddFooter>
  </headerFooter>
  <ignoredErrors>
    <ignoredError sqref="I38 E6 C33" unlockedFormula="1"/>
    <ignoredError sqref="H30:H31" evalError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50"/>
  </sheetPr>
  <dimension ref="A1:BE30"/>
  <sheetViews>
    <sheetView showGridLines="0" view="pageBreakPreview" zoomScaleSheetLayoutView="100" workbookViewId="0">
      <selection activeCell="E11" sqref="E11:J12"/>
    </sheetView>
  </sheetViews>
  <sheetFormatPr baseColWidth="10" defaultRowHeight="12.75" x14ac:dyDescent="0.2"/>
  <cols>
    <col min="1" max="1" width="6.42578125" style="11" customWidth="1"/>
    <col min="2" max="2" width="7" style="11" customWidth="1"/>
    <col min="3" max="3" width="6" style="11" customWidth="1"/>
    <col min="4" max="4" width="5.140625" style="11" customWidth="1"/>
    <col min="5" max="5" width="6.140625" style="11" customWidth="1"/>
    <col min="6" max="6" width="5.140625" style="11" customWidth="1"/>
    <col min="7" max="7" width="5" style="11" customWidth="1"/>
    <col min="8" max="8" width="7.85546875" style="11" customWidth="1"/>
    <col min="9" max="9" width="4.7109375" style="11" customWidth="1"/>
    <col min="10" max="10" width="7.42578125" style="11" customWidth="1"/>
    <col min="11" max="11" width="8.7109375" style="11" customWidth="1"/>
    <col min="12" max="12" width="9.28515625" style="11" customWidth="1"/>
    <col min="13" max="13" width="7.7109375" style="11" customWidth="1"/>
    <col min="14" max="15" width="4.7109375" style="11" customWidth="1"/>
    <col min="16" max="16" width="11" style="11" customWidth="1"/>
    <col min="17" max="17" width="22.140625" style="11" customWidth="1"/>
    <col min="18" max="18" width="17.140625" style="11" customWidth="1"/>
    <col min="19" max="23" width="11.42578125" style="11"/>
    <col min="24" max="24" width="6.28515625" style="11" customWidth="1"/>
    <col min="25" max="25" width="18.85546875" style="11" customWidth="1"/>
    <col min="26" max="16384" width="11.42578125" style="11"/>
  </cols>
  <sheetData>
    <row r="1" spans="1:57" ht="15" customHeight="1" x14ac:dyDescent="0.2">
      <c r="A1" s="860"/>
      <c r="B1" s="861"/>
      <c r="C1" s="862"/>
      <c r="D1" s="1058" t="s">
        <v>26</v>
      </c>
      <c r="E1" s="1059"/>
      <c r="F1" s="1059"/>
      <c r="G1" s="1059"/>
      <c r="H1" s="1059"/>
      <c r="I1" s="1059"/>
      <c r="J1" s="1059"/>
      <c r="K1" s="1059"/>
      <c r="L1" s="1059"/>
      <c r="M1" s="1059"/>
      <c r="N1" s="1059"/>
      <c r="O1" s="1060"/>
      <c r="P1" s="250"/>
      <c r="W1" s="11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</row>
    <row r="2" spans="1:57" ht="15" customHeight="1" x14ac:dyDescent="0.2">
      <c r="A2" s="863"/>
      <c r="B2" s="864"/>
      <c r="C2" s="865"/>
      <c r="D2" s="888" t="s">
        <v>157</v>
      </c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90"/>
      <c r="P2" s="233"/>
      <c r="Q2" s="305"/>
      <c r="R2" s="305"/>
      <c r="S2" s="305"/>
      <c r="W2" s="11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</row>
    <row r="3" spans="1:57" ht="15" customHeight="1" x14ac:dyDescent="0.2">
      <c r="A3" s="863"/>
      <c r="B3" s="864"/>
      <c r="C3" s="865"/>
      <c r="D3" s="891"/>
      <c r="E3" s="892"/>
      <c r="F3" s="892"/>
      <c r="G3" s="892"/>
      <c r="H3" s="892"/>
      <c r="I3" s="892"/>
      <c r="J3" s="892"/>
      <c r="K3" s="892"/>
      <c r="L3" s="892"/>
      <c r="M3" s="892"/>
      <c r="N3" s="892"/>
      <c r="O3" s="893"/>
      <c r="P3" s="233"/>
      <c r="Q3" s="388" t="str">
        <f>A19</f>
        <v>Solvente utilizado:</v>
      </c>
      <c r="R3" s="1050" t="s">
        <v>283</v>
      </c>
      <c r="S3" s="1051"/>
      <c r="W3" s="115"/>
      <c r="X3" s="45"/>
      <c r="Y3" s="45"/>
      <c r="Z3" s="116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</row>
    <row r="4" spans="1:57" ht="14.1" customHeight="1" x14ac:dyDescent="0.2">
      <c r="A4" s="863"/>
      <c r="B4" s="864"/>
      <c r="C4" s="865"/>
      <c r="D4" s="869" t="s">
        <v>250</v>
      </c>
      <c r="E4" s="870"/>
      <c r="F4" s="870"/>
      <c r="G4" s="870"/>
      <c r="H4" s="870"/>
      <c r="I4" s="870"/>
      <c r="J4" s="870"/>
      <c r="K4" s="870"/>
      <c r="L4" s="871"/>
      <c r="M4" s="869" t="s">
        <v>322</v>
      </c>
      <c r="N4" s="870"/>
      <c r="O4" s="871"/>
      <c r="P4" s="251"/>
      <c r="Q4" s="353" t="s">
        <v>21</v>
      </c>
      <c r="R4" s="391">
        <v>1</v>
      </c>
      <c r="S4" s="392" t="str">
        <f>IF(N15="","",IF(N15="cumple",0,1))</f>
        <v/>
      </c>
      <c r="W4" s="218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</row>
    <row r="5" spans="1:57" ht="14.1" customHeight="1" x14ac:dyDescent="0.2">
      <c r="A5" s="866"/>
      <c r="B5" s="867"/>
      <c r="C5" s="868"/>
      <c r="D5" s="869" t="s">
        <v>282</v>
      </c>
      <c r="E5" s="870"/>
      <c r="F5" s="870"/>
      <c r="G5" s="870"/>
      <c r="H5" s="870"/>
      <c r="I5" s="870"/>
      <c r="J5" s="870"/>
      <c r="K5" s="870"/>
      <c r="L5" s="870"/>
      <c r="M5" s="870"/>
      <c r="N5" s="870"/>
      <c r="O5" s="871"/>
      <c r="P5" s="251"/>
      <c r="Q5" s="353" t="s">
        <v>153</v>
      </c>
      <c r="R5" s="393">
        <v>2</v>
      </c>
      <c r="S5" s="394" t="str">
        <f>IF(N16="","",IF(N16="cumple",0,1))</f>
        <v/>
      </c>
      <c r="W5" s="56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</row>
    <row r="6" spans="1:57" ht="14.1" customHeight="1" x14ac:dyDescent="0.2">
      <c r="A6" s="879" t="s">
        <v>41</v>
      </c>
      <c r="B6" s="880"/>
      <c r="C6" s="880"/>
      <c r="D6" s="880"/>
      <c r="E6" s="881" t="str">
        <f>+IF(Resumen!E6="","",Resumen!E6)</f>
        <v/>
      </c>
      <c r="F6" s="881"/>
      <c r="G6" s="881"/>
      <c r="H6" s="881"/>
      <c r="I6" s="881"/>
      <c r="J6" s="881"/>
      <c r="K6" s="698" t="s">
        <v>59</v>
      </c>
      <c r="L6" s="698"/>
      <c r="M6" s="881" t="str">
        <f>+IF(Resumen!M6="","",Resumen!M6)</f>
        <v/>
      </c>
      <c r="N6" s="881"/>
      <c r="O6" s="1046"/>
      <c r="P6" s="252"/>
      <c r="Q6" s="353" t="s">
        <v>143</v>
      </c>
      <c r="R6" s="393">
        <v>3</v>
      </c>
      <c r="S6" s="394" t="str">
        <f>IF(N17="","",IF(N17="cumple",0,1))</f>
        <v/>
      </c>
      <c r="W6" s="103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</row>
    <row r="7" spans="1:57" ht="14.1" customHeight="1" x14ac:dyDescent="0.2">
      <c r="A7" s="872" t="s">
        <v>42</v>
      </c>
      <c r="B7" s="873"/>
      <c r="C7" s="873"/>
      <c r="D7" s="873"/>
      <c r="E7" s="1047" t="str">
        <f>+IF(Resumen!E7="","",Resumen!E7)</f>
        <v/>
      </c>
      <c r="F7" s="1047"/>
      <c r="G7" s="1047"/>
      <c r="H7" s="1047"/>
      <c r="I7" s="1047"/>
      <c r="J7" s="1047"/>
      <c r="K7" s="700" t="s">
        <v>47</v>
      </c>
      <c r="L7" s="700"/>
      <c r="M7" s="1047" t="str">
        <f>+IF(Resumen!M7="","",Resumen!M7)</f>
        <v/>
      </c>
      <c r="N7" s="1047"/>
      <c r="O7" s="1048"/>
      <c r="P7" s="252"/>
      <c r="Q7" s="361" t="s">
        <v>144</v>
      </c>
      <c r="R7" s="395" t="s">
        <v>284</v>
      </c>
      <c r="S7" s="396" t="str">
        <f>IF(S4="","",SUM(S4:S6))</f>
        <v/>
      </c>
      <c r="W7" s="197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</row>
    <row r="8" spans="1:57" ht="24" customHeight="1" x14ac:dyDescent="0.2">
      <c r="A8" s="872" t="s">
        <v>56</v>
      </c>
      <c r="B8" s="873"/>
      <c r="C8" s="873"/>
      <c r="D8" s="873"/>
      <c r="E8" s="1049" t="str">
        <f>+IF(Resumen!E8="","",Resumen!E8)</f>
        <v/>
      </c>
      <c r="F8" s="1049"/>
      <c r="G8" s="1049"/>
      <c r="H8" s="1049"/>
      <c r="I8" s="1049"/>
      <c r="J8" s="1049"/>
      <c r="K8" s="700" t="s">
        <v>60</v>
      </c>
      <c r="L8" s="700"/>
      <c r="M8" s="1028" t="str">
        <f>+IF(Resumen!M8="","",Resumen!M8)</f>
        <v/>
      </c>
      <c r="N8" s="1028"/>
      <c r="O8" s="1029"/>
      <c r="P8" s="253"/>
      <c r="Q8" s="305"/>
      <c r="R8" s="397"/>
      <c r="S8" s="397"/>
      <c r="W8" s="10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</row>
    <row r="9" spans="1:57" ht="14.1" customHeight="1" x14ac:dyDescent="0.2">
      <c r="A9" s="877" t="s">
        <v>379</v>
      </c>
      <c r="B9" s="878"/>
      <c r="C9" s="878"/>
      <c r="D9" s="878"/>
      <c r="E9" s="1047" t="str">
        <f>+IF(Resumen!E9="","",Resumen!E9)</f>
        <v/>
      </c>
      <c r="F9" s="1047"/>
      <c r="G9" s="1047"/>
      <c r="H9" s="1047"/>
      <c r="I9" s="1047"/>
      <c r="J9" s="1047"/>
      <c r="K9" s="700" t="s">
        <v>61</v>
      </c>
      <c r="L9" s="700"/>
      <c r="M9" s="1028" t="str">
        <f>+IF(Resumen!M9="","",Resumen!M9)</f>
        <v/>
      </c>
      <c r="N9" s="1028"/>
      <c r="O9" s="1029"/>
      <c r="P9" s="253"/>
      <c r="Q9" s="305"/>
      <c r="R9" s="305"/>
      <c r="S9" s="305"/>
      <c r="W9" s="104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</row>
    <row r="10" spans="1:57" ht="14.1" customHeight="1" x14ac:dyDescent="0.2">
      <c r="A10" s="877" t="s">
        <v>201</v>
      </c>
      <c r="B10" s="878"/>
      <c r="C10" s="878"/>
      <c r="D10" s="878"/>
      <c r="E10" s="1047" t="str">
        <f>+IF(Resumen!E10="","",Resumen!E10)</f>
        <v/>
      </c>
      <c r="F10" s="1047"/>
      <c r="G10" s="1047"/>
      <c r="H10" s="1047"/>
      <c r="I10" s="1047"/>
      <c r="J10" s="1047"/>
      <c r="K10" s="700" t="s">
        <v>53</v>
      </c>
      <c r="L10" s="700"/>
      <c r="M10" s="875"/>
      <c r="N10" s="875"/>
      <c r="O10" s="876"/>
      <c r="P10" s="253"/>
      <c r="Q10" s="305"/>
      <c r="R10" s="305"/>
      <c r="S10" s="305"/>
      <c r="W10" s="104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</row>
    <row r="11" spans="1:57" ht="15" customHeight="1" x14ac:dyDescent="0.2">
      <c r="A11" s="877" t="s">
        <v>91</v>
      </c>
      <c r="B11" s="878"/>
      <c r="C11" s="878"/>
      <c r="D11" s="878"/>
      <c r="E11" s="1049" t="str">
        <f>+IF(Resumen!E11="","",Resumen!E11)</f>
        <v/>
      </c>
      <c r="F11" s="1049"/>
      <c r="G11" s="1049"/>
      <c r="H11" s="1049"/>
      <c r="I11" s="1049"/>
      <c r="J11" s="1049"/>
      <c r="K11" s="1045" t="s">
        <v>165</v>
      </c>
      <c r="L11" s="1045"/>
      <c r="M11" s="1028" t="str">
        <f>+IF(Resumen!M11="","",Resumen!M11)</f>
        <v/>
      </c>
      <c r="N11" s="1028"/>
      <c r="O11" s="1029"/>
      <c r="P11" s="254"/>
      <c r="Q11" s="305"/>
      <c r="R11" s="305"/>
      <c r="S11" s="305"/>
      <c r="W11" s="22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</row>
    <row r="12" spans="1:57" ht="15" customHeight="1" x14ac:dyDescent="0.2">
      <c r="A12" s="1043"/>
      <c r="B12" s="1044"/>
      <c r="C12" s="1044"/>
      <c r="D12" s="1044"/>
      <c r="E12" s="1061"/>
      <c r="F12" s="1061"/>
      <c r="G12" s="1061"/>
      <c r="H12" s="1061"/>
      <c r="I12" s="1061"/>
      <c r="J12" s="1061"/>
      <c r="K12" s="702" t="s">
        <v>164</v>
      </c>
      <c r="L12" s="704"/>
      <c r="M12" s="874"/>
      <c r="N12" s="874"/>
      <c r="O12" s="884"/>
      <c r="P12" s="254"/>
      <c r="W12" s="22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</row>
    <row r="13" spans="1:57" ht="24.75" customHeight="1" x14ac:dyDescent="0.2">
      <c r="A13" s="1039" t="s">
        <v>33</v>
      </c>
      <c r="B13" s="1012" t="s">
        <v>54</v>
      </c>
      <c r="C13" s="1041" t="s">
        <v>249</v>
      </c>
      <c r="D13" s="1021"/>
      <c r="E13" s="1021" t="s">
        <v>88</v>
      </c>
      <c r="F13" s="1021"/>
      <c r="G13" s="1021" t="s">
        <v>89</v>
      </c>
      <c r="H13" s="1021"/>
      <c r="I13" s="1021" t="s">
        <v>90</v>
      </c>
      <c r="J13" s="1021"/>
      <c r="K13" s="1035" t="s">
        <v>215</v>
      </c>
      <c r="L13" s="1012"/>
      <c r="M13" s="1035" t="s">
        <v>13</v>
      </c>
      <c r="N13" s="1035" t="s">
        <v>285</v>
      </c>
      <c r="O13" s="1037"/>
      <c r="P13" s="256"/>
      <c r="W13" s="224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</row>
    <row r="14" spans="1:57" ht="24.95" customHeight="1" x14ac:dyDescent="0.2">
      <c r="A14" s="1040"/>
      <c r="B14" s="1013"/>
      <c r="C14" s="1042"/>
      <c r="D14" s="1022"/>
      <c r="E14" s="1022"/>
      <c r="F14" s="1022"/>
      <c r="G14" s="1022"/>
      <c r="H14" s="1022"/>
      <c r="I14" s="1022"/>
      <c r="J14" s="1022"/>
      <c r="K14" s="647" t="s">
        <v>216</v>
      </c>
      <c r="L14" s="200" t="s">
        <v>217</v>
      </c>
      <c r="M14" s="1036"/>
      <c r="N14" s="1036"/>
      <c r="O14" s="1038"/>
      <c r="P14" s="256"/>
      <c r="W14" s="224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</row>
    <row r="15" spans="1:57" ht="24.95" customHeight="1" x14ac:dyDescent="0.2">
      <c r="A15" s="44">
        <v>1</v>
      </c>
      <c r="B15" s="12"/>
      <c r="C15" s="1025"/>
      <c r="D15" s="1026"/>
      <c r="E15" s="1026"/>
      <c r="F15" s="1026"/>
      <c r="G15" s="1026"/>
      <c r="H15" s="1026"/>
      <c r="I15" s="1027"/>
      <c r="J15" s="1027"/>
      <c r="K15" s="648"/>
      <c r="L15" s="13"/>
      <c r="M15" s="40" t="str">
        <f>IF(C15="","",100*(((C15-E15)-(G15+(L15-K15)+I15))/(C15-E15)))</f>
        <v/>
      </c>
      <c r="N15" s="864" t="str">
        <f>IF(M15="","",IF(OR(M15&lt;($M$18-0.5),M15&gt;($M$18+0.5)),"No Cumple","cumple"))</f>
        <v/>
      </c>
      <c r="O15" s="865"/>
      <c r="P15" s="255"/>
      <c r="W15" s="224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</row>
    <row r="16" spans="1:57" ht="24.95" customHeight="1" x14ac:dyDescent="0.2">
      <c r="A16" s="44">
        <v>2</v>
      </c>
      <c r="B16" s="12"/>
      <c r="C16" s="1025"/>
      <c r="D16" s="1026"/>
      <c r="E16" s="1026"/>
      <c r="F16" s="1026"/>
      <c r="G16" s="1026"/>
      <c r="H16" s="1026"/>
      <c r="I16" s="1027"/>
      <c r="J16" s="1027"/>
      <c r="K16" s="648"/>
      <c r="L16" s="13"/>
      <c r="M16" s="40" t="str">
        <f>IF(C16="","",100*(((C16-E16)-(G16+(L16-K16)+I16))/(C16-E16)))</f>
        <v/>
      </c>
      <c r="N16" s="864" t="str">
        <f>IF(M16="","",IF(OR(M16&lt;($M$18-0.5),M16&gt;($M$18+0.5)),"No Cumple","cumple"))</f>
        <v/>
      </c>
      <c r="O16" s="865"/>
      <c r="P16" s="146"/>
      <c r="W16" s="106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</row>
    <row r="17" spans="1:57" ht="24.95" customHeight="1" x14ac:dyDescent="0.2">
      <c r="A17" s="44">
        <v>3</v>
      </c>
      <c r="B17" s="12"/>
      <c r="C17" s="1025"/>
      <c r="D17" s="1026"/>
      <c r="E17" s="1026"/>
      <c r="F17" s="1026"/>
      <c r="G17" s="1026"/>
      <c r="H17" s="1026"/>
      <c r="I17" s="1027"/>
      <c r="J17" s="1027"/>
      <c r="K17" s="648"/>
      <c r="L17" s="13"/>
      <c r="M17" s="40" t="str">
        <f>IF(C17="","",100*(((C17-E17)-(G17+(L17-K17)+I17))/(C17-E17)))</f>
        <v/>
      </c>
      <c r="N17" s="864" t="str">
        <f>IF(M17="","",IF(OR(M17&lt;($M$18-0.5),M17&gt;($M$18+0.5)),"No Cumple","cumple"))</f>
        <v/>
      </c>
      <c r="O17" s="865"/>
      <c r="P17" s="146"/>
      <c r="W17" s="223"/>
      <c r="X17" s="45"/>
      <c r="Y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</row>
    <row r="18" spans="1:57" ht="24.95" customHeight="1" x14ac:dyDescent="0.2">
      <c r="A18" s="1008" t="s">
        <v>8</v>
      </c>
      <c r="B18" s="1009"/>
      <c r="C18" s="1010" t="str">
        <f>IF(C15="","",AVERAGE(C15:D17))</f>
        <v/>
      </c>
      <c r="D18" s="1011"/>
      <c r="E18" s="1011" t="str">
        <f>IF(E15="","",AVERAGE(E15:F17))</f>
        <v/>
      </c>
      <c r="F18" s="1011"/>
      <c r="G18" s="1011" t="str">
        <f>IF(G15="","",AVERAGE(G15:H17))</f>
        <v/>
      </c>
      <c r="H18" s="1011"/>
      <c r="I18" s="1011" t="str">
        <f>IF(I15="","",AVERAGE(I15:J17))</f>
        <v/>
      </c>
      <c r="J18" s="1011"/>
      <c r="K18" s="695" t="str">
        <f>IF(K15="","",AVERAGE(K15:K17))</f>
        <v/>
      </c>
      <c r="L18" s="39" t="str">
        <f>IF(L15="","",AVERAGE(L15:L17))</f>
        <v/>
      </c>
      <c r="M18" s="41" t="str">
        <f>IF(M15="","",AVERAGE(M15:M17))</f>
        <v/>
      </c>
      <c r="N18" s="1023"/>
      <c r="O18" s="1024"/>
      <c r="P18" s="146"/>
      <c r="W18" s="107"/>
      <c r="X18" s="45"/>
      <c r="Y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</row>
    <row r="19" spans="1:57" ht="24.95" customHeight="1" x14ac:dyDescent="0.2">
      <c r="A19" s="1014" t="s">
        <v>20</v>
      </c>
      <c r="B19" s="1015"/>
      <c r="C19" s="1015"/>
      <c r="D19" s="1016" t="s">
        <v>21</v>
      </c>
      <c r="E19" s="1016"/>
      <c r="F19" s="1016"/>
      <c r="G19" s="1017" t="s">
        <v>162</v>
      </c>
      <c r="H19" s="1017"/>
      <c r="I19" s="1017"/>
      <c r="J19" s="1017"/>
      <c r="K19" s="1017"/>
      <c r="L19" s="1017"/>
      <c r="M19" s="1017"/>
      <c r="N19" s="1018" t="str">
        <f>IF(S7="","",IF(S7&gt;1,"No cumple","Cumple"))</f>
        <v/>
      </c>
      <c r="O19" s="1019"/>
      <c r="P19" s="146"/>
      <c r="W19" s="107"/>
      <c r="X19" s="45"/>
      <c r="Y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</row>
    <row r="20" spans="1:57" ht="27.75" customHeight="1" x14ac:dyDescent="0.2">
      <c r="A20" s="978" t="s">
        <v>3</v>
      </c>
      <c r="B20" s="979"/>
      <c r="C20" s="1030"/>
      <c r="D20" s="1030"/>
      <c r="E20" s="1030"/>
      <c r="F20" s="1030"/>
      <c r="G20" s="1030"/>
      <c r="H20" s="1030"/>
      <c r="I20" s="1030"/>
      <c r="J20" s="1030"/>
      <c r="K20" s="1030"/>
      <c r="L20" s="1030"/>
      <c r="M20" s="1030"/>
      <c r="N20" s="1030"/>
      <c r="O20" s="1031"/>
      <c r="P20" s="146"/>
      <c r="W20" s="129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</row>
    <row r="21" spans="1:57" ht="50.25" customHeight="1" x14ac:dyDescent="0.2">
      <c r="A21" s="1032"/>
      <c r="B21" s="1033"/>
      <c r="C21" s="1033"/>
      <c r="D21" s="1033"/>
      <c r="E21" s="1033"/>
      <c r="F21" s="1033"/>
      <c r="G21" s="1033"/>
      <c r="H21" s="1033"/>
      <c r="I21" s="1033"/>
      <c r="J21" s="1033"/>
      <c r="K21" s="1033"/>
      <c r="L21" s="1033"/>
      <c r="M21" s="1033"/>
      <c r="N21" s="1033"/>
      <c r="O21" s="1034"/>
      <c r="P21" s="146"/>
      <c r="W21" s="129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</row>
    <row r="22" spans="1:57" ht="21.95" customHeight="1" x14ac:dyDescent="0.2">
      <c r="A22" s="1052" t="s">
        <v>251</v>
      </c>
      <c r="B22" s="971"/>
      <c r="C22" s="971"/>
      <c r="D22" s="971"/>
      <c r="E22" s="971"/>
      <c r="F22" s="971"/>
      <c r="G22" s="971"/>
      <c r="H22" s="971"/>
      <c r="I22" s="1052" t="s">
        <v>9</v>
      </c>
      <c r="J22" s="971"/>
      <c r="K22" s="971"/>
      <c r="L22" s="971"/>
      <c r="M22" s="971"/>
      <c r="N22" s="971"/>
      <c r="O22" s="972"/>
      <c r="P22" s="146"/>
      <c r="W22" s="129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</row>
    <row r="23" spans="1:57" ht="42.75" customHeight="1" x14ac:dyDescent="0.2">
      <c r="A23" s="1053"/>
      <c r="B23" s="996"/>
      <c r="C23" s="996"/>
      <c r="D23" s="996"/>
      <c r="E23" s="996"/>
      <c r="F23" s="996"/>
      <c r="G23" s="996"/>
      <c r="H23" s="996"/>
      <c r="I23" s="1053"/>
      <c r="J23" s="996"/>
      <c r="K23" s="996"/>
      <c r="L23" s="996"/>
      <c r="M23" s="996"/>
      <c r="N23" s="996"/>
      <c r="O23" s="997"/>
      <c r="P23" s="146"/>
      <c r="W23" s="108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</row>
    <row r="24" spans="1:57" ht="15" customHeight="1" x14ac:dyDescent="0.2">
      <c r="A24" s="1054" t="s">
        <v>154</v>
      </c>
      <c r="B24" s="999"/>
      <c r="C24" s="999"/>
      <c r="D24" s="999"/>
      <c r="E24" s="999"/>
      <c r="F24" s="999"/>
      <c r="G24" s="999"/>
      <c r="H24" s="999"/>
      <c r="I24" s="1054" t="s">
        <v>154</v>
      </c>
      <c r="J24" s="999"/>
      <c r="K24" s="999"/>
      <c r="L24" s="999"/>
      <c r="M24" s="999"/>
      <c r="N24" s="999"/>
      <c r="O24" s="1000"/>
      <c r="P24" s="146"/>
      <c r="W24" s="129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</row>
    <row r="25" spans="1:57" ht="15" customHeight="1" thickBot="1" x14ac:dyDescent="0.25">
      <c r="A25" s="1055" t="str">
        <f>IF(A24="--","",VLOOKUP(A24,firmas!A34:B37,2,0))</f>
        <v/>
      </c>
      <c r="B25" s="1056"/>
      <c r="C25" s="1056"/>
      <c r="D25" s="1056"/>
      <c r="E25" s="1056"/>
      <c r="F25" s="1056"/>
      <c r="G25" s="1056"/>
      <c r="H25" s="1056"/>
      <c r="I25" s="1055" t="str">
        <f>IF(I24="--","",VLOOKUP(I24,firmas!$A$39:$B$40,2,0))</f>
        <v/>
      </c>
      <c r="J25" s="1056"/>
      <c r="K25" s="1056"/>
      <c r="L25" s="1056"/>
      <c r="M25" s="1056"/>
      <c r="N25" s="1056"/>
      <c r="O25" s="1057"/>
      <c r="P25" s="146"/>
      <c r="W25" s="223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</row>
    <row r="26" spans="1:57" ht="15" customHeight="1" thickTop="1" thickBot="1" x14ac:dyDescent="0.25">
      <c r="A26" s="1020" t="s">
        <v>156</v>
      </c>
      <c r="B26" s="1020"/>
      <c r="C26" s="1020"/>
      <c r="D26" s="1020"/>
      <c r="E26" s="1020"/>
      <c r="F26" s="1020"/>
      <c r="G26" s="1020"/>
      <c r="H26" s="1020"/>
      <c r="I26" s="1020"/>
      <c r="J26" s="1020"/>
      <c r="K26" s="1020"/>
      <c r="L26" s="1020"/>
      <c r="M26" s="1020"/>
      <c r="N26" s="1020"/>
      <c r="O26" s="1020"/>
      <c r="P26" s="146"/>
      <c r="W26" s="107"/>
      <c r="X26" s="45"/>
      <c r="Y26" s="234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</row>
    <row r="27" spans="1:57" ht="21.95" customHeight="1" thickTop="1" x14ac:dyDescent="0.2">
      <c r="A27" s="994" t="s">
        <v>205</v>
      </c>
      <c r="B27" s="994"/>
      <c r="C27" s="994"/>
      <c r="D27" s="994"/>
      <c r="E27" s="994"/>
      <c r="F27" s="994"/>
      <c r="G27" s="994"/>
      <c r="H27" s="994"/>
      <c r="I27" s="994"/>
      <c r="J27" s="994"/>
      <c r="K27" s="994"/>
      <c r="L27" s="994"/>
      <c r="M27" s="994"/>
      <c r="N27" s="994"/>
      <c r="O27" s="994"/>
      <c r="P27" s="146"/>
      <c r="W27" s="237"/>
      <c r="X27" s="45"/>
      <c r="Y27" s="258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</row>
    <row r="28" spans="1:57" ht="30" customHeight="1" x14ac:dyDescent="0.2">
      <c r="A28" s="1007" t="s">
        <v>253</v>
      </c>
      <c r="B28" s="1007"/>
      <c r="C28" s="1007"/>
      <c r="D28" s="1007"/>
      <c r="E28" s="1007"/>
      <c r="F28" s="1007"/>
      <c r="G28" s="1007"/>
      <c r="H28" s="1007"/>
      <c r="I28" s="1007"/>
      <c r="J28" s="1007"/>
      <c r="K28" s="1007"/>
      <c r="L28" s="1007"/>
      <c r="M28" s="1007"/>
      <c r="N28" s="1007"/>
      <c r="O28" s="1007"/>
      <c r="P28" s="146"/>
      <c r="W28" s="237"/>
      <c r="X28" s="45"/>
      <c r="Y28" s="258"/>
      <c r="Z28" s="45"/>
      <c r="AA28" s="45"/>
      <c r="AB28" s="45"/>
      <c r="AC28" s="45"/>
      <c r="AD28" s="45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</row>
    <row r="29" spans="1:57" ht="14.1" customHeight="1" x14ac:dyDescent="0.2">
      <c r="A29" s="992"/>
      <c r="B29" s="993"/>
      <c r="C29" s="993"/>
      <c r="D29" s="62"/>
      <c r="P29" s="219"/>
      <c r="W29" s="237"/>
      <c r="X29" s="45"/>
      <c r="Y29" s="258"/>
      <c r="Z29" s="45"/>
      <c r="AA29" s="45"/>
      <c r="AB29" s="45"/>
      <c r="AC29" s="45"/>
      <c r="AD29" s="45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</row>
    <row r="30" spans="1:57" ht="39.950000000000003" customHeight="1" x14ac:dyDescent="0.2">
      <c r="A30" s="992"/>
      <c r="B30" s="993"/>
      <c r="C30" s="993"/>
      <c r="D30" s="62"/>
      <c r="W30" s="109"/>
      <c r="X30" s="45"/>
      <c r="Y30" s="258"/>
      <c r="Z30" s="45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45"/>
      <c r="AL30" s="45"/>
      <c r="AM30" s="45"/>
      <c r="AN30" s="68"/>
      <c r="AO30" s="68"/>
      <c r="AP30" s="68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</row>
  </sheetData>
  <sheetProtection algorithmName="SHA-512" hashValue="u2mfOSNDflrp0w4ONnKFG+C7wN/S2cpu4fe4WUMBacZI8ttnHV6zZUIgM2a/0r7F8g6IBJSKSPxdMLsM13WdQg==" saltValue="PcgAcQdw98oAFmiRjOIN+w==" spinCount="100000" sheet="1" formatCells="0" formatColumns="0" formatRows="0"/>
  <protectedRanges>
    <protectedRange sqref="M2:N4" name="Rango1_1_1"/>
  </protectedRanges>
  <mergeCells count="77">
    <mergeCell ref="R3:S3"/>
    <mergeCell ref="A22:H22"/>
    <mergeCell ref="A23:H23"/>
    <mergeCell ref="A24:H24"/>
    <mergeCell ref="A25:H25"/>
    <mergeCell ref="I22:O22"/>
    <mergeCell ref="I23:O23"/>
    <mergeCell ref="I24:O24"/>
    <mergeCell ref="I25:O25"/>
    <mergeCell ref="A1:C5"/>
    <mergeCell ref="D1:O1"/>
    <mergeCell ref="D4:L4"/>
    <mergeCell ref="M4:O4"/>
    <mergeCell ref="D5:O5"/>
    <mergeCell ref="M11:O11"/>
    <mergeCell ref="E11:J12"/>
    <mergeCell ref="A11:D12"/>
    <mergeCell ref="K11:L11"/>
    <mergeCell ref="A6:D6"/>
    <mergeCell ref="E6:J6"/>
    <mergeCell ref="M6:O6"/>
    <mergeCell ref="A7:D7"/>
    <mergeCell ref="E7:J7"/>
    <mergeCell ref="M7:O7"/>
    <mergeCell ref="A10:D10"/>
    <mergeCell ref="E10:J10"/>
    <mergeCell ref="M10:O10"/>
    <mergeCell ref="A8:D8"/>
    <mergeCell ref="E8:J8"/>
    <mergeCell ref="M8:O8"/>
    <mergeCell ref="A9:D9"/>
    <mergeCell ref="E9:J9"/>
    <mergeCell ref="M9:O9"/>
    <mergeCell ref="A20:B20"/>
    <mergeCell ref="C20:O20"/>
    <mergeCell ref="A21:O21"/>
    <mergeCell ref="K13:L13"/>
    <mergeCell ref="M13:M14"/>
    <mergeCell ref="N13:O14"/>
    <mergeCell ref="C15:D15"/>
    <mergeCell ref="E15:F15"/>
    <mergeCell ref="G15:H15"/>
    <mergeCell ref="I15:J15"/>
    <mergeCell ref="N15:O15"/>
    <mergeCell ref="A13:A14"/>
    <mergeCell ref="C13:D14"/>
    <mergeCell ref="E13:F14"/>
    <mergeCell ref="G13:H14"/>
    <mergeCell ref="G18:H18"/>
    <mergeCell ref="I18:J18"/>
    <mergeCell ref="N18:O18"/>
    <mergeCell ref="C16:D16"/>
    <mergeCell ref="E16:F16"/>
    <mergeCell ref="G16:H16"/>
    <mergeCell ref="I16:J16"/>
    <mergeCell ref="N16:O16"/>
    <mergeCell ref="C17:D17"/>
    <mergeCell ref="E17:F17"/>
    <mergeCell ref="G17:H17"/>
    <mergeCell ref="I17:J17"/>
    <mergeCell ref="N17:O17"/>
    <mergeCell ref="D2:O3"/>
    <mergeCell ref="M12:O12"/>
    <mergeCell ref="A29:C29"/>
    <mergeCell ref="A30:C30"/>
    <mergeCell ref="A18:B18"/>
    <mergeCell ref="C18:D18"/>
    <mergeCell ref="E18:F18"/>
    <mergeCell ref="B13:B14"/>
    <mergeCell ref="A27:O27"/>
    <mergeCell ref="A28:O28"/>
    <mergeCell ref="A19:C19"/>
    <mergeCell ref="D19:F19"/>
    <mergeCell ref="G19:M19"/>
    <mergeCell ref="N19:O19"/>
    <mergeCell ref="A26:O26"/>
    <mergeCell ref="I13:J14"/>
  </mergeCells>
  <dataValidations count="3">
    <dataValidation type="list" allowBlank="1" showInputMessage="1" showErrorMessage="1" sqref="A24" xr:uid="{00000000-0002-0000-0100-000000000000}">
      <formula1>revisonombres</formula1>
    </dataValidation>
    <dataValidation type="list" allowBlank="1" showInputMessage="1" showErrorMessage="1" sqref="W2 I24" xr:uid="{00000000-0002-0000-0100-000001000000}">
      <formula1>aprobonombres</formula1>
    </dataValidation>
    <dataValidation type="list" allowBlank="1" showInputMessage="1" showErrorMessage="1" sqref="D19:F19" xr:uid="{00000000-0002-0000-0100-000002000000}">
      <formula1>$Q$4:$Q$7</formula1>
    </dataValidation>
  </dataValidations>
  <printOptions horizontalCentered="1"/>
  <pageMargins left="0.51181102362204722" right="0.19685039370078741" top="0" bottom="0" header="0" footer="0.74803149606299213"/>
  <pageSetup paperSize="9" pageOrder="overThenDown" orientation="portrait" r:id="rId1"/>
  <headerFooter scaleWithDoc="0">
    <oddFooter xml:space="preserve">&amp;L&amp;6Calle 26 No. 57-41 Torre 8 Piso 8 CEMSA - CP: 1113111            
Pbx: 3779555  - Información: Línea 195     
www.umv.gov.co111311&amp;C&amp;6Página 1 de 1
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50"/>
  </sheetPr>
  <dimension ref="A1:AM184"/>
  <sheetViews>
    <sheetView showGridLines="0" view="pageBreakPreview" zoomScale="90" zoomScaleSheetLayoutView="90" workbookViewId="0">
      <selection activeCell="D2" sqref="D2:O3"/>
    </sheetView>
  </sheetViews>
  <sheetFormatPr baseColWidth="10" defaultRowHeight="12.75" x14ac:dyDescent="0.2"/>
  <cols>
    <col min="1" max="1" width="6.42578125" style="11" customWidth="1"/>
    <col min="2" max="2" width="6.140625" style="11" customWidth="1"/>
    <col min="3" max="3" width="6" style="11" customWidth="1"/>
    <col min="4" max="4" width="5.140625" style="11" customWidth="1"/>
    <col min="5" max="5" width="6.140625" style="11" customWidth="1"/>
    <col min="6" max="6" width="5.140625" style="11" customWidth="1"/>
    <col min="7" max="7" width="5" style="11" customWidth="1"/>
    <col min="8" max="8" width="7.85546875" style="11" customWidth="1"/>
    <col min="9" max="9" width="5.5703125" style="11" customWidth="1"/>
    <col min="10" max="10" width="7.42578125" style="11" customWidth="1"/>
    <col min="11" max="11" width="8.7109375" style="11" customWidth="1"/>
    <col min="12" max="12" width="9" style="11" customWidth="1"/>
    <col min="13" max="13" width="7.7109375" style="11" customWidth="1"/>
    <col min="14" max="15" width="4.7109375" style="11" customWidth="1"/>
    <col min="16" max="16" width="11" style="11" customWidth="1"/>
    <col min="17" max="17" width="11.42578125" style="11"/>
    <col min="18" max="18" width="12.7109375" style="11" customWidth="1"/>
    <col min="19" max="19" width="11.42578125" style="11"/>
    <col min="20" max="20" width="16" style="11" customWidth="1"/>
    <col min="21" max="24" width="11.42578125" style="11"/>
    <col min="25" max="25" width="17.7109375" style="11" bestFit="1" customWidth="1"/>
    <col min="26" max="16384" width="11.42578125" style="11"/>
  </cols>
  <sheetData>
    <row r="1" spans="1:33" ht="15" customHeight="1" x14ac:dyDescent="0.2">
      <c r="A1" s="860"/>
      <c r="B1" s="861"/>
      <c r="C1" s="862"/>
      <c r="D1" s="1058" t="s">
        <v>26</v>
      </c>
      <c r="E1" s="1059"/>
      <c r="F1" s="1059"/>
      <c r="G1" s="1059"/>
      <c r="H1" s="1059"/>
      <c r="I1" s="1059"/>
      <c r="J1" s="1059"/>
      <c r="K1" s="1059"/>
      <c r="L1" s="1059"/>
      <c r="M1" s="1059"/>
      <c r="N1" s="1059"/>
      <c r="O1" s="1060"/>
      <c r="P1" s="103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</row>
    <row r="2" spans="1:33" ht="15" customHeight="1" x14ac:dyDescent="0.2">
      <c r="A2" s="863"/>
      <c r="B2" s="864"/>
      <c r="C2" s="865"/>
      <c r="D2" s="888" t="s">
        <v>12</v>
      </c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90"/>
      <c r="P2" s="197"/>
      <c r="Q2" s="45"/>
      <c r="R2" s="45"/>
      <c r="S2" s="45"/>
      <c r="AD2" s="45"/>
      <c r="AE2" s="45"/>
    </row>
    <row r="3" spans="1:33" ht="15" customHeight="1" thickBot="1" x14ac:dyDescent="0.25">
      <c r="A3" s="863"/>
      <c r="B3" s="864"/>
      <c r="C3" s="865"/>
      <c r="D3" s="891"/>
      <c r="E3" s="892"/>
      <c r="F3" s="892"/>
      <c r="G3" s="892"/>
      <c r="H3" s="892"/>
      <c r="I3" s="892"/>
      <c r="J3" s="892"/>
      <c r="K3" s="892"/>
      <c r="L3" s="892"/>
      <c r="M3" s="892"/>
      <c r="N3" s="892"/>
      <c r="O3" s="893"/>
      <c r="P3" s="197"/>
      <c r="Q3" s="45"/>
      <c r="R3" s="45"/>
      <c r="S3" s="45"/>
      <c r="AD3" s="45"/>
      <c r="AE3" s="45"/>
    </row>
    <row r="4" spans="1:33" ht="14.1" customHeight="1" thickTop="1" x14ac:dyDescent="0.2">
      <c r="A4" s="863"/>
      <c r="B4" s="864"/>
      <c r="C4" s="865"/>
      <c r="D4" s="869" t="s">
        <v>252</v>
      </c>
      <c r="E4" s="870"/>
      <c r="F4" s="870"/>
      <c r="G4" s="870"/>
      <c r="H4" s="870"/>
      <c r="I4" s="870"/>
      <c r="J4" s="870"/>
      <c r="K4" s="870"/>
      <c r="L4" s="871"/>
      <c r="M4" s="869" t="s">
        <v>322</v>
      </c>
      <c r="N4" s="870"/>
      <c r="O4" s="871"/>
      <c r="P4" s="104"/>
      <c r="S4" s="1154" t="s">
        <v>327</v>
      </c>
      <c r="T4" s="607" t="s">
        <v>328</v>
      </c>
      <c r="U4" s="587" t="s">
        <v>0</v>
      </c>
      <c r="V4" s="587" t="s">
        <v>1</v>
      </c>
      <c r="W4" s="588" t="s">
        <v>4</v>
      </c>
      <c r="X4" s="588" t="s">
        <v>2</v>
      </c>
      <c r="Y4" s="588" t="s">
        <v>10</v>
      </c>
      <c r="Z4" s="588" t="s">
        <v>16</v>
      </c>
      <c r="AA4" s="588" t="s">
        <v>17</v>
      </c>
      <c r="AB4" s="588" t="s">
        <v>18</v>
      </c>
      <c r="AC4" s="589" t="s">
        <v>19</v>
      </c>
      <c r="AD4" s="45"/>
      <c r="AE4" s="45"/>
      <c r="AF4" s="45"/>
      <c r="AG4" s="45"/>
    </row>
    <row r="5" spans="1:33" ht="14.1" customHeight="1" x14ac:dyDescent="0.2">
      <c r="A5" s="866"/>
      <c r="B5" s="867"/>
      <c r="C5" s="868"/>
      <c r="D5" s="869" t="s">
        <v>282</v>
      </c>
      <c r="E5" s="870"/>
      <c r="F5" s="870"/>
      <c r="G5" s="870"/>
      <c r="H5" s="870"/>
      <c r="I5" s="870"/>
      <c r="J5" s="870"/>
      <c r="K5" s="870"/>
      <c r="L5" s="870"/>
      <c r="M5" s="870"/>
      <c r="N5" s="870"/>
      <c r="O5" s="871"/>
      <c r="P5" s="104"/>
      <c r="S5" s="1155"/>
      <c r="T5" s="608"/>
      <c r="U5" s="590">
        <v>25</v>
      </c>
      <c r="V5" s="591">
        <v>19</v>
      </c>
      <c r="W5" s="591">
        <v>12.5</v>
      </c>
      <c r="X5" s="591">
        <v>9.5</v>
      </c>
      <c r="Y5" s="591">
        <v>4.75</v>
      </c>
      <c r="Z5" s="591">
        <v>2</v>
      </c>
      <c r="AA5" s="591">
        <v>0.42499999999999999</v>
      </c>
      <c r="AB5" s="591">
        <v>0.18</v>
      </c>
      <c r="AC5" s="592">
        <v>7.4999999999999997E-2</v>
      </c>
      <c r="AD5" s="45"/>
      <c r="AE5" s="45"/>
      <c r="AF5" s="45"/>
      <c r="AG5" s="45"/>
    </row>
    <row r="6" spans="1:33" ht="14.1" customHeight="1" x14ac:dyDescent="0.2">
      <c r="A6" s="705" t="s">
        <v>41</v>
      </c>
      <c r="B6" s="698"/>
      <c r="C6" s="698"/>
      <c r="E6" s="1143" t="str">
        <f>+IF(Resumen!E6="","",Resumen!E6)</f>
        <v/>
      </c>
      <c r="F6" s="1143"/>
      <c r="G6" s="1143"/>
      <c r="H6" s="1143"/>
      <c r="I6" s="1143"/>
      <c r="J6" s="1143"/>
      <c r="K6" s="698" t="s">
        <v>59</v>
      </c>
      <c r="L6" s="698"/>
      <c r="M6" s="881" t="str">
        <f>+IF(Resumen!M6="","",Resumen!M6)</f>
        <v/>
      </c>
      <c r="N6" s="881"/>
      <c r="O6" s="1046"/>
      <c r="P6" s="114"/>
      <c r="Q6" s="305"/>
      <c r="R6" s="305"/>
      <c r="S6" s="1155"/>
      <c r="T6" s="609" t="s">
        <v>375</v>
      </c>
      <c r="U6" s="593" t="s">
        <v>0</v>
      </c>
      <c r="V6" s="593" t="s">
        <v>1</v>
      </c>
      <c r="W6" s="234" t="s">
        <v>4</v>
      </c>
      <c r="X6" s="234" t="s">
        <v>2</v>
      </c>
      <c r="Y6" s="234" t="s">
        <v>10</v>
      </c>
      <c r="Z6" s="234" t="s">
        <v>326</v>
      </c>
      <c r="AA6" s="234" t="s">
        <v>19</v>
      </c>
      <c r="AB6" s="594"/>
      <c r="AC6" s="578"/>
      <c r="AD6" s="398"/>
      <c r="AE6" s="68"/>
      <c r="AF6" s="45"/>
      <c r="AG6" s="45"/>
    </row>
    <row r="7" spans="1:33" ht="14.1" customHeight="1" thickBot="1" x14ac:dyDescent="0.25">
      <c r="A7" s="706" t="s">
        <v>42</v>
      </c>
      <c r="B7" s="707"/>
      <c r="C7" s="707"/>
      <c r="E7" s="1141" t="str">
        <f>+IF(Resumen!E7="","",Resumen!E7)</f>
        <v/>
      </c>
      <c r="F7" s="1141"/>
      <c r="G7" s="1141"/>
      <c r="H7" s="1141"/>
      <c r="I7" s="1141"/>
      <c r="J7" s="1141"/>
      <c r="K7" s="700" t="s">
        <v>47</v>
      </c>
      <c r="L7" s="700"/>
      <c r="M7" s="1047" t="str">
        <f>+IF(Resumen!M7="","",Resumen!M7)</f>
        <v/>
      </c>
      <c r="N7" s="1047"/>
      <c r="O7" s="1048"/>
      <c r="P7" s="114"/>
      <c r="Q7" s="305"/>
      <c r="R7" s="305"/>
      <c r="S7" s="1156"/>
      <c r="T7" s="608"/>
      <c r="U7" s="595">
        <v>25</v>
      </c>
      <c r="V7" s="596">
        <v>19</v>
      </c>
      <c r="W7" s="596">
        <v>12.5</v>
      </c>
      <c r="X7" s="596">
        <v>9.5</v>
      </c>
      <c r="Y7" s="596">
        <v>4.75</v>
      </c>
      <c r="Z7" s="596">
        <v>2.36</v>
      </c>
      <c r="AA7" s="596">
        <v>7.4999999999999997E-2</v>
      </c>
      <c r="AB7" s="594"/>
      <c r="AC7" s="578"/>
      <c r="AD7" s="398"/>
      <c r="AE7" s="68"/>
      <c r="AF7" s="45"/>
      <c r="AG7" s="45"/>
    </row>
    <row r="8" spans="1:33" ht="14.1" customHeight="1" thickTop="1" x14ac:dyDescent="0.2">
      <c r="A8" s="706" t="s">
        <v>56</v>
      </c>
      <c r="B8" s="707"/>
      <c r="C8" s="707"/>
      <c r="D8" s="707"/>
      <c r="E8" s="1047" t="str">
        <f>+IF(Resumen!E8="","",Resumen!E8)</f>
        <v/>
      </c>
      <c r="F8" s="1047"/>
      <c r="G8" s="1047"/>
      <c r="H8" s="1047"/>
      <c r="I8" s="1047"/>
      <c r="J8" s="1047"/>
      <c r="K8" s="700" t="s">
        <v>60</v>
      </c>
      <c r="L8" s="700"/>
      <c r="M8" s="1028" t="str">
        <f>+IF(Resumen!M8="","",Resumen!M8)</f>
        <v/>
      </c>
      <c r="N8" s="1028"/>
      <c r="O8" s="1029"/>
      <c r="P8" s="224"/>
      <c r="Q8" s="305"/>
      <c r="R8" s="305"/>
      <c r="S8" s="1157" t="s">
        <v>14</v>
      </c>
      <c r="T8" s="610">
        <v>1</v>
      </c>
      <c r="U8" s="597">
        <v>2</v>
      </c>
      <c r="V8" s="597">
        <v>3</v>
      </c>
      <c r="W8" s="597">
        <v>4</v>
      </c>
      <c r="X8" s="597">
        <v>5</v>
      </c>
      <c r="Y8" s="597">
        <v>6</v>
      </c>
      <c r="Z8" s="597">
        <v>7</v>
      </c>
      <c r="AA8" s="597">
        <v>8</v>
      </c>
      <c r="AB8" s="597">
        <v>9</v>
      </c>
      <c r="AC8" s="598">
        <v>10</v>
      </c>
      <c r="AD8" s="305"/>
      <c r="AF8" s="45"/>
      <c r="AG8" s="45"/>
    </row>
    <row r="9" spans="1:33" ht="14.1" customHeight="1" x14ac:dyDescent="0.2">
      <c r="A9" s="877" t="s">
        <v>379</v>
      </c>
      <c r="B9" s="878"/>
      <c r="C9" s="878"/>
      <c r="D9" s="878"/>
      <c r="E9" s="1047" t="str">
        <f>+IF(Resumen!E9="","",Resumen!E9)</f>
        <v/>
      </c>
      <c r="F9" s="1047"/>
      <c r="G9" s="1047"/>
      <c r="H9" s="1047"/>
      <c r="I9" s="1047"/>
      <c r="J9" s="1047"/>
      <c r="K9" s="700" t="s">
        <v>61</v>
      </c>
      <c r="L9" s="700"/>
      <c r="M9" s="1028" t="str">
        <f>+IF(Resumen!M9="","",Resumen!M9)</f>
        <v/>
      </c>
      <c r="N9" s="1028"/>
      <c r="O9" s="1029"/>
      <c r="P9" s="224"/>
      <c r="Q9" s="305"/>
      <c r="R9" s="305"/>
      <c r="S9" s="1158"/>
      <c r="T9" s="611" t="s">
        <v>123</v>
      </c>
      <c r="U9" s="599">
        <v>100</v>
      </c>
      <c r="V9" s="599">
        <v>100</v>
      </c>
      <c r="W9" s="599">
        <v>100</v>
      </c>
      <c r="X9" s="599">
        <v>80</v>
      </c>
      <c r="Y9" s="599">
        <v>59</v>
      </c>
      <c r="Z9" s="599">
        <v>36</v>
      </c>
      <c r="AA9" s="599">
        <v>15</v>
      </c>
      <c r="AB9" s="599">
        <v>9</v>
      </c>
      <c r="AC9" s="600">
        <v>5</v>
      </c>
      <c r="AD9" s="305"/>
      <c r="AF9" s="45"/>
      <c r="AG9" s="45"/>
    </row>
    <row r="10" spans="1:33" ht="14.1" customHeight="1" x14ac:dyDescent="0.2">
      <c r="A10" s="708" t="s">
        <v>201</v>
      </c>
      <c r="B10" s="700"/>
      <c r="C10" s="700"/>
      <c r="E10" s="1142" t="str">
        <f>+IF(Resumen!E10="","",Resumen!E10)</f>
        <v/>
      </c>
      <c r="F10" s="1142"/>
      <c r="G10" s="1142"/>
      <c r="H10" s="1142"/>
      <c r="I10" s="1142"/>
      <c r="J10" s="1142"/>
      <c r="K10" s="700" t="s">
        <v>53</v>
      </c>
      <c r="L10" s="700"/>
      <c r="M10" s="875"/>
      <c r="N10" s="875"/>
      <c r="O10" s="876"/>
      <c r="P10" s="224"/>
      <c r="Q10" s="305"/>
      <c r="R10" s="305"/>
      <c r="S10" s="1158"/>
      <c r="T10" s="612" t="s">
        <v>35</v>
      </c>
      <c r="U10" s="601">
        <v>100</v>
      </c>
      <c r="V10" s="601">
        <v>100</v>
      </c>
      <c r="W10" s="601">
        <v>80</v>
      </c>
      <c r="X10" s="601">
        <v>71</v>
      </c>
      <c r="Y10" s="601">
        <v>49</v>
      </c>
      <c r="Z10" s="601">
        <v>30</v>
      </c>
      <c r="AA10" s="601">
        <v>14</v>
      </c>
      <c r="AB10" s="601">
        <v>8</v>
      </c>
      <c r="AC10" s="602">
        <v>4</v>
      </c>
      <c r="AD10" s="305"/>
      <c r="AF10" s="45"/>
      <c r="AG10" s="45"/>
    </row>
    <row r="11" spans="1:33" ht="15" customHeight="1" x14ac:dyDescent="0.2">
      <c r="A11" s="708" t="s">
        <v>91</v>
      </c>
      <c r="B11" s="700"/>
      <c r="C11" s="700"/>
      <c r="E11" s="1067" t="str">
        <f>+IF(Resumen!E11="","",Resumen!E11)</f>
        <v/>
      </c>
      <c r="F11" s="1067"/>
      <c r="G11" s="1067"/>
      <c r="H11" s="1067"/>
      <c r="I11" s="1067"/>
      <c r="J11" s="1067"/>
      <c r="K11" s="1045" t="s">
        <v>165</v>
      </c>
      <c r="L11" s="1045"/>
      <c r="M11" s="1028" t="str">
        <f>+IF(Resumen!M11="","",Resumen!M11)</f>
        <v/>
      </c>
      <c r="N11" s="1028"/>
      <c r="O11" s="1029"/>
      <c r="P11" s="106"/>
      <c r="Q11" s="305"/>
      <c r="R11" s="305"/>
      <c r="S11" s="1158"/>
      <c r="T11" s="613" t="s">
        <v>341</v>
      </c>
      <c r="U11" s="601">
        <v>100</v>
      </c>
      <c r="V11" s="601">
        <v>100</v>
      </c>
      <c r="W11" s="601">
        <v>86</v>
      </c>
      <c r="X11" s="601">
        <v>80</v>
      </c>
      <c r="Y11" s="601">
        <v>53</v>
      </c>
      <c r="Z11" s="601">
        <v>32</v>
      </c>
      <c r="AA11" s="601">
        <v>16</v>
      </c>
      <c r="AB11" s="601">
        <v>8</v>
      </c>
      <c r="AC11" s="602">
        <v>6</v>
      </c>
      <c r="AD11" s="305"/>
      <c r="AF11" s="45"/>
      <c r="AG11" s="45"/>
    </row>
    <row r="12" spans="1:33" ht="15" customHeight="1" thickBot="1" x14ac:dyDescent="0.25">
      <c r="A12" s="709"/>
      <c r="B12" s="710"/>
      <c r="C12" s="710"/>
      <c r="D12" s="710"/>
      <c r="E12" s="1068"/>
      <c r="F12" s="1068"/>
      <c r="G12" s="1068"/>
      <c r="H12" s="1068"/>
      <c r="I12" s="1068"/>
      <c r="J12" s="1068"/>
      <c r="K12" s="702" t="s">
        <v>164</v>
      </c>
      <c r="L12" s="704"/>
      <c r="M12" s="874"/>
      <c r="N12" s="874"/>
      <c r="O12" s="884"/>
      <c r="P12" s="106"/>
      <c r="Q12" s="305"/>
      <c r="R12" s="305"/>
      <c r="S12" s="1158"/>
      <c r="T12" s="613" t="s">
        <v>340</v>
      </c>
      <c r="U12" s="601">
        <v>100</v>
      </c>
      <c r="V12" s="601">
        <v>100</v>
      </c>
      <c r="W12" s="601">
        <v>100</v>
      </c>
      <c r="X12" s="601">
        <v>93.25</v>
      </c>
      <c r="Y12" s="601">
        <v>67.209999999999994</v>
      </c>
      <c r="Z12" s="601">
        <v>45</v>
      </c>
      <c r="AA12" s="601">
        <v>22</v>
      </c>
      <c r="AB12" s="601">
        <v>12</v>
      </c>
      <c r="AC12" s="602">
        <v>6.7</v>
      </c>
      <c r="AD12" s="305"/>
      <c r="AF12" s="45"/>
      <c r="AG12" s="45"/>
    </row>
    <row r="13" spans="1:33" ht="32.25" customHeight="1" thickTop="1" x14ac:dyDescent="0.2">
      <c r="A13" s="691" t="s">
        <v>101</v>
      </c>
      <c r="B13" s="1075" t="s">
        <v>22</v>
      </c>
      <c r="C13" s="1075"/>
      <c r="D13" s="1144" t="s">
        <v>31</v>
      </c>
      <c r="E13" s="1144"/>
      <c r="F13" s="1144"/>
      <c r="G13" s="1075" t="s">
        <v>55</v>
      </c>
      <c r="H13" s="1075"/>
      <c r="I13" s="1075"/>
      <c r="J13" s="1075" t="s">
        <v>32</v>
      </c>
      <c r="K13" s="1075"/>
      <c r="L13" s="1075"/>
      <c r="M13" s="201" t="s">
        <v>218</v>
      </c>
      <c r="N13" s="1075" t="s">
        <v>92</v>
      </c>
      <c r="O13" s="1076"/>
      <c r="P13" s="256"/>
      <c r="Q13" s="400" t="s">
        <v>92</v>
      </c>
      <c r="R13" s="1152" t="s">
        <v>330</v>
      </c>
      <c r="S13" s="1158"/>
      <c r="T13" s="612" t="s">
        <v>125</v>
      </c>
      <c r="U13" s="601">
        <v>100</v>
      </c>
      <c r="V13" s="601">
        <v>80</v>
      </c>
      <c r="W13" s="601">
        <v>66</v>
      </c>
      <c r="X13" s="601">
        <v>59</v>
      </c>
      <c r="Y13" s="601">
        <v>42</v>
      </c>
      <c r="Z13" s="601">
        <v>27</v>
      </c>
      <c r="AA13" s="601">
        <v>12</v>
      </c>
      <c r="AB13" s="601">
        <v>8</v>
      </c>
      <c r="AC13" s="602">
        <v>4</v>
      </c>
      <c r="AD13" s="305"/>
      <c r="AF13" s="45"/>
      <c r="AG13" s="45"/>
    </row>
    <row r="14" spans="1:33" ht="15" customHeight="1" x14ac:dyDescent="0.2">
      <c r="A14" s="43">
        <v>1</v>
      </c>
      <c r="B14" s="1136" t="str">
        <f>+IF('732'!G15="","",'732'!G15)</f>
        <v/>
      </c>
      <c r="C14" s="1136"/>
      <c r="D14" s="1136" t="str">
        <f>IF(B14="","",B14+('732'!L15-'732'!K15))</f>
        <v/>
      </c>
      <c r="E14" s="1136"/>
      <c r="F14" s="1136"/>
      <c r="G14" s="1137"/>
      <c r="H14" s="1137"/>
      <c r="I14" s="1137"/>
      <c r="J14" s="1138" t="str">
        <f>IF(B14="","",B14-G14)</f>
        <v/>
      </c>
      <c r="K14" s="1138"/>
      <c r="L14" s="1138"/>
      <c r="M14" s="772" t="str">
        <f>IF(OR(E20="",B14=""),"",SUM(E20:M20)+O20)</f>
        <v/>
      </c>
      <c r="N14" s="1139" t="str">
        <f>IF(M14="","",1-(Q20/G14))</f>
        <v/>
      </c>
      <c r="O14" s="1140"/>
      <c r="P14" s="256"/>
      <c r="Q14" s="401" t="str">
        <f>IF(N14="","",IF(N14&gt;0.2,"No cumple","cumple"))</f>
        <v/>
      </c>
      <c r="R14" s="1153"/>
      <c r="S14" s="1158"/>
      <c r="T14" s="609" t="s">
        <v>375</v>
      </c>
      <c r="U14" s="601">
        <v>100</v>
      </c>
      <c r="V14" s="601">
        <v>90</v>
      </c>
      <c r="W14" s="601">
        <v>77</v>
      </c>
      <c r="X14" s="601">
        <v>59</v>
      </c>
      <c r="Y14" s="601">
        <v>28</v>
      </c>
      <c r="Z14" s="601">
        <v>14</v>
      </c>
      <c r="AA14" s="619">
        <v>2</v>
      </c>
      <c r="AB14" s="619" t="s">
        <v>154</v>
      </c>
      <c r="AC14" s="756" t="s">
        <v>154</v>
      </c>
      <c r="AD14" s="305"/>
      <c r="AF14" s="45"/>
      <c r="AG14" s="45"/>
    </row>
    <row r="15" spans="1:33" ht="15" customHeight="1" x14ac:dyDescent="0.2">
      <c r="A15" s="44">
        <v>2</v>
      </c>
      <c r="B15" s="1062" t="str">
        <f>+IF('732'!G16="","",'732'!G16)</f>
        <v/>
      </c>
      <c r="C15" s="1062"/>
      <c r="D15" s="1062" t="str">
        <f>IF(B15="","",B15+('732'!L16-'732'!K16))</f>
        <v/>
      </c>
      <c r="E15" s="1062"/>
      <c r="F15" s="1062"/>
      <c r="G15" s="1063"/>
      <c r="H15" s="1063"/>
      <c r="I15" s="1063"/>
      <c r="J15" s="1064" t="str">
        <f>IF(B15="","",B15-G15)</f>
        <v/>
      </c>
      <c r="K15" s="1064"/>
      <c r="L15" s="1064"/>
      <c r="M15" s="771" t="str">
        <f>IF(OR(E21="",B15=""),"",SUM(E21:M21)+O21)</f>
        <v/>
      </c>
      <c r="N15" s="1071" t="str">
        <f>IF(M15="","",1-(Q21/G15))</f>
        <v/>
      </c>
      <c r="O15" s="1072"/>
      <c r="P15" s="138"/>
      <c r="Q15" s="401" t="str">
        <f>IF(N15="","",IF(N15&gt;0.2,"No cumple","cumple"))</f>
        <v/>
      </c>
      <c r="R15" s="305" t="s">
        <v>30</v>
      </c>
      <c r="S15" s="1159" t="s">
        <v>15</v>
      </c>
      <c r="T15" s="611" t="s">
        <v>123</v>
      </c>
      <c r="U15" s="599">
        <v>100</v>
      </c>
      <c r="V15" s="599">
        <v>100</v>
      </c>
      <c r="W15" s="599">
        <v>100</v>
      </c>
      <c r="X15" s="599">
        <v>95</v>
      </c>
      <c r="Y15" s="599">
        <v>76</v>
      </c>
      <c r="Z15" s="599">
        <v>51</v>
      </c>
      <c r="AA15" s="599">
        <v>25</v>
      </c>
      <c r="AB15" s="599">
        <v>18</v>
      </c>
      <c r="AC15" s="600">
        <v>10</v>
      </c>
      <c r="AD15" s="305"/>
      <c r="AF15" s="45"/>
      <c r="AG15" s="45"/>
    </row>
    <row r="16" spans="1:33" ht="15" customHeight="1" x14ac:dyDescent="0.2">
      <c r="A16" s="44">
        <v>3</v>
      </c>
      <c r="B16" s="1062" t="str">
        <f>+IF('732'!G17="","",'732'!G17)</f>
        <v/>
      </c>
      <c r="C16" s="1062"/>
      <c r="D16" s="1062" t="str">
        <f>IF(B16="","",B16+('732'!L17-'732'!K17))</f>
        <v/>
      </c>
      <c r="E16" s="1062"/>
      <c r="F16" s="1062"/>
      <c r="G16" s="1078"/>
      <c r="H16" s="1078"/>
      <c r="I16" s="1078"/>
      <c r="J16" s="1064" t="str">
        <f>IF(B16="","",B16-G16)</f>
        <v/>
      </c>
      <c r="K16" s="1064"/>
      <c r="L16" s="1064"/>
      <c r="M16" s="771" t="str">
        <f>IF(OR(E22="",B16=""),"",SUM(E22:M22)+O22)</f>
        <v/>
      </c>
      <c r="N16" s="1071" t="str">
        <f>IF(M16="","",1-(Q22/G16))</f>
        <v/>
      </c>
      <c r="O16" s="1072"/>
      <c r="P16" s="140"/>
      <c r="Q16" s="401" t="str">
        <f>IF(N16="","",IF(N16&gt;0.2,"No cumple","cumple"))</f>
        <v/>
      </c>
      <c r="R16" s="689" t="s">
        <v>376</v>
      </c>
      <c r="S16" s="1158"/>
      <c r="T16" s="612" t="s">
        <v>35</v>
      </c>
      <c r="U16" s="601">
        <v>100</v>
      </c>
      <c r="V16" s="601">
        <v>100</v>
      </c>
      <c r="W16" s="601">
        <v>95</v>
      </c>
      <c r="X16" s="601">
        <v>87</v>
      </c>
      <c r="Y16" s="601">
        <v>65</v>
      </c>
      <c r="Z16" s="601">
        <v>44</v>
      </c>
      <c r="AA16" s="601">
        <v>22</v>
      </c>
      <c r="AB16" s="601">
        <v>16</v>
      </c>
      <c r="AC16" s="602">
        <v>9</v>
      </c>
      <c r="AD16" s="305"/>
      <c r="AF16" s="45"/>
      <c r="AG16" s="45"/>
    </row>
    <row r="17" spans="1:39" ht="15" customHeight="1" thickBot="1" x14ac:dyDescent="0.25">
      <c r="A17" s="198" t="s">
        <v>8</v>
      </c>
      <c r="B17" s="1079" t="str">
        <f>IF(B14="","",AVERAGE(B14:C16))</f>
        <v/>
      </c>
      <c r="C17" s="1079"/>
      <c r="D17" s="1079" t="str">
        <f>IF(D14="","",AVERAGE(D14:D16))</f>
        <v/>
      </c>
      <c r="E17" s="1079"/>
      <c r="F17" s="1079"/>
      <c r="G17" s="1079" t="str">
        <f>IF(G14="","",AVERAGE(G14:I16))</f>
        <v/>
      </c>
      <c r="H17" s="1079"/>
      <c r="I17" s="1079"/>
      <c r="J17" s="1079" t="str">
        <f>IF(J14="","",AVERAGE(J14:L16))</f>
        <v/>
      </c>
      <c r="K17" s="1079"/>
      <c r="L17" s="1079"/>
      <c r="M17" s="42" t="str">
        <f>IF(M14="","",AVERAGE(M14:M16))</f>
        <v/>
      </c>
      <c r="N17" s="1065" t="str">
        <f>IF(M17="","",1-(Q23/G17))</f>
        <v/>
      </c>
      <c r="O17" s="1066"/>
      <c r="P17" s="140"/>
      <c r="Q17" s="401" t="str">
        <f>IF(N17="","",IF(N17&gt;0.2,"No cumple","cumple"))</f>
        <v/>
      </c>
      <c r="R17" s="305"/>
      <c r="S17" s="1158"/>
      <c r="T17" s="613" t="s">
        <v>341</v>
      </c>
      <c r="U17" s="601">
        <v>100</v>
      </c>
      <c r="V17" s="601">
        <v>100</v>
      </c>
      <c r="W17" s="601">
        <v>94</v>
      </c>
      <c r="X17" s="601">
        <v>88</v>
      </c>
      <c r="Y17" s="601">
        <v>61</v>
      </c>
      <c r="Z17" s="601">
        <v>38</v>
      </c>
      <c r="AA17" s="601">
        <v>22</v>
      </c>
      <c r="AB17" s="601">
        <v>14</v>
      </c>
      <c r="AC17" s="602">
        <v>8</v>
      </c>
      <c r="AD17" s="305"/>
      <c r="AF17" s="45"/>
      <c r="AG17" s="45"/>
    </row>
    <row r="18" spans="1:39" ht="13.5" customHeight="1" thickTop="1" x14ac:dyDescent="0.2">
      <c r="A18" s="1080" t="s">
        <v>24</v>
      </c>
      <c r="B18" s="1081"/>
      <c r="C18" s="1081" t="s">
        <v>38</v>
      </c>
      <c r="D18" s="1081"/>
      <c r="E18" s="202" t="str">
        <f t="shared" ref="E18:I19" si="0">+IF($E$8="","",U4)</f>
        <v/>
      </c>
      <c r="F18" s="202" t="str">
        <f t="shared" si="0"/>
        <v/>
      </c>
      <c r="G18" s="202" t="str">
        <f t="shared" si="0"/>
        <v/>
      </c>
      <c r="H18" s="202" t="str">
        <f t="shared" si="0"/>
        <v/>
      </c>
      <c r="I18" s="202" t="str">
        <f t="shared" si="0"/>
        <v/>
      </c>
      <c r="J18" s="203" t="str">
        <f>+IF(E8="","",IF(E8=T14,Z6,Z4))</f>
        <v/>
      </c>
      <c r="K18" s="203" t="str">
        <f>+IF($E$8="","",IF($E$8=$T$6,AA28,AA4))</f>
        <v/>
      </c>
      <c r="L18" s="203" t="str">
        <f>+IF(OR($E$8="",$E$8=$T$6),"--",AB4)</f>
        <v>--</v>
      </c>
      <c r="M18" s="203" t="str">
        <f>+IF(OR($E$8="",$E$8=$T$6),"--",AA6)</f>
        <v>--</v>
      </c>
      <c r="N18" s="1073" t="s">
        <v>77</v>
      </c>
      <c r="O18" s="1074" t="s">
        <v>78</v>
      </c>
      <c r="P18" s="140"/>
      <c r="Q18" s="1069" t="s">
        <v>286</v>
      </c>
      <c r="R18" s="1162" t="s">
        <v>287</v>
      </c>
      <c r="S18" s="1158"/>
      <c r="T18" s="613" t="s">
        <v>340</v>
      </c>
      <c r="U18" s="601">
        <v>100</v>
      </c>
      <c r="V18" s="601">
        <v>100</v>
      </c>
      <c r="W18" s="601">
        <v>100</v>
      </c>
      <c r="X18" s="601">
        <v>97</v>
      </c>
      <c r="Y18" s="601">
        <v>71</v>
      </c>
      <c r="Z18" s="601">
        <v>48</v>
      </c>
      <c r="AA18" s="601">
        <v>25</v>
      </c>
      <c r="AB18" s="601">
        <v>15</v>
      </c>
      <c r="AC18" s="602">
        <v>8</v>
      </c>
      <c r="AD18" s="305"/>
      <c r="AF18" s="45"/>
      <c r="AG18" s="45"/>
    </row>
    <row r="19" spans="1:39" ht="13.5" customHeight="1" x14ac:dyDescent="0.2">
      <c r="A19" s="1082"/>
      <c r="B19" s="1083"/>
      <c r="C19" s="1077" t="s">
        <v>11</v>
      </c>
      <c r="D19" s="1077"/>
      <c r="E19" s="577" t="str">
        <f t="shared" si="0"/>
        <v/>
      </c>
      <c r="F19" s="577" t="str">
        <f t="shared" si="0"/>
        <v/>
      </c>
      <c r="G19" s="577" t="str">
        <f t="shared" si="0"/>
        <v/>
      </c>
      <c r="H19" s="577" t="str">
        <f t="shared" si="0"/>
        <v/>
      </c>
      <c r="I19" s="577" t="str">
        <f t="shared" si="0"/>
        <v/>
      </c>
      <c r="J19" s="204" t="str">
        <f>+IF(E8="","",IF(E8=T14,Z7,Z5))</f>
        <v/>
      </c>
      <c r="K19" s="204" t="str">
        <f>+IF($E$8="","",IF($E$8=$T$6,AA7,AA5))</f>
        <v/>
      </c>
      <c r="L19" s="204" t="str">
        <f>+IF(OR($E$8="",$E$8=$T$6),"--",AB5)</f>
        <v>--</v>
      </c>
      <c r="M19" s="204" t="str">
        <f>+IF(OR($E$8="",$E$8=$T$6),"--",AA7)</f>
        <v>--</v>
      </c>
      <c r="N19" s="1036"/>
      <c r="O19" s="1074"/>
      <c r="P19" s="140"/>
      <c r="Q19" s="1070"/>
      <c r="R19" s="1163"/>
      <c r="S19" s="1158"/>
      <c r="T19" s="612" t="s">
        <v>125</v>
      </c>
      <c r="U19" s="601">
        <v>100</v>
      </c>
      <c r="V19" s="601">
        <v>95</v>
      </c>
      <c r="W19" s="601">
        <v>82</v>
      </c>
      <c r="X19" s="601">
        <v>75</v>
      </c>
      <c r="Y19" s="601">
        <v>58</v>
      </c>
      <c r="Z19" s="601">
        <v>41</v>
      </c>
      <c r="AA19" s="601">
        <v>22</v>
      </c>
      <c r="AB19" s="601">
        <v>16</v>
      </c>
      <c r="AC19" s="602">
        <v>9</v>
      </c>
      <c r="AD19" s="305"/>
      <c r="AF19" s="45"/>
      <c r="AG19" s="45"/>
    </row>
    <row r="20" spans="1:39" ht="15" customHeight="1" x14ac:dyDescent="0.2">
      <c r="A20" s="1102" t="s">
        <v>225</v>
      </c>
      <c r="B20" s="1105" t="s">
        <v>25</v>
      </c>
      <c r="C20" s="1106"/>
      <c r="D20" s="212">
        <v>1</v>
      </c>
      <c r="E20" s="14"/>
      <c r="F20" s="15"/>
      <c r="G20" s="15"/>
      <c r="H20" s="15"/>
      <c r="I20" s="15"/>
      <c r="J20" s="15"/>
      <c r="K20" s="15"/>
      <c r="L20" s="15"/>
      <c r="M20" s="15"/>
      <c r="N20" s="15"/>
      <c r="O20" s="46" t="str">
        <f>IF(OR(N20="",J14=""),"",N20+J14+('732'!L15-'732'!K15))</f>
        <v/>
      </c>
      <c r="P20" s="140"/>
      <c r="Q20" s="402">
        <f>SUM(E20:N20)</f>
        <v>0</v>
      </c>
      <c r="R20" s="403">
        <f>G14-Q20</f>
        <v>0</v>
      </c>
      <c r="S20" s="1160"/>
      <c r="T20" s="608" t="s">
        <v>375</v>
      </c>
      <c r="U20" s="603">
        <v>100</v>
      </c>
      <c r="V20" s="603">
        <v>100</v>
      </c>
      <c r="W20" s="603">
        <v>93</v>
      </c>
      <c r="X20" s="603">
        <v>76</v>
      </c>
      <c r="Y20" s="603">
        <v>49</v>
      </c>
      <c r="Z20" s="603">
        <v>27</v>
      </c>
      <c r="AA20" s="620">
        <v>8</v>
      </c>
      <c r="AB20" s="620" t="s">
        <v>154</v>
      </c>
      <c r="AC20" s="757" t="s">
        <v>154</v>
      </c>
      <c r="AD20" s="305"/>
      <c r="AF20" s="68"/>
      <c r="AG20" s="68"/>
      <c r="AH20" s="17"/>
      <c r="AI20" s="17"/>
      <c r="AJ20" s="17"/>
      <c r="AK20" s="17"/>
      <c r="AL20" s="17"/>
      <c r="AM20" s="17"/>
    </row>
    <row r="21" spans="1:39" ht="15" customHeight="1" x14ac:dyDescent="0.2">
      <c r="A21" s="1103"/>
      <c r="B21" s="1107"/>
      <c r="C21" s="1108"/>
      <c r="D21" s="213">
        <v>2</v>
      </c>
      <c r="E21" s="16"/>
      <c r="F21" s="7"/>
      <c r="G21" s="7"/>
      <c r="H21" s="7"/>
      <c r="I21" s="7"/>
      <c r="J21" s="7"/>
      <c r="K21" s="7"/>
      <c r="L21" s="7"/>
      <c r="M21" s="7"/>
      <c r="N21" s="7"/>
      <c r="O21" s="47" t="str">
        <f>IF(OR(N21="",J15=""),"",N21+J15+('732'!L16-'732'!K16))</f>
        <v/>
      </c>
      <c r="P21" s="140"/>
      <c r="Q21" s="402">
        <f>SUM(E21:N21)</f>
        <v>0</v>
      </c>
      <c r="R21" s="403">
        <f>G15-Q21</f>
        <v>0</v>
      </c>
      <c r="S21" s="1159" t="s">
        <v>29</v>
      </c>
      <c r="T21" s="614" t="s">
        <v>123</v>
      </c>
      <c r="U21" s="604">
        <v>100</v>
      </c>
      <c r="V21" s="604">
        <v>100</v>
      </c>
      <c r="W21" s="604">
        <v>97</v>
      </c>
      <c r="X21" s="604">
        <v>85</v>
      </c>
      <c r="Y21" s="604">
        <v>66</v>
      </c>
      <c r="Z21" s="604">
        <v>43</v>
      </c>
      <c r="AA21" s="604">
        <v>19</v>
      </c>
      <c r="AB21" s="604">
        <v>11</v>
      </c>
      <c r="AC21" s="605">
        <v>6</v>
      </c>
      <c r="AD21" s="638" t="s">
        <v>365</v>
      </c>
      <c r="AF21" s="68"/>
      <c r="AG21" s="671" t="s">
        <v>364</v>
      </c>
      <c r="AH21" s="17"/>
      <c r="AI21" s="17"/>
      <c r="AJ21" s="17"/>
      <c r="AK21" s="17"/>
      <c r="AL21" s="17"/>
      <c r="AM21" s="17"/>
    </row>
    <row r="22" spans="1:39" ht="15" customHeight="1" x14ac:dyDescent="0.2">
      <c r="A22" s="1103"/>
      <c r="B22" s="1109"/>
      <c r="C22" s="1110"/>
      <c r="D22" s="213">
        <v>3</v>
      </c>
      <c r="E22" s="16"/>
      <c r="F22" s="7"/>
      <c r="G22" s="7"/>
      <c r="H22" s="7"/>
      <c r="I22" s="7"/>
      <c r="J22" s="7"/>
      <c r="K22" s="7"/>
      <c r="L22" s="7"/>
      <c r="M22" s="7"/>
      <c r="N22" s="7"/>
      <c r="O22" s="47" t="str">
        <f>IF(OR(N22="",J16=""),"",N22+J16+('732'!L17-'732'!K17))</f>
        <v/>
      </c>
      <c r="P22" s="140"/>
      <c r="Q22" s="402">
        <f>SUM(E22:N22)</f>
        <v>0</v>
      </c>
      <c r="R22" s="403">
        <f>G16-Q22</f>
        <v>0</v>
      </c>
      <c r="S22" s="1158"/>
      <c r="T22" s="613" t="s">
        <v>35</v>
      </c>
      <c r="U22" s="604">
        <v>100</v>
      </c>
      <c r="V22" s="604">
        <v>100</v>
      </c>
      <c r="W22" s="604">
        <v>89</v>
      </c>
      <c r="X22" s="604">
        <v>80</v>
      </c>
      <c r="Y22" s="604">
        <v>58</v>
      </c>
      <c r="Z22" s="604">
        <v>37</v>
      </c>
      <c r="AA22" s="604">
        <v>17</v>
      </c>
      <c r="AB22" s="604">
        <v>10</v>
      </c>
      <c r="AC22" s="605">
        <v>5.6</v>
      </c>
      <c r="AD22" s="638" t="s">
        <v>363</v>
      </c>
      <c r="AF22" s="68"/>
      <c r="AG22" s="671" t="s">
        <v>364</v>
      </c>
      <c r="AH22" s="17"/>
      <c r="AI22" s="17"/>
      <c r="AJ22" s="17"/>
      <c r="AK22" s="17"/>
      <c r="AL22" s="17"/>
      <c r="AM22" s="17"/>
    </row>
    <row r="23" spans="1:39" ht="15" customHeight="1" thickBot="1" x14ac:dyDescent="0.25">
      <c r="A23" s="1104"/>
      <c r="B23" s="1119" t="s">
        <v>8</v>
      </c>
      <c r="C23" s="1120"/>
      <c r="D23" s="1121"/>
      <c r="E23" s="205" t="str">
        <f>IF(E20="","",AVERAGE(E20:E22))</f>
        <v/>
      </c>
      <c r="F23" s="49" t="str">
        <f t="shared" ref="F23:I23" si="1">IF(F20="","",AVERAGE(F20:F22))</f>
        <v/>
      </c>
      <c r="G23" s="49" t="str">
        <f t="shared" si="1"/>
        <v/>
      </c>
      <c r="H23" s="49" t="str">
        <f t="shared" si="1"/>
        <v/>
      </c>
      <c r="I23" s="49" t="str">
        <f t="shared" si="1"/>
        <v/>
      </c>
      <c r="J23" s="49" t="str">
        <f>IF(J20="","",AVERAGE(J20:J22))</f>
        <v/>
      </c>
      <c r="K23" s="49" t="str">
        <f>IF(K20="","",AVERAGE(K20:K22))</f>
        <v/>
      </c>
      <c r="L23" s="49" t="str">
        <f t="shared" ref="L23" si="2">IF(L20="","",AVERAGE(L20:L22))</f>
        <v/>
      </c>
      <c r="M23" s="49" t="str">
        <f>IF(M20="","",AVERAGE(M20:M22))</f>
        <v/>
      </c>
      <c r="N23" s="49" t="str">
        <f>IF(N20="","",AVERAGE(N20:N22))</f>
        <v/>
      </c>
      <c r="O23" s="48" t="str">
        <f>IF(O20="","",AVERAGE(O20:O22))</f>
        <v/>
      </c>
      <c r="P23" s="140"/>
      <c r="Q23" s="404">
        <f>SUM(E23:N23)</f>
        <v>0</v>
      </c>
      <c r="R23" s="405" t="str">
        <f>IF(G17="","",G17-Q23)</f>
        <v/>
      </c>
      <c r="S23" s="1158"/>
      <c r="T23" s="613" t="s">
        <v>341</v>
      </c>
      <c r="U23" s="604">
        <v>100</v>
      </c>
      <c r="V23" s="604">
        <v>99.2</v>
      </c>
      <c r="W23" s="604">
        <v>89.78</v>
      </c>
      <c r="X23" s="604">
        <v>83.51</v>
      </c>
      <c r="Y23" s="604">
        <v>56.83</v>
      </c>
      <c r="Z23" s="604">
        <v>34.76</v>
      </c>
      <c r="AA23" s="604">
        <v>18.829999999999998</v>
      </c>
      <c r="AB23" s="604">
        <v>11.38</v>
      </c>
      <c r="AC23" s="605">
        <v>6.9</v>
      </c>
      <c r="AD23" s="305"/>
      <c r="AF23" s="68"/>
      <c r="AG23" s="68"/>
      <c r="AH23" s="17"/>
      <c r="AI23" s="17"/>
      <c r="AJ23" s="17"/>
      <c r="AK23" s="17"/>
      <c r="AL23" s="17"/>
      <c r="AM23" s="17"/>
    </row>
    <row r="24" spans="1:39" ht="15" customHeight="1" thickTop="1" x14ac:dyDescent="0.2">
      <c r="A24" s="1122" t="s">
        <v>219</v>
      </c>
      <c r="B24" s="1105" t="s">
        <v>25</v>
      </c>
      <c r="C24" s="1106"/>
      <c r="D24" s="214">
        <v>1</v>
      </c>
      <c r="E24" s="50" t="str">
        <f>IF(E20="","",1-(E20/$D$14))</f>
        <v/>
      </c>
      <c r="F24" s="51" t="str">
        <f>IF(E24="","",E24-(F20/$D$14))</f>
        <v/>
      </c>
      <c r="G24" s="51" t="str">
        <f>IF(F24="","",F24-(G20/$D$14))</f>
        <v/>
      </c>
      <c r="H24" s="51" t="str">
        <f>IF(G24="","",G24-(H20/$D$14))</f>
        <v/>
      </c>
      <c r="I24" s="51" t="str">
        <f>IF(H24="","",H24-(I20/$D$14))</f>
        <v/>
      </c>
      <c r="J24" s="51" t="str">
        <f>IF(I24="","",I24-(J20/$D$14))</f>
        <v/>
      </c>
      <c r="K24" s="51" t="str">
        <f>IF(K20="","",J24-(K20/$D$14))</f>
        <v/>
      </c>
      <c r="L24" s="51" t="str">
        <f>IF(OR(L20="",L20=0),"",K24-(L20/$D$14))</f>
        <v/>
      </c>
      <c r="M24" s="206" t="str">
        <f>IF(OR(M20="",M20=0),"",IF($E$8=$T$26,(J24-((M20)/$D$14)),(L24-((M20)/$D$14))))</f>
        <v/>
      </c>
      <c r="N24" s="1125"/>
      <c r="O24" s="1126"/>
      <c r="P24" s="140"/>
      <c r="Q24" s="305"/>
      <c r="R24" s="305"/>
      <c r="S24" s="1158"/>
      <c r="T24" s="613" t="s">
        <v>340</v>
      </c>
      <c r="U24" s="604">
        <v>100</v>
      </c>
      <c r="V24" s="604">
        <v>100</v>
      </c>
      <c r="W24" s="604">
        <v>100</v>
      </c>
      <c r="X24" s="604">
        <v>93.25</v>
      </c>
      <c r="Y24" s="604">
        <v>67.209999999999994</v>
      </c>
      <c r="Z24" s="604">
        <v>45</v>
      </c>
      <c r="AA24" s="604">
        <v>22</v>
      </c>
      <c r="AB24" s="604">
        <v>12</v>
      </c>
      <c r="AC24" s="605">
        <v>6.7</v>
      </c>
      <c r="AD24" s="305"/>
      <c r="AF24" s="68"/>
      <c r="AG24" s="68"/>
      <c r="AH24" s="17"/>
      <c r="AI24" s="17"/>
      <c r="AJ24" s="17"/>
      <c r="AK24" s="17"/>
      <c r="AL24" s="17"/>
      <c r="AM24" s="17"/>
    </row>
    <row r="25" spans="1:39" ht="15" customHeight="1" x14ac:dyDescent="0.2">
      <c r="A25" s="1123"/>
      <c r="B25" s="1107"/>
      <c r="C25" s="1108"/>
      <c r="D25" s="215">
        <v>2</v>
      </c>
      <c r="E25" s="52" t="str">
        <f>IF(E21="","",1-(E21/$D$15))</f>
        <v/>
      </c>
      <c r="F25" s="53" t="str">
        <f t="shared" ref="F25:J25" si="3">IF(E25="","",E25-(F21/$D$15))</f>
        <v/>
      </c>
      <c r="G25" s="53" t="str">
        <f t="shared" si="3"/>
        <v/>
      </c>
      <c r="H25" s="53" t="str">
        <f t="shared" si="3"/>
        <v/>
      </c>
      <c r="I25" s="53" t="str">
        <f t="shared" si="3"/>
        <v/>
      </c>
      <c r="J25" s="53" t="str">
        <f t="shared" si="3"/>
        <v/>
      </c>
      <c r="K25" s="53" t="str">
        <f>IF(K21="","",J25-(K21/$D$15))</f>
        <v/>
      </c>
      <c r="L25" s="53" t="str">
        <f>IF(OR(L21="",L21=0),"",K25-(L21/$D$15))</f>
        <v/>
      </c>
      <c r="M25" s="207" t="str">
        <f>IF(OR(M21="",M21=0),"",IF($E$8=$T$26,(J25-((M21)/$D$14)),(L25-((M21)/$D$14))))</f>
        <v/>
      </c>
      <c r="N25" s="1125"/>
      <c r="O25" s="1126"/>
      <c r="P25" s="140"/>
      <c r="Q25" s="305"/>
      <c r="R25" s="305"/>
      <c r="S25" s="1158"/>
      <c r="T25" s="613" t="s">
        <v>125</v>
      </c>
      <c r="U25" s="604">
        <v>100</v>
      </c>
      <c r="V25" s="604">
        <v>92</v>
      </c>
      <c r="W25" s="604">
        <v>70</v>
      </c>
      <c r="X25" s="604">
        <v>68</v>
      </c>
      <c r="Y25" s="604">
        <v>47</v>
      </c>
      <c r="Z25" s="604">
        <v>31</v>
      </c>
      <c r="AA25" s="604">
        <v>16</v>
      </c>
      <c r="AB25" s="604">
        <v>11</v>
      </c>
      <c r="AC25" s="605">
        <v>5.5</v>
      </c>
      <c r="AD25" s="305"/>
      <c r="AF25" s="68"/>
      <c r="AG25" s="68"/>
      <c r="AH25" s="17"/>
      <c r="AI25" s="17"/>
      <c r="AJ25" s="17"/>
      <c r="AK25" s="17"/>
      <c r="AL25" s="17"/>
      <c r="AM25" s="17"/>
    </row>
    <row r="26" spans="1:39" ht="15" customHeight="1" thickBot="1" x14ac:dyDescent="0.25">
      <c r="A26" s="1123"/>
      <c r="B26" s="1109"/>
      <c r="C26" s="1110"/>
      <c r="D26" s="216">
        <v>3</v>
      </c>
      <c r="E26" s="52" t="str">
        <f>IF(E22="","",1-(E22/$D$16))</f>
        <v/>
      </c>
      <c r="F26" s="53" t="str">
        <f t="shared" ref="F26:J26" si="4">IF(E26="","",E26-(F22/$D$16))</f>
        <v/>
      </c>
      <c r="G26" s="53" t="str">
        <f t="shared" si="4"/>
        <v/>
      </c>
      <c r="H26" s="53" t="str">
        <f t="shared" si="4"/>
        <v/>
      </c>
      <c r="I26" s="53" t="str">
        <f t="shared" si="4"/>
        <v/>
      </c>
      <c r="J26" s="53" t="str">
        <f t="shared" si="4"/>
        <v/>
      </c>
      <c r="K26" s="53" t="str">
        <f>IF(K22="","",J26-(K22/$D$16))</f>
        <v/>
      </c>
      <c r="L26" s="53" t="str">
        <f>IF(OR(L22="",L22=0),"",K26-(L22/$D$16))</f>
        <v/>
      </c>
      <c r="M26" s="207" t="str">
        <f>IF(OR(M22="",M22=0),"",IF($E$8=$T$26,(J26-((M22)/$D$14)),(L26-((M22)/$D$14))))</f>
        <v/>
      </c>
      <c r="N26" s="1125"/>
      <c r="O26" s="1126"/>
      <c r="P26" s="140"/>
      <c r="Q26" s="305"/>
      <c r="R26" s="305"/>
      <c r="S26" s="1161"/>
      <c r="T26" s="615" t="s">
        <v>375</v>
      </c>
      <c r="U26" s="606">
        <v>100</v>
      </c>
      <c r="V26" s="606">
        <v>100</v>
      </c>
      <c r="W26" s="606">
        <v>84</v>
      </c>
      <c r="X26" s="606">
        <v>68</v>
      </c>
      <c r="Y26" s="606">
        <v>37</v>
      </c>
      <c r="Z26" s="606">
        <v>23</v>
      </c>
      <c r="AA26" s="758">
        <v>3</v>
      </c>
      <c r="AB26" s="621" t="s">
        <v>154</v>
      </c>
      <c r="AC26" s="759" t="s">
        <v>154</v>
      </c>
      <c r="AD26" s="638" t="s">
        <v>366</v>
      </c>
      <c r="AE26" s="45"/>
      <c r="AF26" s="45"/>
      <c r="AG26" s="671" t="s">
        <v>364</v>
      </c>
    </row>
    <row r="27" spans="1:39" ht="15" customHeight="1" thickTop="1" x14ac:dyDescent="0.2">
      <c r="A27" s="1124"/>
      <c r="B27" s="1119" t="s">
        <v>8</v>
      </c>
      <c r="C27" s="1120"/>
      <c r="D27" s="1121"/>
      <c r="E27" s="208" t="str">
        <f>IF(E24="","",(AVERAGE(E24:E26)*100))</f>
        <v/>
      </c>
      <c r="F27" s="209" t="str">
        <f t="shared" ref="F27:L27" si="5">IF(F24="","",AVERAGE(F24:F26)*100)</f>
        <v/>
      </c>
      <c r="G27" s="209" t="str">
        <f t="shared" si="5"/>
        <v/>
      </c>
      <c r="H27" s="209" t="str">
        <f t="shared" si="5"/>
        <v/>
      </c>
      <c r="I27" s="209" t="str">
        <f t="shared" si="5"/>
        <v/>
      </c>
      <c r="J27" s="209" t="str">
        <f>IF(J24="","",AVERAGE(J24:J26)*100)</f>
        <v/>
      </c>
      <c r="K27" s="760" t="str">
        <f t="shared" si="5"/>
        <v/>
      </c>
      <c r="L27" s="760" t="str">
        <f t="shared" si="5"/>
        <v/>
      </c>
      <c r="M27" s="210" t="str">
        <f>IF(M24="","",AVERAGE(M24:M26)*100)</f>
        <v/>
      </c>
      <c r="N27" s="1125"/>
      <c r="O27" s="1126"/>
      <c r="P27" s="140"/>
      <c r="Q27" s="305"/>
      <c r="R27" s="305"/>
      <c r="S27" s="1149" t="s">
        <v>329</v>
      </c>
      <c r="T27" s="1150"/>
      <c r="U27" s="1150"/>
      <c r="V27" s="1150"/>
      <c r="W27" s="1150"/>
      <c r="X27" s="1150"/>
      <c r="Y27" s="1150"/>
      <c r="Z27" s="1150"/>
      <c r="AA27" s="1150"/>
      <c r="AB27" s="1151"/>
      <c r="AD27" s="344"/>
      <c r="AE27" s="45"/>
      <c r="AF27" s="45"/>
      <c r="AG27" s="45"/>
    </row>
    <row r="28" spans="1:39" ht="15" customHeight="1" x14ac:dyDescent="0.2">
      <c r="A28" s="1129" t="str">
        <f>+IF(E8="","",IF(E8=T6,R16,R15))</f>
        <v/>
      </c>
      <c r="B28" s="1130"/>
      <c r="C28" s="1133" t="s">
        <v>223</v>
      </c>
      <c r="D28" s="1133"/>
      <c r="E28" s="211" t="str">
        <f t="shared" ref="E28:J28" si="6">IF($E$8="","",VLOOKUP($E$8,$T$9:$AC$14,U8,0))</f>
        <v/>
      </c>
      <c r="F28" s="87" t="str">
        <f t="shared" si="6"/>
        <v/>
      </c>
      <c r="G28" s="87" t="str">
        <f t="shared" si="6"/>
        <v/>
      </c>
      <c r="H28" s="87" t="str">
        <f t="shared" si="6"/>
        <v/>
      </c>
      <c r="I28" s="87" t="str">
        <f t="shared" si="6"/>
        <v/>
      </c>
      <c r="J28" s="87" t="str">
        <f t="shared" si="6"/>
        <v/>
      </c>
      <c r="K28" s="761" t="str">
        <f>IF(OR($E$8="",K18="--"),"",VLOOKUP($E$8,$T$9:$AC$14,AA8,0))</f>
        <v/>
      </c>
      <c r="L28" s="761" t="str">
        <f>IF(OR($E$8="",$E$8=$T$6),"",VLOOKUP($E$8,$T$9:$AC$14,AB8,0))</f>
        <v/>
      </c>
      <c r="M28" s="259" t="str">
        <f>IF(OR($E$8="",$E$8=$T$6),"",VLOOKUP($E$8,$T$9:$AC$14,AC8,0))</f>
        <v/>
      </c>
      <c r="N28" s="1125"/>
      <c r="O28" s="1126"/>
      <c r="P28" s="140" t="str">
        <f>IF(A28="","",CONCATENATE(A28," ",C28))</f>
        <v/>
      </c>
      <c r="Q28" s="305"/>
      <c r="R28" s="305"/>
      <c r="S28" s="582" t="s">
        <v>0</v>
      </c>
      <c r="T28" s="506" t="s">
        <v>1</v>
      </c>
      <c r="U28" s="399" t="s">
        <v>4</v>
      </c>
      <c r="V28" s="399" t="s">
        <v>2</v>
      </c>
      <c r="W28" s="399" t="s">
        <v>10</v>
      </c>
      <c r="X28" s="511" t="str">
        <f>+IF($D$8=$T$6,Z6,Z4)</f>
        <v>N° 10</v>
      </c>
      <c r="Y28" s="511" t="str">
        <f>+IF($D$8=$T$6,AA6,AA4)</f>
        <v>N° 40</v>
      </c>
      <c r="Z28" s="511" t="str">
        <f>+IF($D$8=$T$6,"",AB4)</f>
        <v>N° 80</v>
      </c>
      <c r="AA28" s="511" t="str">
        <f>+IF($D$8=$T$6,"",AC4)</f>
        <v>N° 200</v>
      </c>
      <c r="AB28" s="583"/>
      <c r="AD28" s="406"/>
      <c r="AE28" s="57"/>
      <c r="AF28" s="45"/>
      <c r="AG28" s="45"/>
    </row>
    <row r="29" spans="1:39" ht="15" customHeight="1" thickBot="1" x14ac:dyDescent="0.25">
      <c r="A29" s="1131"/>
      <c r="B29" s="1132"/>
      <c r="C29" s="1114" t="s">
        <v>224</v>
      </c>
      <c r="D29" s="1114"/>
      <c r="E29" s="83" t="str">
        <f>IF(E8="","",VLOOKUP(E8,$T$15:$AC$20,U8,0))</f>
        <v/>
      </c>
      <c r="F29" s="84" t="str">
        <f>IF($E$8="","",VLOOKUP($E$8,$T$15:$AC$20,V8,0))</f>
        <v/>
      </c>
      <c r="G29" s="84" t="str">
        <f>IF($E$8="","",VLOOKUP($E$8,$T$15:$AC$20,W8,0))</f>
        <v/>
      </c>
      <c r="H29" s="84" t="str">
        <f>IF($E$8="","",VLOOKUP($E$8,$T$15:$AC$20,X8,0))</f>
        <v/>
      </c>
      <c r="I29" s="84" t="str">
        <f>IF($E$8="","",VLOOKUP($E$8,$T$15:$AC$20,Y8,0))</f>
        <v/>
      </c>
      <c r="J29" s="84" t="str">
        <f>IF($E$8="","",VLOOKUP($E$8,$T$15:$AC$20,Z8,0))</f>
        <v/>
      </c>
      <c r="K29" s="49" t="str">
        <f>IF(OR($E$8="",K18="--"),"",VLOOKUP($E$8,$T$15:$AC$20,AA8,0))</f>
        <v/>
      </c>
      <c r="L29" s="49" t="str">
        <f>IF(OR($E$8="",$E$8=$T$6),"",VLOOKUP($E$8,$T$15:$AC$20,AB8,0))</f>
        <v/>
      </c>
      <c r="M29" s="48" t="str">
        <f>IF(OR($E$8="",$E$8=$T$6),"",VLOOKUP($E$8,$T$15:$AC$20,AC8,0))</f>
        <v/>
      </c>
      <c r="N29" s="1125"/>
      <c r="O29" s="1126"/>
      <c r="P29" s="140" t="str">
        <f>IF(A28="","",CONCATENATE(A28," ",C29))</f>
        <v/>
      </c>
      <c r="Q29" s="305"/>
      <c r="R29" s="305"/>
      <c r="S29" s="579">
        <v>25</v>
      </c>
      <c r="T29" s="580">
        <v>19</v>
      </c>
      <c r="U29" s="580">
        <v>12.5</v>
      </c>
      <c r="V29" s="580">
        <v>9.5</v>
      </c>
      <c r="W29" s="580">
        <v>4.75</v>
      </c>
      <c r="X29" s="574">
        <f>+IF($E$8=$T$6,Z7,Z5)</f>
        <v>2</v>
      </c>
      <c r="Y29" s="753">
        <f>+IF($E$8=$T$6,AA7,AA5)</f>
        <v>0.42499999999999999</v>
      </c>
      <c r="Z29" s="753">
        <f>+IF($E$8=$T$6,AB7,AB5)</f>
        <v>0.18</v>
      </c>
      <c r="AA29" s="753">
        <f>+IF($E$8=$T$6,AC7,AC5)</f>
        <v>7.4999999999999997E-2</v>
      </c>
      <c r="AB29" s="575"/>
      <c r="AD29" s="406"/>
      <c r="AE29" s="57"/>
      <c r="AF29" s="45"/>
      <c r="AG29" s="45"/>
    </row>
    <row r="30" spans="1:39" ht="15" customHeight="1" thickTop="1" x14ac:dyDescent="0.2">
      <c r="A30" s="1129" t="s">
        <v>23</v>
      </c>
      <c r="B30" s="1130"/>
      <c r="C30" s="1090" t="s">
        <v>29</v>
      </c>
      <c r="D30" s="1090"/>
      <c r="E30" s="211" t="str">
        <f>IF(E8="","",VLOOKUP(E8,$T$21:$AC$26,U8,0))</f>
        <v/>
      </c>
      <c r="F30" s="87" t="str">
        <f>IF(E8="","",VLOOKUP(E8,$T$21:$AC$33,V8,0))</f>
        <v/>
      </c>
      <c r="G30" s="87" t="str">
        <f>IF(E8="","",VLOOKUP(E8,$T$21:$AC$33,W8,0))</f>
        <v/>
      </c>
      <c r="H30" s="87" t="str">
        <f>IF(E8="","",VLOOKUP(E8,$T$21:$AC$33,X8,0))</f>
        <v/>
      </c>
      <c r="I30" s="87" t="str">
        <f>IF(E8="","",VLOOKUP(E8,$T$21:$AC$33,Y8,0))</f>
        <v/>
      </c>
      <c r="J30" s="87" t="str">
        <f>IF(E8="","",VLOOKUP(E8,$T$21:$AC$33,Z8,0))</f>
        <v/>
      </c>
      <c r="K30" s="761" t="str">
        <f>IF(OR($E$8="",K18="--"),"",VLOOKUP(E8,$T$21:$AC$33,AA8,0))</f>
        <v/>
      </c>
      <c r="L30" s="761" t="str">
        <f>IF(OR($E$8="",$E$8=$T$6),"",VLOOKUP(E8,$T$21:$AC$33,AB8,0))</f>
        <v/>
      </c>
      <c r="M30" s="259" t="str">
        <f>IF(OR($E$8="",$E$8=$T$6),"",VLOOKUP(E8,$T$21:$AC$33,AC8,0))</f>
        <v/>
      </c>
      <c r="N30" s="1125"/>
      <c r="O30" s="1126"/>
      <c r="P30" s="140" t="s">
        <v>46</v>
      </c>
      <c r="S30" s="646" t="str">
        <f>+E27</f>
        <v/>
      </c>
      <c r="T30" s="646" t="str">
        <f t="shared" ref="T30:X30" si="7">+F27</f>
        <v/>
      </c>
      <c r="U30" s="646" t="str">
        <f t="shared" si="7"/>
        <v/>
      </c>
      <c r="V30" s="646" t="str">
        <f t="shared" si="7"/>
        <v/>
      </c>
      <c r="W30" s="646" t="str">
        <f t="shared" si="7"/>
        <v/>
      </c>
      <c r="X30" s="646" t="str">
        <f t="shared" si="7"/>
        <v/>
      </c>
      <c r="Y30" s="754" t="str">
        <f>+IF($E$8=$T$6,K27,K27)</f>
        <v/>
      </c>
      <c r="Z30" s="755" t="str">
        <f>+IF(E8=T6,"",L27)</f>
        <v/>
      </c>
      <c r="AA30" s="755" t="str">
        <f>+IF(E8=T6,"",M27)</f>
        <v/>
      </c>
      <c r="AD30" s="57"/>
      <c r="AE30" s="57"/>
      <c r="AF30" s="45"/>
      <c r="AG30" s="45"/>
    </row>
    <row r="31" spans="1:39" ht="15" customHeight="1" x14ac:dyDescent="0.2">
      <c r="A31" s="1134"/>
      <c r="B31" s="1135"/>
      <c r="C31" s="1091" t="s">
        <v>223</v>
      </c>
      <c r="D31" s="1091"/>
      <c r="E31" s="55" t="str">
        <f>IF($E$8="","",(IF(OR(E30&lt;=E28,E30-4&lt;=E28),E28,(E30-4))))</f>
        <v/>
      </c>
      <c r="F31" s="54" t="str">
        <f>IF($E$8="","",(IF(OR(F30&lt;=F28,F30-4&lt;=F28),F28,(F30-4))))</f>
        <v/>
      </c>
      <c r="G31" s="54" t="str">
        <f>IF($E$8="","",(IF(OR(G30&lt;=G28,G30-4&lt;=G28),G28,(G30-4))))</f>
        <v/>
      </c>
      <c r="H31" s="54" t="str">
        <f>IF($E$8="","",(IF(OR(H30&lt;=H28,H30-4&lt;=H28),H28,(H30-4))))</f>
        <v/>
      </c>
      <c r="I31" s="54" t="str">
        <f>IF($E$8="","",(IF(OR(I30&lt;=I28,I30-4&lt;=I28),I28,(I30-4))))</f>
        <v/>
      </c>
      <c r="J31" s="54" t="str">
        <f>IF($E$8="","",(IF(OR(J30&lt;=J28,J30-3&lt;=J28),J28,(J30-3))))</f>
        <v/>
      </c>
      <c r="K31" s="292" t="str">
        <f>IF(OR($E$8="",K18="--"),"",(IF(OR(K30&lt;=K28,K30-3&lt;=K28),K28,(K30-3))))</f>
        <v/>
      </c>
      <c r="L31" s="292" t="str">
        <f>IF(OR($E$8="",L30=""),"",(IF(OR(L30&lt;=L28,L30-3&lt;=L28),L28,(L30-3))))</f>
        <v/>
      </c>
      <c r="M31" s="88" t="str">
        <f>IF(OR($E$8="",M30=""),"",(IF(OR(M30&lt;=M28,M30-1&lt;=M28),M28,(M30-1))))</f>
        <v/>
      </c>
      <c r="N31" s="1125"/>
      <c r="O31" s="1126"/>
      <c r="P31" s="140" t="str">
        <f>CONCATENATE(P30," ",C31)</f>
        <v>FT % Pasa mín</v>
      </c>
      <c r="S31" s="1100" t="s">
        <v>331</v>
      </c>
      <c r="T31" s="622">
        <f>+Z7</f>
        <v>2.36</v>
      </c>
      <c r="U31" s="623">
        <f>+T31</f>
        <v>2.36</v>
      </c>
      <c r="AD31" s="57"/>
      <c r="AE31" s="57"/>
      <c r="AF31" s="45"/>
      <c r="AG31" s="45"/>
    </row>
    <row r="32" spans="1:39" ht="15" customHeight="1" x14ac:dyDescent="0.2">
      <c r="A32" s="1131"/>
      <c r="B32" s="1132"/>
      <c r="C32" s="1114" t="s">
        <v>224</v>
      </c>
      <c r="D32" s="1115"/>
      <c r="E32" s="83" t="str">
        <f>IF($E$8="","",(IF(AND(E30&gt;=E29,E30+4&gt;=E29),E29,(E30+4))))</f>
        <v/>
      </c>
      <c r="F32" s="84" t="str">
        <f>IF($E$8="","",(IF(OR(F30&gt;=F29,F30+4&gt;=F29),F29,(F30+4))))</f>
        <v/>
      </c>
      <c r="G32" s="84" t="str">
        <f>IF($E$8="","",(IF(OR(G30&gt;=G29,G30+4&gt;=G29),G29,(G30+4))))</f>
        <v/>
      </c>
      <c r="H32" s="84" t="str">
        <f>IF($E$8="","",(IF(OR(H30&gt;=H29,H30+4&gt;=H29),H29,(H30+4))))</f>
        <v/>
      </c>
      <c r="I32" s="84" t="str">
        <f>IF($E$8="","",(IF(OR(I30&gt;=I29,I30+4&gt;=I29),I29,(I30+4))))</f>
        <v/>
      </c>
      <c r="J32" s="84" t="str">
        <f>IF($E$8="","",(IF(OR(J30&gt;=J29,J30+3&gt;=J29),J29,(J30+3))))</f>
        <v/>
      </c>
      <c r="K32" s="49" t="str">
        <f>IF(OR($E$8="",K18="--"),"",(IF(OR(K30&gt;=K29,K30+3&gt;=K29),K29,(K30+3))))</f>
        <v/>
      </c>
      <c r="L32" s="49" t="str">
        <f>IF(OR($E$8="",L30=""),"",(IF(OR(L30&gt;=L29,L30+3&gt;=L29),L29,(L30+3))))</f>
        <v/>
      </c>
      <c r="M32" s="48" t="str">
        <f>IF(OR($E$8="",$E$8=$T$6),"",(IF(OR(M30&gt;=M29,M30+1&gt;=M29),M29,(M30+1))))</f>
        <v/>
      </c>
      <c r="N32" s="1127"/>
      <c r="O32" s="1128"/>
      <c r="P32" s="140" t="str">
        <f>CONCATENATE(P30," ",C32)</f>
        <v>FT % Pasa máx</v>
      </c>
      <c r="S32" s="1101"/>
      <c r="T32" s="690" cm="1">
        <f t="array" ref="T32:U32">{100,0}</f>
        <v>100</v>
      </c>
      <c r="U32" s="624">
        <v>0</v>
      </c>
      <c r="V32" s="584"/>
      <c r="W32" s="291"/>
      <c r="X32" s="291"/>
      <c r="Y32" s="291"/>
      <c r="Z32" s="291"/>
      <c r="AC32" s="585"/>
      <c r="AD32" s="57"/>
      <c r="AE32" s="57"/>
      <c r="AF32" s="45"/>
      <c r="AG32" s="45"/>
    </row>
    <row r="33" spans="1:39" ht="9.9499999999999993" customHeight="1" x14ac:dyDescent="0.2">
      <c r="A33" s="86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69"/>
      <c r="P33" s="129"/>
      <c r="S33" s="528"/>
      <c r="T33" s="576"/>
      <c r="U33" s="586"/>
      <c r="V33" s="291"/>
      <c r="W33" s="291"/>
      <c r="X33" s="291"/>
      <c r="Y33" s="291"/>
      <c r="Z33" s="291"/>
      <c r="AC33" s="585"/>
      <c r="AD33" s="57"/>
      <c r="AE33" s="57"/>
      <c r="AF33" s="45"/>
      <c r="AG33" s="45"/>
    </row>
    <row r="34" spans="1:39" ht="9.9499999999999993" customHeight="1" x14ac:dyDescent="0.2">
      <c r="A34" s="86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69"/>
      <c r="P34" s="219"/>
      <c r="S34" s="528"/>
      <c r="AD34" s="57"/>
      <c r="AE34" s="57"/>
      <c r="AF34" s="45"/>
      <c r="AG34" s="45"/>
    </row>
    <row r="35" spans="1:39" ht="9.9499999999999993" customHeight="1" x14ac:dyDescent="0.2">
      <c r="A35" s="86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69"/>
      <c r="P35" s="115"/>
      <c r="S35" s="45"/>
      <c r="T35" s="45"/>
      <c r="V35" s="54"/>
      <c r="W35" s="54"/>
      <c r="X35" s="54"/>
      <c r="Y35" s="54"/>
      <c r="Z35" s="54"/>
      <c r="AA35" s="57"/>
      <c r="AB35" s="57"/>
      <c r="AC35" s="57"/>
      <c r="AD35" s="57"/>
      <c r="AE35" s="120"/>
      <c r="AF35" s="45"/>
      <c r="AG35" s="45"/>
    </row>
    <row r="36" spans="1:39" ht="9.9499999999999993" customHeight="1" x14ac:dyDescent="0.2">
      <c r="A36" s="86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69"/>
      <c r="P36" s="115"/>
      <c r="S36" s="45"/>
      <c r="T36" s="117"/>
      <c r="U36" s="118"/>
      <c r="V36" s="117"/>
      <c r="W36" s="45"/>
      <c r="X36" s="45"/>
      <c r="Y36" s="45"/>
      <c r="Z36" s="45"/>
      <c r="AA36" s="2"/>
      <c r="AB36" s="57"/>
      <c r="AC36" s="121"/>
      <c r="AD36" s="121"/>
      <c r="AE36" s="120"/>
      <c r="AF36" s="57"/>
      <c r="AG36" s="57"/>
      <c r="AH36" s="18"/>
      <c r="AI36" s="18"/>
      <c r="AJ36" s="18"/>
      <c r="AK36" s="18"/>
      <c r="AL36" s="18"/>
      <c r="AM36" s="18"/>
    </row>
    <row r="37" spans="1:39" ht="9.9499999999999993" customHeight="1" x14ac:dyDescent="0.2">
      <c r="A37" s="86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69"/>
      <c r="P37" s="115"/>
      <c r="S37" s="45"/>
      <c r="T37" s="117"/>
      <c r="U37" s="118"/>
      <c r="V37" s="117"/>
      <c r="W37" s="45"/>
      <c r="X37" s="45"/>
      <c r="Y37" s="45"/>
      <c r="Z37" s="45"/>
      <c r="AA37" s="2"/>
      <c r="AB37" s="57"/>
      <c r="AC37" s="121"/>
      <c r="AD37" s="121"/>
      <c r="AE37" s="57"/>
      <c r="AF37" s="57"/>
      <c r="AG37" s="57"/>
      <c r="AH37" s="18"/>
      <c r="AI37" s="18"/>
      <c r="AJ37" s="18"/>
      <c r="AK37" s="18"/>
      <c r="AL37" s="18"/>
      <c r="AM37" s="18"/>
    </row>
    <row r="38" spans="1:39" ht="9.9499999999999993" customHeight="1" x14ac:dyDescent="0.2">
      <c r="A38" s="86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69"/>
      <c r="P38" s="218"/>
      <c r="AD38" s="57"/>
      <c r="AE38" s="57"/>
      <c r="AF38" s="57"/>
      <c r="AG38" s="57"/>
      <c r="AH38" s="18"/>
      <c r="AI38" s="18"/>
      <c r="AJ38" s="18"/>
      <c r="AK38" s="18"/>
      <c r="AL38" s="18"/>
      <c r="AM38" s="18"/>
    </row>
    <row r="39" spans="1:39" ht="9.9499999999999993" customHeight="1" x14ac:dyDescent="0.2">
      <c r="A39" s="86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69"/>
      <c r="P39" s="56"/>
      <c r="AD39" s="57"/>
      <c r="AE39" s="57"/>
      <c r="AF39" s="57"/>
      <c r="AG39" s="57"/>
      <c r="AH39" s="18"/>
      <c r="AI39" s="18"/>
      <c r="AJ39" s="18"/>
      <c r="AK39" s="18"/>
      <c r="AL39" s="18"/>
      <c r="AM39" s="18"/>
    </row>
    <row r="40" spans="1:39" ht="9.9499999999999993" customHeight="1" x14ac:dyDescent="0.2">
      <c r="A40" s="86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69"/>
      <c r="P40" s="103"/>
      <c r="AD40" s="57"/>
      <c r="AE40" s="57"/>
      <c r="AF40" s="57"/>
      <c r="AG40" s="57"/>
      <c r="AH40" s="18"/>
      <c r="AI40" s="18"/>
      <c r="AJ40" s="18"/>
      <c r="AK40" s="18"/>
      <c r="AL40" s="18"/>
      <c r="AM40" s="18"/>
    </row>
    <row r="41" spans="1:39" ht="9.9499999999999993" customHeight="1" x14ac:dyDescent="0.2">
      <c r="A41" s="86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69"/>
      <c r="P41" s="197"/>
      <c r="AD41" s="57"/>
      <c r="AE41" s="57"/>
      <c r="AF41" s="57"/>
      <c r="AG41" s="57"/>
      <c r="AH41" s="18"/>
      <c r="AI41" s="18"/>
      <c r="AJ41" s="18"/>
      <c r="AK41" s="18"/>
      <c r="AL41" s="18"/>
      <c r="AM41" s="18"/>
    </row>
    <row r="42" spans="1:39" ht="9.9499999999999993" customHeight="1" x14ac:dyDescent="0.2">
      <c r="A42" s="86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69"/>
      <c r="P42" s="105"/>
      <c r="S42" s="45"/>
      <c r="AA42" s="291"/>
      <c r="AB42" s="291"/>
      <c r="AC42" s="291"/>
      <c r="AD42" s="1145"/>
      <c r="AE42" s="1146"/>
      <c r="AF42" s="57"/>
      <c r="AG42" s="57"/>
      <c r="AH42" s="18"/>
      <c r="AI42" s="18"/>
      <c r="AJ42" s="18"/>
      <c r="AK42" s="18"/>
      <c r="AL42" s="18"/>
      <c r="AM42" s="18"/>
    </row>
    <row r="43" spans="1:39" ht="9.9499999999999993" customHeight="1" x14ac:dyDescent="0.2">
      <c r="A43" s="86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69"/>
      <c r="P43" s="104"/>
      <c r="AD43" s="1145"/>
      <c r="AE43" s="1146"/>
      <c r="AF43" s="57"/>
      <c r="AG43" s="57"/>
      <c r="AH43" s="18"/>
      <c r="AI43" s="18"/>
      <c r="AJ43" s="18"/>
      <c r="AK43" s="18"/>
      <c r="AL43" s="18"/>
      <c r="AM43" s="18"/>
    </row>
    <row r="44" spans="1:39" ht="9.9499999999999993" customHeight="1" x14ac:dyDescent="0.2">
      <c r="A44" s="86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69"/>
      <c r="P44" s="104"/>
      <c r="S44" s="1147"/>
      <c r="AA44" s="54"/>
      <c r="AB44" s="54"/>
      <c r="AC44" s="54"/>
      <c r="AD44" s="68"/>
      <c r="AE44" s="68"/>
      <c r="AF44" s="57"/>
      <c r="AG44" s="57"/>
      <c r="AH44" s="18"/>
      <c r="AI44" s="18"/>
      <c r="AJ44" s="18"/>
      <c r="AK44" s="18"/>
      <c r="AL44" s="18"/>
      <c r="AM44" s="18"/>
    </row>
    <row r="45" spans="1:39" ht="9.9499999999999993" customHeight="1" x14ac:dyDescent="0.2">
      <c r="A45" s="86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69"/>
      <c r="P45" s="225"/>
      <c r="S45" s="1147"/>
      <c r="T45" s="45"/>
      <c r="U45" s="54"/>
      <c r="V45" s="54"/>
      <c r="W45" s="54"/>
      <c r="X45" s="54"/>
      <c r="Y45" s="54"/>
      <c r="Z45" s="54"/>
      <c r="AA45" s="54"/>
      <c r="AB45" s="54"/>
      <c r="AC45" s="54"/>
      <c r="AD45" s="68"/>
      <c r="AE45" s="45"/>
      <c r="AF45" s="57"/>
      <c r="AG45" s="57"/>
      <c r="AH45" s="18"/>
      <c r="AI45" s="18"/>
      <c r="AJ45" s="18"/>
      <c r="AK45" s="18"/>
      <c r="AL45" s="18"/>
      <c r="AM45" s="18"/>
    </row>
    <row r="46" spans="1:39" ht="9.9499999999999993" customHeight="1" x14ac:dyDescent="0.2">
      <c r="A46" s="86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69"/>
      <c r="P46" s="225"/>
      <c r="S46" s="1147"/>
      <c r="T46" s="45"/>
      <c r="U46" s="54"/>
      <c r="V46" s="54"/>
      <c r="W46" s="54"/>
      <c r="X46" s="54"/>
      <c r="Y46" s="54"/>
      <c r="Z46" s="54"/>
      <c r="AA46" s="54"/>
      <c r="AB46" s="54"/>
      <c r="AC46" s="54"/>
      <c r="AD46" s="68"/>
      <c r="AE46" s="45"/>
      <c r="AF46" s="57"/>
      <c r="AG46" s="57"/>
      <c r="AH46" s="18"/>
      <c r="AI46" s="18"/>
      <c r="AJ46" s="18"/>
      <c r="AK46" s="18"/>
      <c r="AL46" s="18"/>
      <c r="AM46" s="18"/>
    </row>
    <row r="47" spans="1:39" ht="9.9499999999999993" customHeight="1" x14ac:dyDescent="0.2">
      <c r="A47" s="86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69"/>
      <c r="P47" s="224"/>
      <c r="S47" s="581"/>
      <c r="AD47" s="45"/>
      <c r="AE47" s="45"/>
      <c r="AF47" s="57"/>
      <c r="AG47" s="57"/>
      <c r="AH47" s="18"/>
      <c r="AI47" s="18"/>
      <c r="AJ47" s="18"/>
      <c r="AK47" s="18"/>
      <c r="AL47" s="18"/>
      <c r="AM47" s="18"/>
    </row>
    <row r="48" spans="1:39" ht="9.9499999999999993" customHeight="1" x14ac:dyDescent="0.2">
      <c r="A48" s="86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69"/>
      <c r="P48" s="224"/>
      <c r="S48" s="581"/>
      <c r="AD48" s="45"/>
      <c r="AE48" s="45"/>
      <c r="AF48" s="57"/>
      <c r="AG48" s="57"/>
      <c r="AH48" s="18"/>
      <c r="AI48" s="18"/>
      <c r="AJ48" s="18"/>
      <c r="AK48" s="18"/>
      <c r="AL48" s="18"/>
      <c r="AM48" s="18"/>
    </row>
    <row r="49" spans="1:39" ht="9.9499999999999993" customHeight="1" x14ac:dyDescent="0.2">
      <c r="A49" s="1116"/>
      <c r="B49" s="1117"/>
      <c r="C49" s="1117"/>
      <c r="D49" s="1117"/>
      <c r="E49" s="1117"/>
      <c r="F49" s="1117"/>
      <c r="G49" s="1117"/>
      <c r="H49" s="1117"/>
      <c r="I49" s="1117"/>
      <c r="J49" s="1117"/>
      <c r="K49" s="1117"/>
      <c r="L49" s="1117"/>
      <c r="M49" s="1117"/>
      <c r="N49" s="1117"/>
      <c r="O49" s="1118"/>
      <c r="P49" s="224"/>
      <c r="S49" s="581"/>
      <c r="AD49" s="45"/>
      <c r="AE49" s="45"/>
      <c r="AF49" s="57"/>
      <c r="AG49" s="57"/>
      <c r="AH49" s="18"/>
      <c r="AI49" s="18"/>
      <c r="AJ49" s="18"/>
      <c r="AK49" s="18"/>
      <c r="AL49" s="18"/>
      <c r="AM49" s="18"/>
    </row>
    <row r="50" spans="1:39" ht="9.9499999999999993" customHeight="1" x14ac:dyDescent="0.2">
      <c r="A50" s="1092" t="s">
        <v>105</v>
      </c>
      <c r="B50" s="1093"/>
      <c r="C50" s="1093"/>
      <c r="D50" s="1093"/>
      <c r="E50" s="1093"/>
      <c r="F50" s="1093"/>
      <c r="G50" s="1093"/>
      <c r="H50" s="1093"/>
      <c r="I50" s="1093"/>
      <c r="J50" s="1093"/>
      <c r="K50" s="1093"/>
      <c r="L50" s="1093"/>
      <c r="M50" s="1093"/>
      <c r="N50" s="1093"/>
      <c r="O50" s="1094"/>
      <c r="P50" s="106"/>
      <c r="S50" s="1148"/>
      <c r="T50" s="576"/>
      <c r="U50" s="54"/>
      <c r="V50" s="54"/>
      <c r="W50" s="54"/>
      <c r="X50" s="54"/>
      <c r="Y50" s="54"/>
      <c r="Z50" s="54"/>
      <c r="AA50" s="54"/>
      <c r="AB50" s="54"/>
      <c r="AC50" s="292"/>
      <c r="AD50" s="45"/>
      <c r="AE50" s="45"/>
      <c r="AF50" s="57"/>
      <c r="AG50" s="57"/>
      <c r="AH50" s="18"/>
      <c r="AI50" s="18"/>
      <c r="AJ50" s="18"/>
      <c r="AK50" s="18"/>
      <c r="AL50" s="18"/>
      <c r="AM50" s="18"/>
    </row>
    <row r="51" spans="1:39" ht="12.75" customHeight="1" x14ac:dyDescent="0.2">
      <c r="A51" s="132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133"/>
      <c r="P51" s="223"/>
      <c r="S51" s="1148"/>
      <c r="T51" s="45"/>
      <c r="U51" s="54"/>
      <c r="V51" s="54"/>
      <c r="W51" s="54"/>
      <c r="X51" s="54"/>
      <c r="Y51" s="54"/>
      <c r="Z51" s="54"/>
      <c r="AA51" s="54"/>
      <c r="AB51" s="54"/>
      <c r="AC51" s="292"/>
      <c r="AD51" s="45"/>
      <c r="AE51" s="45"/>
      <c r="AF51" s="57"/>
      <c r="AG51" s="57"/>
      <c r="AH51" s="18"/>
      <c r="AI51" s="18"/>
      <c r="AJ51" s="18"/>
      <c r="AK51" s="18"/>
      <c r="AL51" s="18"/>
      <c r="AM51" s="18"/>
    </row>
    <row r="52" spans="1:39" ht="12.75" customHeight="1" x14ac:dyDescent="0.2">
      <c r="A52" s="978" t="s">
        <v>3</v>
      </c>
      <c r="B52" s="979"/>
      <c r="C52" s="1030"/>
      <c r="D52" s="1030"/>
      <c r="E52" s="1030"/>
      <c r="F52" s="1030"/>
      <c r="G52" s="1030"/>
      <c r="H52" s="1030"/>
      <c r="I52" s="1030"/>
      <c r="J52" s="1030"/>
      <c r="K52" s="1030"/>
      <c r="L52" s="1030"/>
      <c r="M52" s="1030"/>
      <c r="N52" s="1030"/>
      <c r="O52" s="1031"/>
      <c r="P52" s="107"/>
      <c r="S52" s="1148"/>
      <c r="T52" s="45"/>
      <c r="U52" s="54"/>
      <c r="V52" s="54"/>
      <c r="W52" s="54"/>
      <c r="X52" s="54"/>
      <c r="Y52" s="54"/>
      <c r="Z52" s="54"/>
      <c r="AA52" s="54"/>
      <c r="AB52" s="54"/>
      <c r="AC52" s="292"/>
      <c r="AD52" s="45"/>
      <c r="AE52" s="45"/>
      <c r="AF52" s="57"/>
      <c r="AG52" s="57"/>
      <c r="AH52" s="18"/>
      <c r="AI52" s="18"/>
      <c r="AJ52" s="18"/>
      <c r="AK52" s="18"/>
      <c r="AL52" s="18"/>
      <c r="AM52" s="18"/>
    </row>
    <row r="53" spans="1:39" ht="8.25" customHeight="1" x14ac:dyDescent="0.2">
      <c r="A53" s="1111"/>
      <c r="B53" s="1112"/>
      <c r="C53" s="1112"/>
      <c r="D53" s="1112"/>
      <c r="E53" s="1112"/>
      <c r="F53" s="1112"/>
      <c r="G53" s="1112"/>
      <c r="H53" s="1112"/>
      <c r="I53" s="1112"/>
      <c r="J53" s="1112"/>
      <c r="K53" s="1112"/>
      <c r="L53" s="1112"/>
      <c r="M53" s="1112"/>
      <c r="N53" s="1112"/>
      <c r="O53" s="1113"/>
      <c r="P53" s="107"/>
      <c r="S53" s="224"/>
      <c r="T53" s="2"/>
      <c r="U53" s="122"/>
      <c r="V53" s="123"/>
      <c r="W53" s="3"/>
      <c r="X53" s="4"/>
      <c r="Y53" s="4"/>
      <c r="Z53" s="125"/>
      <c r="AA53" s="2"/>
      <c r="AF53" s="57"/>
      <c r="AG53" s="57"/>
      <c r="AH53" s="18"/>
      <c r="AI53" s="18"/>
      <c r="AJ53" s="18"/>
      <c r="AK53" s="18"/>
      <c r="AL53" s="18"/>
      <c r="AM53" s="18"/>
    </row>
    <row r="54" spans="1:39" ht="12.75" customHeight="1" x14ac:dyDescent="0.2">
      <c r="A54" s="1086" t="s">
        <v>251</v>
      </c>
      <c r="B54" s="1087"/>
      <c r="C54" s="1087"/>
      <c r="D54" s="1087"/>
      <c r="E54" s="1087"/>
      <c r="F54" s="1087"/>
      <c r="G54" s="1087"/>
      <c r="H54" s="1096"/>
      <c r="I54" s="1086" t="s">
        <v>9</v>
      </c>
      <c r="J54" s="1087"/>
      <c r="K54" s="1087"/>
      <c r="L54" s="1087"/>
      <c r="M54" s="1087"/>
      <c r="N54" s="1087"/>
      <c r="O54" s="1088"/>
      <c r="P54" s="107"/>
      <c r="S54" s="224"/>
      <c r="T54" s="2"/>
      <c r="U54" s="122"/>
      <c r="V54" s="123"/>
      <c r="W54" s="3"/>
      <c r="X54" s="4"/>
      <c r="Y54" s="4"/>
      <c r="Z54" s="125"/>
      <c r="AA54" s="2"/>
      <c r="AF54" s="57"/>
      <c r="AG54" s="57"/>
      <c r="AH54" s="18"/>
      <c r="AI54" s="18"/>
      <c r="AJ54" s="18"/>
      <c r="AK54" s="18"/>
      <c r="AL54" s="18"/>
      <c r="AM54" s="18"/>
    </row>
    <row r="55" spans="1:39" ht="42" customHeight="1" x14ac:dyDescent="0.2">
      <c r="A55" s="1053"/>
      <c r="B55" s="996"/>
      <c r="C55" s="996"/>
      <c r="D55" s="996"/>
      <c r="E55" s="996"/>
      <c r="F55" s="996"/>
      <c r="G55" s="996"/>
      <c r="H55" s="1097"/>
      <c r="I55" s="1053"/>
      <c r="J55" s="996"/>
      <c r="K55" s="996"/>
      <c r="L55" s="996"/>
      <c r="M55" s="996"/>
      <c r="N55" s="996"/>
      <c r="O55" s="997"/>
      <c r="P55" s="129"/>
      <c r="S55" s="224"/>
      <c r="T55" s="2"/>
      <c r="U55" s="122"/>
      <c r="V55" s="123"/>
      <c r="W55" s="3"/>
      <c r="X55" s="4"/>
      <c r="Y55" s="4"/>
      <c r="Z55" s="125"/>
      <c r="AA55" s="2"/>
      <c r="AF55" s="57"/>
      <c r="AG55" s="57"/>
      <c r="AH55" s="18"/>
      <c r="AI55" s="18"/>
      <c r="AJ55" s="18"/>
      <c r="AK55" s="18"/>
      <c r="AL55" s="18"/>
      <c r="AM55" s="18"/>
    </row>
    <row r="56" spans="1:39" ht="14.25" customHeight="1" x14ac:dyDescent="0.2">
      <c r="A56" s="1054" t="s">
        <v>154</v>
      </c>
      <c r="B56" s="999"/>
      <c r="C56" s="999"/>
      <c r="D56" s="999"/>
      <c r="E56" s="999"/>
      <c r="F56" s="999"/>
      <c r="G56" s="999"/>
      <c r="H56" s="1098"/>
      <c r="I56" s="1054" t="s">
        <v>154</v>
      </c>
      <c r="J56" s="999"/>
      <c r="K56" s="999"/>
      <c r="L56" s="999"/>
      <c r="M56" s="999"/>
      <c r="N56" s="999"/>
      <c r="O56" s="1000"/>
      <c r="P56" s="129"/>
      <c r="S56" s="106"/>
      <c r="T56" s="2"/>
      <c r="U56" s="122"/>
      <c r="V56" s="123"/>
      <c r="W56" s="3"/>
      <c r="X56" s="4"/>
      <c r="Y56" s="4"/>
      <c r="Z56" s="125"/>
      <c r="AA56" s="2"/>
      <c r="AF56" s="57"/>
      <c r="AG56" s="57"/>
      <c r="AH56" s="18"/>
      <c r="AI56" s="18"/>
      <c r="AJ56" s="18"/>
      <c r="AK56" s="18"/>
      <c r="AL56" s="18"/>
      <c r="AM56" s="18"/>
    </row>
    <row r="57" spans="1:39" ht="14.25" customHeight="1" thickBot="1" x14ac:dyDescent="0.25">
      <c r="A57" s="1055" t="str">
        <f>IF(A56="--","",VLOOKUP(A56,firmas!A34:B37,2,0))</f>
        <v/>
      </c>
      <c r="B57" s="1056"/>
      <c r="C57" s="1056"/>
      <c r="D57" s="1056"/>
      <c r="E57" s="1056"/>
      <c r="F57" s="1056"/>
      <c r="G57" s="1056"/>
      <c r="H57" s="1099"/>
      <c r="I57" s="1055" t="str">
        <f>IF(I56="--","",VLOOKUP(I56,firmas!$A$39:$B$40,2,0))</f>
        <v/>
      </c>
      <c r="J57" s="1056"/>
      <c r="K57" s="1056"/>
      <c r="L57" s="1056"/>
      <c r="M57" s="1056"/>
      <c r="N57" s="1056"/>
      <c r="O57" s="1057"/>
      <c r="P57" s="129"/>
      <c r="S57" s="110"/>
      <c r="T57" s="2"/>
      <c r="U57" s="122"/>
      <c r="V57" s="123"/>
      <c r="W57" s="3"/>
      <c r="X57" s="4"/>
      <c r="Y57" s="4"/>
      <c r="Z57" s="125"/>
      <c r="AA57" s="2"/>
      <c r="AF57" s="57"/>
      <c r="AG57" s="57"/>
      <c r="AH57" s="18"/>
      <c r="AI57" s="18"/>
      <c r="AJ57" s="18"/>
      <c r="AK57" s="18"/>
      <c r="AL57" s="18"/>
      <c r="AM57" s="18"/>
    </row>
    <row r="58" spans="1:39" ht="12" customHeight="1" thickTop="1" thickBot="1" x14ac:dyDescent="0.25">
      <c r="A58" s="1020" t="s">
        <v>156</v>
      </c>
      <c r="B58" s="1020"/>
      <c r="C58" s="1020"/>
      <c r="D58" s="1020"/>
      <c r="E58" s="1020"/>
      <c r="F58" s="1020"/>
      <c r="G58" s="1020"/>
      <c r="H58" s="1020"/>
      <c r="I58" s="1020"/>
      <c r="J58" s="1020"/>
      <c r="K58" s="1020"/>
      <c r="L58" s="1020"/>
      <c r="M58" s="1020"/>
      <c r="N58" s="1020"/>
      <c r="O58" s="1020"/>
      <c r="P58" s="108"/>
      <c r="S58" s="131"/>
      <c r="T58" s="131"/>
      <c r="U58" s="118"/>
      <c r="V58" s="118"/>
      <c r="W58" s="3"/>
      <c r="X58" s="4"/>
      <c r="Y58" s="4"/>
      <c r="Z58" s="125"/>
      <c r="AA58" s="2"/>
      <c r="AF58" s="57"/>
      <c r="AG58" s="57"/>
      <c r="AH58" s="18"/>
      <c r="AI58" s="18"/>
      <c r="AJ58" s="18"/>
      <c r="AK58" s="18"/>
      <c r="AL58" s="18"/>
      <c r="AM58" s="18"/>
    </row>
    <row r="59" spans="1:39" ht="18" customHeight="1" thickTop="1" x14ac:dyDescent="0.2">
      <c r="A59" s="1089" t="s">
        <v>205</v>
      </c>
      <c r="B59" s="1089"/>
      <c r="C59" s="1089"/>
      <c r="D59" s="1089"/>
      <c r="E59" s="1089"/>
      <c r="F59" s="1089"/>
      <c r="G59" s="1089"/>
      <c r="H59" s="1089"/>
      <c r="I59" s="1089"/>
      <c r="J59" s="1089"/>
      <c r="K59" s="1089"/>
      <c r="L59" s="1089"/>
      <c r="M59" s="1089"/>
      <c r="N59" s="1089"/>
      <c r="O59" s="1089"/>
      <c r="P59" s="129"/>
      <c r="S59" s="131"/>
      <c r="T59" s="2"/>
      <c r="U59" s="118"/>
      <c r="V59" s="118"/>
      <c r="W59" s="3"/>
      <c r="X59" s="4"/>
      <c r="Y59" s="4"/>
      <c r="Z59" s="125"/>
      <c r="AA59" s="2"/>
      <c r="AF59" s="57"/>
      <c r="AG59" s="57"/>
      <c r="AH59" s="18"/>
      <c r="AI59" s="18"/>
      <c r="AJ59" s="18"/>
      <c r="AK59" s="18"/>
      <c r="AL59" s="18"/>
      <c r="AM59" s="18"/>
    </row>
    <row r="60" spans="1:39" ht="28.5" customHeight="1" x14ac:dyDescent="0.2">
      <c r="A60" s="1007" t="s">
        <v>253</v>
      </c>
      <c r="B60" s="1007"/>
      <c r="C60" s="1007"/>
      <c r="D60" s="1007"/>
      <c r="E60" s="1007"/>
      <c r="F60" s="1007"/>
      <c r="G60" s="1007"/>
      <c r="H60" s="1007"/>
      <c r="I60" s="1007"/>
      <c r="J60" s="1007"/>
      <c r="K60" s="1007"/>
      <c r="L60" s="1007"/>
      <c r="M60" s="1007"/>
      <c r="N60" s="1007"/>
      <c r="O60" s="1007"/>
      <c r="P60" s="223"/>
      <c r="S60" s="131"/>
      <c r="T60" s="2"/>
      <c r="U60" s="118"/>
      <c r="V60" s="117"/>
      <c r="W60" s="3"/>
      <c r="X60" s="4"/>
      <c r="Y60" s="4"/>
      <c r="Z60" s="125"/>
      <c r="AA60" s="2"/>
      <c r="AF60" s="57"/>
      <c r="AG60" s="57"/>
      <c r="AH60" s="18"/>
      <c r="AI60" s="18"/>
      <c r="AJ60" s="18"/>
      <c r="AK60" s="18"/>
      <c r="AL60" s="18"/>
      <c r="AM60" s="18"/>
    </row>
    <row r="61" spans="1:39" ht="22.5" customHeight="1" x14ac:dyDescent="0.2">
      <c r="A61" s="992"/>
      <c r="B61" s="993"/>
      <c r="C61" s="993"/>
      <c r="D61" s="62"/>
      <c r="P61" s="223"/>
      <c r="S61" s="236"/>
      <c r="T61" s="236"/>
      <c r="U61" s="236"/>
      <c r="V61" s="236"/>
      <c r="W61" s="3"/>
      <c r="X61" s="4"/>
      <c r="Y61" s="4"/>
      <c r="Z61" s="125"/>
      <c r="AA61" s="2"/>
      <c r="AF61" s="57"/>
      <c r="AG61" s="57"/>
      <c r="AH61" s="18"/>
      <c r="AI61" s="18"/>
      <c r="AJ61" s="18"/>
      <c r="AK61" s="18"/>
      <c r="AL61" s="18"/>
      <c r="AM61" s="18"/>
    </row>
    <row r="62" spans="1:39" ht="34.5" customHeight="1" x14ac:dyDescent="0.2">
      <c r="S62" s="236"/>
      <c r="T62" s="236"/>
      <c r="U62" s="236"/>
      <c r="V62" s="236"/>
      <c r="W62" s="3"/>
      <c r="X62" s="4"/>
      <c r="Y62" s="4"/>
      <c r="Z62" s="125"/>
      <c r="AA62" s="2"/>
      <c r="AF62" s="57"/>
      <c r="AG62" s="57"/>
      <c r="AH62" s="18"/>
      <c r="AI62" s="18"/>
      <c r="AJ62" s="18"/>
      <c r="AK62" s="18"/>
      <c r="AL62" s="18"/>
      <c r="AM62" s="18"/>
    </row>
    <row r="63" spans="1:39" ht="12.95" customHeight="1" x14ac:dyDescent="0.2">
      <c r="S63" s="2"/>
      <c r="T63" s="279"/>
      <c r="U63" s="280"/>
      <c r="V63" s="280"/>
      <c r="W63" s="3"/>
      <c r="X63" s="4"/>
      <c r="Y63" s="4"/>
      <c r="Z63" s="125"/>
      <c r="AA63" s="2"/>
      <c r="AF63" s="57"/>
      <c r="AG63" s="57"/>
      <c r="AH63" s="18"/>
      <c r="AI63" s="18"/>
      <c r="AJ63" s="18"/>
      <c r="AK63" s="18"/>
      <c r="AL63" s="18"/>
      <c r="AM63" s="18"/>
    </row>
    <row r="64" spans="1:39" ht="12.95" customHeight="1" x14ac:dyDescent="0.2">
      <c r="S64" s="243"/>
      <c r="T64" s="2"/>
      <c r="U64" s="122"/>
      <c r="V64" s="123"/>
      <c r="W64" s="5"/>
      <c r="X64" s="6"/>
      <c r="Y64" s="6"/>
      <c r="Z64" s="125"/>
      <c r="AA64" s="64"/>
      <c r="AF64" s="57"/>
      <c r="AG64" s="57"/>
      <c r="AH64" s="18"/>
      <c r="AI64" s="18"/>
      <c r="AJ64" s="18"/>
      <c r="AK64" s="18"/>
      <c r="AL64" s="18"/>
      <c r="AM64" s="18"/>
    </row>
    <row r="65" spans="17:39" ht="12.95" customHeight="1" x14ac:dyDescent="0.2">
      <c r="S65" s="245"/>
      <c r="T65" s="2"/>
      <c r="U65" s="122"/>
      <c r="V65" s="123"/>
      <c r="W65" s="3"/>
      <c r="X65" s="4"/>
      <c r="Y65" s="4"/>
      <c r="Z65" s="125"/>
      <c r="AA65" s="64"/>
      <c r="AF65" s="57"/>
      <c r="AG65" s="57"/>
      <c r="AH65" s="18"/>
      <c r="AI65" s="18"/>
      <c r="AJ65" s="18"/>
      <c r="AK65" s="18"/>
      <c r="AL65" s="18"/>
      <c r="AM65" s="18"/>
    </row>
    <row r="66" spans="17:39" ht="12.95" customHeight="1" x14ac:dyDescent="0.2">
      <c r="S66" s="242"/>
      <c r="T66" s="2"/>
      <c r="U66" s="122"/>
      <c r="V66" s="123"/>
      <c r="W66" s="3"/>
      <c r="X66" s="4"/>
      <c r="Y66" s="4"/>
      <c r="Z66" s="125"/>
      <c r="AA66" s="64"/>
      <c r="AF66" s="57"/>
      <c r="AG66" s="57"/>
      <c r="AH66" s="18"/>
      <c r="AI66" s="18"/>
      <c r="AJ66" s="18"/>
      <c r="AK66" s="18"/>
      <c r="AL66" s="18"/>
      <c r="AM66" s="18"/>
    </row>
    <row r="67" spans="17:39" ht="12.95" customHeight="1" x14ac:dyDescent="0.2">
      <c r="S67" s="111"/>
      <c r="T67" s="2"/>
      <c r="U67" s="122"/>
      <c r="V67" s="123"/>
      <c r="W67" s="3"/>
      <c r="X67" s="4"/>
      <c r="Y67" s="4"/>
      <c r="Z67" s="125"/>
      <c r="AA67" s="64"/>
      <c r="AF67" s="57"/>
      <c r="AG67" s="57"/>
      <c r="AH67" s="18"/>
      <c r="AI67" s="18"/>
      <c r="AJ67" s="18"/>
      <c r="AK67" s="18"/>
      <c r="AL67" s="18"/>
      <c r="AM67" s="18"/>
    </row>
    <row r="68" spans="17:39" ht="12.95" customHeight="1" x14ac:dyDescent="0.2">
      <c r="S68" s="112"/>
      <c r="T68" s="2"/>
      <c r="U68" s="122"/>
      <c r="V68" s="123"/>
      <c r="W68" s="3"/>
      <c r="X68" s="4"/>
      <c r="Y68" s="4"/>
      <c r="Z68" s="125"/>
      <c r="AA68" s="64"/>
      <c r="AF68" s="57"/>
      <c r="AG68" s="57"/>
      <c r="AH68" s="18"/>
      <c r="AI68" s="18"/>
      <c r="AJ68" s="18"/>
      <c r="AK68" s="18"/>
      <c r="AL68" s="18"/>
      <c r="AM68" s="18"/>
    </row>
    <row r="69" spans="17:39" ht="12.95" customHeight="1" x14ac:dyDescent="0.2">
      <c r="S69" s="240"/>
      <c r="T69" s="2"/>
      <c r="U69" s="122"/>
      <c r="V69" s="123"/>
      <c r="W69" s="3"/>
      <c r="X69" s="4"/>
      <c r="Y69" s="4"/>
      <c r="Z69" s="125"/>
      <c r="AA69" s="64"/>
      <c r="AF69" s="57"/>
      <c r="AG69" s="57"/>
      <c r="AH69" s="18"/>
      <c r="AI69" s="18"/>
      <c r="AJ69" s="18"/>
      <c r="AK69" s="18"/>
      <c r="AL69" s="18"/>
      <c r="AM69" s="18"/>
    </row>
    <row r="70" spans="17:39" ht="12.95" customHeight="1" x14ac:dyDescent="0.2">
      <c r="S70" s="240"/>
      <c r="T70" s="281"/>
      <c r="U70" s="57"/>
      <c r="V70" s="57"/>
      <c r="W70" s="3"/>
      <c r="X70" s="4"/>
      <c r="Y70" s="4"/>
      <c r="Z70" s="125"/>
      <c r="AA70" s="2"/>
      <c r="AF70" s="57"/>
      <c r="AG70" s="57"/>
      <c r="AH70" s="18"/>
      <c r="AI70" s="18"/>
      <c r="AJ70" s="18"/>
      <c r="AK70" s="18"/>
      <c r="AL70" s="18"/>
      <c r="AM70" s="18"/>
    </row>
    <row r="71" spans="17:39" ht="12.95" customHeight="1" x14ac:dyDescent="0.2">
      <c r="S71" s="240"/>
      <c r="T71" s="2"/>
      <c r="U71" s="122"/>
      <c r="V71" s="123"/>
      <c r="W71" s="3"/>
      <c r="X71" s="4"/>
      <c r="Y71" s="4"/>
      <c r="Z71" s="125"/>
      <c r="AA71" s="2"/>
      <c r="AF71" s="57"/>
      <c r="AG71" s="57"/>
      <c r="AH71" s="18"/>
      <c r="AI71" s="18"/>
      <c r="AJ71" s="18"/>
      <c r="AK71" s="18"/>
      <c r="AL71" s="18"/>
      <c r="AM71" s="18"/>
    </row>
    <row r="72" spans="17:39" ht="12.95" customHeight="1" x14ac:dyDescent="0.2">
      <c r="S72" s="199"/>
      <c r="T72" s="64"/>
      <c r="U72" s="226"/>
      <c r="V72" s="221"/>
      <c r="W72" s="3"/>
      <c r="X72" s="4"/>
      <c r="Y72" s="4"/>
      <c r="Z72" s="125"/>
      <c r="AA72" s="2"/>
      <c r="AL72" s="19"/>
      <c r="AM72" s="19"/>
    </row>
    <row r="73" spans="17:39" ht="12.95" customHeight="1" x14ac:dyDescent="0.2">
      <c r="S73" s="75"/>
      <c r="T73" s="64"/>
      <c r="U73" s="63"/>
      <c r="V73" s="63"/>
      <c r="W73" s="3"/>
      <c r="X73" s="4"/>
      <c r="Y73" s="4"/>
      <c r="Z73" s="125"/>
      <c r="AA73" s="2"/>
      <c r="AL73" s="19"/>
      <c r="AM73" s="19"/>
    </row>
    <row r="74" spans="17:39" ht="12.95" customHeight="1" x14ac:dyDescent="0.2">
      <c r="S74" s="166"/>
      <c r="T74" s="167"/>
      <c r="U74" s="167"/>
      <c r="V74" s="167"/>
      <c r="W74" s="3"/>
      <c r="X74" s="4"/>
      <c r="Y74" s="4"/>
      <c r="Z74" s="4"/>
      <c r="AA74" s="6"/>
      <c r="AB74" s="64"/>
      <c r="AC74" s="45"/>
      <c r="AD74" s="45"/>
      <c r="AE74" s="45"/>
      <c r="AL74" s="19"/>
      <c r="AM74" s="19"/>
    </row>
    <row r="75" spans="17:39" ht="12.95" customHeight="1" x14ac:dyDescent="0.2">
      <c r="S75" s="195"/>
      <c r="T75" s="196"/>
      <c r="U75" s="196"/>
      <c r="V75" s="196"/>
      <c r="W75" s="3"/>
      <c r="X75" s="4"/>
      <c r="Y75" s="4"/>
      <c r="Z75" s="4"/>
      <c r="AA75" s="64"/>
      <c r="AB75" s="45"/>
      <c r="AC75" s="45"/>
      <c r="AD75" s="45"/>
      <c r="AE75" s="45"/>
      <c r="AL75" s="19"/>
      <c r="AM75" s="19"/>
    </row>
    <row r="76" spans="17:39" ht="12.95" customHeight="1" x14ac:dyDescent="0.2">
      <c r="S76" s="195"/>
      <c r="T76" s="196"/>
      <c r="U76" s="196"/>
      <c r="V76" s="196"/>
      <c r="W76" s="3"/>
      <c r="X76" s="4"/>
      <c r="Y76" s="4"/>
      <c r="Z76" s="4"/>
      <c r="AA76" s="64"/>
      <c r="AB76" s="45"/>
      <c r="AC76" s="45"/>
      <c r="AD76" s="45"/>
      <c r="AE76" s="45"/>
      <c r="AL76" s="19"/>
      <c r="AM76" s="19"/>
    </row>
    <row r="77" spans="17:39" ht="12.95" customHeight="1" x14ac:dyDescent="0.2">
      <c r="S77" s="175"/>
      <c r="T77" s="176"/>
      <c r="U77" s="176"/>
      <c r="V77" s="176"/>
      <c r="W77" s="3"/>
      <c r="X77" s="4"/>
      <c r="Y77" s="4"/>
      <c r="Z77" s="6"/>
      <c r="AA77" s="64"/>
      <c r="AB77" s="45"/>
      <c r="AC77" s="45"/>
      <c r="AD77" s="45"/>
      <c r="AE77" s="45"/>
      <c r="AL77" s="19"/>
      <c r="AM77" s="19"/>
    </row>
    <row r="78" spans="17:39" s="17" customFormat="1" ht="12.95" customHeight="1" x14ac:dyDescent="0.2">
      <c r="Q78" s="11"/>
      <c r="R78" s="11"/>
      <c r="S78" s="75"/>
      <c r="T78" s="64"/>
      <c r="U78" s="226"/>
      <c r="V78" s="130"/>
      <c r="W78" s="3"/>
      <c r="X78" s="4"/>
      <c r="Y78" s="4"/>
      <c r="Z78" s="4"/>
      <c r="AA78" s="6"/>
      <c r="AB78" s="64"/>
      <c r="AC78" s="45"/>
      <c r="AD78" s="45"/>
      <c r="AE78" s="45"/>
      <c r="AL78" s="19"/>
      <c r="AM78" s="19"/>
    </row>
    <row r="79" spans="17:39" s="17" customFormat="1" ht="12.95" customHeight="1" x14ac:dyDescent="0.2">
      <c r="Q79" s="11"/>
      <c r="R79" s="11"/>
      <c r="S79" s="243"/>
      <c r="T79" s="64"/>
      <c r="U79" s="226"/>
      <c r="V79" s="130"/>
      <c r="W79" s="3"/>
      <c r="X79" s="4"/>
      <c r="Y79" s="4"/>
      <c r="Z79" s="4"/>
      <c r="AA79" s="64"/>
      <c r="AB79" s="45"/>
      <c r="AC79" s="45"/>
      <c r="AD79" s="45"/>
      <c r="AE79" s="45"/>
      <c r="AL79" s="19"/>
      <c r="AM79" s="19"/>
    </row>
    <row r="80" spans="17:39" s="17" customFormat="1" ht="12.95" customHeight="1" x14ac:dyDescent="0.2">
      <c r="Q80" s="11"/>
      <c r="R80" s="11"/>
      <c r="S80" s="113"/>
      <c r="T80" s="63"/>
      <c r="U80" s="64"/>
      <c r="V80" s="130"/>
      <c r="W80" s="3"/>
      <c r="X80" s="4"/>
      <c r="Y80" s="4"/>
      <c r="Z80" s="4"/>
      <c r="AA80" s="64"/>
      <c r="AB80" s="45"/>
      <c r="AC80" s="45"/>
      <c r="AD80" s="45"/>
      <c r="AE80" s="45"/>
      <c r="AL80" s="19"/>
      <c r="AM80" s="19"/>
    </row>
    <row r="81" spans="17:39" s="17" customFormat="1" ht="12.95" customHeight="1" x14ac:dyDescent="0.2">
      <c r="Q81" s="11"/>
      <c r="R81" s="11"/>
      <c r="S81" s="113"/>
      <c r="T81" s="63"/>
      <c r="U81" s="64"/>
      <c r="V81" s="130"/>
      <c r="W81" s="3"/>
      <c r="X81" s="4"/>
      <c r="Y81" s="4"/>
      <c r="Z81" s="6"/>
      <c r="AA81" s="64"/>
      <c r="AB81" s="45"/>
      <c r="AC81" s="45"/>
      <c r="AD81" s="45"/>
      <c r="AE81" s="45"/>
      <c r="AL81" s="19"/>
      <c r="AM81" s="19"/>
    </row>
    <row r="82" spans="17:39" s="17" customFormat="1" ht="11.1" customHeight="1" x14ac:dyDescent="0.2">
      <c r="Q82" s="11"/>
      <c r="R82" s="11"/>
      <c r="S82" s="113"/>
      <c r="T82" s="63"/>
      <c r="U82" s="64"/>
      <c r="V82" s="130"/>
      <c r="W82" s="3"/>
      <c r="X82" s="4"/>
      <c r="Y82" s="4"/>
      <c r="Z82" s="6"/>
      <c r="AA82" s="64"/>
      <c r="AB82" s="45"/>
      <c r="AC82" s="45"/>
      <c r="AD82" s="45"/>
      <c r="AE82" s="45"/>
      <c r="AL82" s="19"/>
      <c r="AM82" s="19"/>
    </row>
    <row r="83" spans="17:39" s="17" customFormat="1" ht="11.1" customHeight="1" x14ac:dyDescent="0.2">
      <c r="Q83" s="11"/>
      <c r="R83" s="11"/>
      <c r="S83" s="113"/>
      <c r="T83" s="63"/>
      <c r="U83" s="64"/>
      <c r="V83" s="130"/>
      <c r="W83" s="3"/>
      <c r="X83" s="4"/>
      <c r="Y83" s="4"/>
      <c r="Z83" s="64"/>
      <c r="AA83" s="45"/>
      <c r="AB83" s="45"/>
      <c r="AC83" s="45"/>
      <c r="AD83" s="45"/>
      <c r="AE83" s="45"/>
      <c r="AL83" s="18"/>
      <c r="AM83" s="18"/>
    </row>
    <row r="84" spans="17:39" ht="11.1" customHeight="1" x14ac:dyDescent="0.2">
      <c r="S84" s="113"/>
      <c r="T84" s="63"/>
      <c r="U84" s="64"/>
      <c r="V84" s="130"/>
      <c r="W84" s="3"/>
      <c r="X84" s="4"/>
      <c r="Y84" s="4"/>
      <c r="Z84" s="64"/>
      <c r="AA84" s="45"/>
      <c r="AB84" s="45"/>
      <c r="AC84" s="45"/>
      <c r="AD84" s="45"/>
      <c r="AE84" s="45"/>
      <c r="AL84" s="18"/>
      <c r="AM84" s="18"/>
    </row>
    <row r="85" spans="17:39" ht="11.1" customHeight="1" x14ac:dyDescent="0.2">
      <c r="S85" s="220"/>
      <c r="T85" s="63"/>
      <c r="U85" s="64"/>
      <c r="V85" s="130"/>
      <c r="W85" s="5"/>
      <c r="X85" s="6"/>
      <c r="Y85" s="6"/>
      <c r="Z85" s="64"/>
      <c r="AA85" s="45"/>
      <c r="AB85" s="45"/>
      <c r="AC85" s="45"/>
      <c r="AD85" s="45"/>
      <c r="AE85" s="45"/>
    </row>
    <row r="86" spans="17:39" ht="11.1" customHeight="1" x14ac:dyDescent="0.2">
      <c r="S86" s="220"/>
      <c r="T86" s="63"/>
      <c r="U86" s="64"/>
      <c r="V86" s="45"/>
      <c r="W86" s="3"/>
      <c r="X86" s="4"/>
      <c r="Y86" s="4"/>
      <c r="Z86" s="64"/>
      <c r="AA86" s="45"/>
      <c r="AB86" s="45"/>
      <c r="AC86" s="45"/>
      <c r="AD86" s="45"/>
      <c r="AE86" s="45"/>
    </row>
    <row r="87" spans="17:39" ht="11.1" customHeight="1" x14ac:dyDescent="0.2">
      <c r="S87" s="222"/>
      <c r="T87" s="63"/>
      <c r="U87" s="45"/>
      <c r="V87" s="45"/>
      <c r="W87" s="3"/>
      <c r="X87" s="4"/>
      <c r="Y87" s="4"/>
      <c r="Z87" s="77"/>
      <c r="AA87" s="77"/>
      <c r="AB87" s="45"/>
      <c r="AC87" s="45"/>
      <c r="AD87" s="45"/>
      <c r="AE87" s="45"/>
    </row>
    <row r="88" spans="17:39" ht="11.1" customHeight="1" x14ac:dyDescent="0.2">
      <c r="S88" s="113"/>
      <c r="T88" s="63"/>
      <c r="U88" s="63"/>
      <c r="V88" s="45"/>
      <c r="W88" s="3"/>
      <c r="X88" s="4"/>
      <c r="Y88" s="4"/>
      <c r="Z88" s="77"/>
      <c r="AA88" s="77"/>
      <c r="AB88" s="76"/>
      <c r="AC88" s="76"/>
      <c r="AD88" s="76"/>
      <c r="AE88" s="45"/>
    </row>
    <row r="89" spans="17:39" ht="11.1" customHeight="1" x14ac:dyDescent="0.2">
      <c r="S89" s="222"/>
      <c r="T89" s="45"/>
      <c r="U89" s="45"/>
      <c r="V89" s="45"/>
      <c r="W89" s="3"/>
      <c r="X89" s="4"/>
      <c r="Y89" s="4"/>
      <c r="Z89" s="77"/>
      <c r="AA89" s="77"/>
      <c r="AB89" s="45"/>
      <c r="AC89" s="45"/>
      <c r="AD89" s="45"/>
      <c r="AE89" s="45"/>
    </row>
    <row r="90" spans="17:39" ht="11.1" customHeight="1" x14ac:dyDescent="0.2">
      <c r="S90" s="199"/>
      <c r="T90" s="45"/>
      <c r="U90" s="45"/>
      <c r="V90" s="45"/>
      <c r="W90" s="3"/>
      <c r="X90" s="4"/>
      <c r="Y90" s="4"/>
      <c r="Z90" s="78"/>
      <c r="AA90" s="78"/>
      <c r="AB90" s="78"/>
      <c r="AC90" s="78"/>
      <c r="AD90" s="78"/>
      <c r="AE90" s="78"/>
    </row>
    <row r="91" spans="17:39" ht="11.1" customHeight="1" x14ac:dyDescent="0.2">
      <c r="S91" s="1085"/>
      <c r="T91" s="1085"/>
      <c r="U91" s="45"/>
      <c r="V91" s="45"/>
      <c r="W91" s="3"/>
      <c r="X91" s="4"/>
      <c r="Y91" s="4"/>
      <c r="Z91" s="45"/>
      <c r="AA91" s="45"/>
      <c r="AB91" s="45"/>
      <c r="AC91" s="45"/>
      <c r="AD91" s="45"/>
      <c r="AE91" s="45"/>
    </row>
    <row r="92" spans="17:39" ht="11.1" customHeight="1" x14ac:dyDescent="0.2">
      <c r="S92" s="131"/>
      <c r="T92" s="2"/>
      <c r="U92" s="45"/>
      <c r="V92" s="45"/>
      <c r="W92" s="3"/>
      <c r="X92" s="4"/>
      <c r="Y92" s="4"/>
      <c r="Z92" s="45"/>
      <c r="AA92" s="45"/>
      <c r="AB92" s="45"/>
      <c r="AC92" s="45"/>
      <c r="AD92" s="45"/>
      <c r="AE92" s="45"/>
    </row>
    <row r="93" spans="17:39" ht="11.1" customHeight="1" x14ac:dyDescent="0.2">
      <c r="S93" s="131"/>
      <c r="T93" s="2"/>
      <c r="U93" s="45"/>
      <c r="V93" s="45"/>
      <c r="W93" s="3"/>
      <c r="X93" s="4"/>
      <c r="Y93" s="4"/>
      <c r="Z93" s="45"/>
      <c r="AA93" s="45"/>
      <c r="AB93" s="45"/>
      <c r="AC93" s="45"/>
      <c r="AD93" s="45"/>
      <c r="AE93" s="45"/>
    </row>
    <row r="94" spans="17:39" s="18" customFormat="1" ht="11.1" customHeight="1" x14ac:dyDescent="0.2">
      <c r="Q94" s="11"/>
      <c r="R94" s="11"/>
      <c r="S94" s="1095"/>
      <c r="T94" s="1095"/>
      <c r="U94" s="45"/>
      <c r="V94" s="45"/>
      <c r="W94" s="3"/>
      <c r="X94" s="4"/>
      <c r="Y94" s="4"/>
      <c r="Z94" s="45"/>
      <c r="AA94" s="45"/>
      <c r="AB94" s="45"/>
      <c r="AC94" s="45"/>
      <c r="AD94" s="45"/>
      <c r="AE94" s="45"/>
      <c r="AL94" s="11"/>
      <c r="AM94" s="11"/>
    </row>
    <row r="95" spans="17:39" s="18" customFormat="1" ht="11.1" customHeight="1" x14ac:dyDescent="0.2">
      <c r="Q95" s="11"/>
      <c r="R95" s="11"/>
      <c r="S95" s="1095"/>
      <c r="T95" s="1095"/>
      <c r="U95" s="45"/>
      <c r="V95" s="45"/>
      <c r="W95" s="3"/>
      <c r="X95" s="4"/>
      <c r="Y95" s="4"/>
      <c r="Z95" s="45"/>
      <c r="AA95" s="45"/>
      <c r="AB95" s="45"/>
      <c r="AC95" s="45"/>
      <c r="AD95" s="45"/>
      <c r="AE95" s="45"/>
      <c r="AL95" s="11"/>
      <c r="AM95" s="11"/>
    </row>
    <row r="96" spans="17:39" s="18" customFormat="1" ht="11.1" customHeight="1" x14ac:dyDescent="0.2">
      <c r="Q96" s="11"/>
      <c r="R96" s="11"/>
      <c r="S96" s="1084"/>
      <c r="T96" s="1084"/>
      <c r="U96" s="45"/>
      <c r="V96" s="45"/>
      <c r="W96" s="3"/>
      <c r="X96" s="4"/>
      <c r="Y96" s="4"/>
      <c r="Z96" s="45"/>
      <c r="AA96" s="45"/>
      <c r="AB96" s="45"/>
      <c r="AC96" s="45"/>
      <c r="AD96" s="45"/>
      <c r="AE96" s="45"/>
      <c r="AL96" s="11"/>
      <c r="AM96" s="11"/>
    </row>
    <row r="97" spans="17:39" s="18" customFormat="1" ht="11.1" customHeight="1" x14ac:dyDescent="0.2">
      <c r="Q97" s="11"/>
      <c r="R97" s="11"/>
      <c r="S97" s="218"/>
      <c r="T97" s="62"/>
      <c r="U97" s="45"/>
      <c r="V97" s="45"/>
      <c r="W97" s="3"/>
      <c r="X97" s="4"/>
      <c r="Y97" s="4"/>
      <c r="Z97" s="45"/>
      <c r="AA97" s="45"/>
      <c r="AB97" s="45"/>
      <c r="AC97" s="45"/>
      <c r="AD97" s="45"/>
      <c r="AE97" s="45"/>
      <c r="AL97" s="11"/>
      <c r="AM97" s="11"/>
    </row>
    <row r="98" spans="17:39" s="18" customFormat="1" ht="11.1" customHeight="1" x14ac:dyDescent="0.2">
      <c r="Q98" s="11"/>
      <c r="R98" s="11"/>
      <c r="S98" s="11"/>
      <c r="T98" s="11"/>
      <c r="U98" s="45"/>
      <c r="V98" s="45"/>
      <c r="W98" s="3"/>
      <c r="X98" s="4"/>
      <c r="Y98" s="4"/>
      <c r="Z98" s="45"/>
      <c r="AA98" s="45"/>
      <c r="AB98" s="45"/>
      <c r="AC98" s="45"/>
      <c r="AD98" s="45"/>
      <c r="AE98" s="45"/>
      <c r="AL98" s="11"/>
      <c r="AM98" s="11"/>
    </row>
    <row r="99" spans="17:39" s="18" customFormat="1" ht="11.1" customHeight="1" x14ac:dyDescent="0.2">
      <c r="Q99" s="11"/>
      <c r="R99" s="11"/>
      <c r="S99" s="11"/>
      <c r="T99" s="11"/>
      <c r="U99" s="45"/>
      <c r="V99" s="45"/>
      <c r="W99" s="3"/>
      <c r="X99" s="4"/>
      <c r="Y99" s="4"/>
      <c r="Z99" s="45"/>
      <c r="AA99" s="45"/>
      <c r="AB99" s="45"/>
      <c r="AC99" s="45"/>
      <c r="AD99" s="45"/>
      <c r="AE99" s="45"/>
      <c r="AL99" s="11"/>
      <c r="AM99" s="11"/>
    </row>
    <row r="100" spans="17:39" s="18" customFormat="1" ht="10.5" customHeight="1" x14ac:dyDescent="0.2">
      <c r="Q100" s="11"/>
      <c r="R100" s="11"/>
      <c r="S100" s="11"/>
      <c r="T100" s="11"/>
      <c r="U100" s="45"/>
      <c r="V100" s="45"/>
      <c r="W100" s="3"/>
      <c r="X100" s="4"/>
      <c r="Y100" s="4"/>
      <c r="Z100" s="45"/>
      <c r="AA100" s="45"/>
      <c r="AB100" s="45"/>
      <c r="AC100" s="45"/>
      <c r="AD100" s="45"/>
      <c r="AE100" s="45"/>
      <c r="AL100" s="11"/>
      <c r="AM100" s="11"/>
    </row>
    <row r="101" spans="17:39" s="18" customFormat="1" ht="18" customHeight="1" x14ac:dyDescent="0.2">
      <c r="Q101" s="11"/>
      <c r="R101" s="11"/>
      <c r="S101" s="11"/>
      <c r="T101" s="11"/>
      <c r="U101" s="45"/>
      <c r="V101" s="45"/>
      <c r="W101" s="5"/>
      <c r="X101" s="6"/>
      <c r="Y101" s="6"/>
      <c r="Z101" s="45"/>
      <c r="AA101" s="45"/>
      <c r="AB101" s="45"/>
      <c r="AC101" s="45"/>
      <c r="AD101" s="45"/>
      <c r="AE101" s="45"/>
      <c r="AL101" s="11"/>
      <c r="AM101" s="11"/>
    </row>
    <row r="102" spans="17:39" s="18" customFormat="1" ht="27.95" customHeight="1" x14ac:dyDescent="0.2">
      <c r="Q102" s="11"/>
      <c r="R102" s="11"/>
      <c r="S102" s="11"/>
      <c r="T102" s="11"/>
      <c r="U102" s="45"/>
      <c r="V102" s="45"/>
      <c r="W102" s="3"/>
      <c r="X102" s="4"/>
      <c r="Y102" s="4"/>
      <c r="Z102" s="45"/>
      <c r="AA102" s="45"/>
      <c r="AB102" s="45"/>
      <c r="AC102" s="45"/>
      <c r="AD102" s="45"/>
      <c r="AE102" s="45"/>
      <c r="AL102" s="11"/>
      <c r="AM102" s="11"/>
    </row>
    <row r="103" spans="17:39" s="18" customFormat="1" ht="9.75" customHeight="1" x14ac:dyDescent="0.2">
      <c r="Q103" s="11"/>
      <c r="R103" s="11"/>
      <c r="S103" s="11"/>
      <c r="T103" s="11"/>
      <c r="U103" s="45"/>
      <c r="V103" s="45"/>
      <c r="W103" s="3"/>
      <c r="X103" s="4"/>
      <c r="Y103" s="4"/>
      <c r="Z103" s="45"/>
      <c r="AA103" s="45"/>
      <c r="AB103" s="45"/>
      <c r="AC103" s="45"/>
      <c r="AD103" s="45"/>
      <c r="AE103" s="45"/>
      <c r="AL103" s="11"/>
      <c r="AM103" s="11"/>
    </row>
    <row r="104" spans="17:39" s="18" customFormat="1" ht="14.1" customHeight="1" x14ac:dyDescent="0.2">
      <c r="Q104" s="11"/>
      <c r="R104" s="11"/>
      <c r="S104" s="45"/>
      <c r="T104" s="45"/>
      <c r="U104" s="45"/>
      <c r="V104" s="45"/>
      <c r="W104" s="3"/>
      <c r="X104" s="4"/>
      <c r="Y104" s="4"/>
      <c r="Z104" s="45"/>
      <c r="AA104" s="45"/>
      <c r="AB104" s="45"/>
      <c r="AC104" s="45"/>
      <c r="AD104" s="45"/>
      <c r="AE104" s="45"/>
      <c r="AF104" s="45"/>
      <c r="AG104" s="45"/>
      <c r="AH104" s="11"/>
      <c r="AI104" s="11"/>
      <c r="AJ104" s="11"/>
      <c r="AK104" s="11"/>
      <c r="AL104" s="11"/>
      <c r="AM104" s="11"/>
    </row>
    <row r="105" spans="17:39" s="18" customFormat="1" ht="14.1" customHeight="1" x14ac:dyDescent="0.2">
      <c r="Q105" s="11"/>
      <c r="R105" s="11"/>
      <c r="S105" s="45"/>
      <c r="T105" s="45"/>
      <c r="U105" s="45"/>
      <c r="V105" s="45"/>
      <c r="W105" s="3"/>
      <c r="X105" s="4"/>
      <c r="Y105" s="4"/>
      <c r="Z105" s="45"/>
      <c r="AA105" s="45"/>
      <c r="AB105" s="45"/>
      <c r="AC105" s="45"/>
      <c r="AD105" s="45"/>
      <c r="AE105" s="45"/>
      <c r="AF105" s="45"/>
      <c r="AG105" s="45"/>
      <c r="AH105" s="11"/>
      <c r="AI105" s="11"/>
      <c r="AJ105" s="11"/>
      <c r="AK105" s="11"/>
      <c r="AL105" s="11"/>
      <c r="AM105" s="11"/>
    </row>
    <row r="106" spans="17:39" s="18" customFormat="1" ht="14.1" customHeight="1" x14ac:dyDescent="0.2">
      <c r="Q106" s="11"/>
      <c r="R106" s="11"/>
      <c r="S106" s="45"/>
      <c r="T106" s="45"/>
      <c r="U106" s="45"/>
      <c r="V106" s="45"/>
      <c r="W106" s="3"/>
      <c r="X106" s="4"/>
      <c r="Y106" s="4"/>
      <c r="Z106" s="45"/>
      <c r="AA106" s="45"/>
      <c r="AB106" s="45"/>
      <c r="AC106" s="45"/>
      <c r="AD106" s="45"/>
      <c r="AE106" s="45"/>
      <c r="AF106" s="45"/>
      <c r="AG106" s="45"/>
      <c r="AH106" s="11"/>
      <c r="AI106" s="11"/>
      <c r="AJ106" s="11"/>
      <c r="AK106" s="11"/>
      <c r="AL106" s="11"/>
      <c r="AM106" s="11"/>
    </row>
    <row r="107" spans="17:39" s="18" customFormat="1" ht="12" customHeight="1" x14ac:dyDescent="0.2">
      <c r="Q107" s="11"/>
      <c r="R107" s="11"/>
      <c r="S107" s="45"/>
      <c r="T107" s="45"/>
      <c r="U107" s="45"/>
      <c r="V107" s="45"/>
      <c r="W107" s="3"/>
      <c r="X107" s="4"/>
      <c r="Y107" s="4"/>
      <c r="Z107" s="45"/>
      <c r="AA107" s="45"/>
      <c r="AB107" s="45"/>
      <c r="AC107" s="45"/>
      <c r="AD107" s="45"/>
      <c r="AE107" s="45"/>
      <c r="AF107" s="45"/>
      <c r="AG107" s="45"/>
      <c r="AH107" s="11"/>
      <c r="AI107" s="11"/>
      <c r="AJ107" s="11"/>
      <c r="AK107" s="11"/>
      <c r="AL107" s="11"/>
      <c r="AM107" s="11"/>
    </row>
    <row r="108" spans="17:39" s="18" customFormat="1" ht="12" customHeight="1" x14ac:dyDescent="0.2">
      <c r="Q108" s="11"/>
      <c r="R108" s="11"/>
      <c r="S108" s="45"/>
      <c r="T108" s="45"/>
      <c r="U108" s="45"/>
      <c r="V108" s="45"/>
      <c r="W108" s="3"/>
      <c r="X108" s="4"/>
      <c r="Y108" s="4"/>
      <c r="Z108" s="45"/>
      <c r="AA108" s="45"/>
      <c r="AB108" s="45"/>
      <c r="AC108" s="45"/>
      <c r="AD108" s="45"/>
      <c r="AE108" s="45"/>
      <c r="AF108" s="45"/>
      <c r="AG108" s="45"/>
      <c r="AH108" s="11"/>
      <c r="AI108" s="11"/>
      <c r="AJ108" s="11"/>
      <c r="AK108" s="11"/>
      <c r="AL108" s="11"/>
      <c r="AM108" s="11"/>
    </row>
    <row r="109" spans="17:39" s="18" customFormat="1" ht="14.1" customHeight="1" x14ac:dyDescent="0.2">
      <c r="Q109" s="11"/>
      <c r="R109" s="11"/>
      <c r="S109" s="45"/>
      <c r="T109" s="45"/>
      <c r="U109" s="45"/>
      <c r="V109" s="45"/>
      <c r="W109" s="3"/>
      <c r="X109" s="4"/>
      <c r="Y109" s="4"/>
      <c r="Z109" s="45"/>
      <c r="AA109" s="45"/>
      <c r="AB109" s="45"/>
      <c r="AC109" s="45"/>
      <c r="AD109" s="45"/>
      <c r="AE109" s="45"/>
      <c r="AF109" s="45"/>
      <c r="AG109" s="45"/>
      <c r="AH109" s="11"/>
      <c r="AI109" s="11"/>
      <c r="AJ109" s="11"/>
      <c r="AK109" s="11"/>
      <c r="AL109" s="11"/>
      <c r="AM109" s="11"/>
    </row>
    <row r="110" spans="17:39" s="18" customFormat="1" ht="14.1" customHeight="1" x14ac:dyDescent="0.2">
      <c r="Q110" s="11"/>
      <c r="R110" s="11"/>
      <c r="S110" s="45"/>
      <c r="T110" s="45"/>
      <c r="U110" s="45"/>
      <c r="V110" s="45"/>
      <c r="W110" s="3"/>
      <c r="X110" s="4"/>
      <c r="Y110" s="4"/>
      <c r="Z110" s="45"/>
      <c r="AA110" s="45"/>
      <c r="AB110" s="45"/>
      <c r="AC110" s="45"/>
      <c r="AD110" s="45"/>
      <c r="AE110" s="45"/>
      <c r="AF110" s="45"/>
      <c r="AG110" s="45"/>
      <c r="AH110" s="11"/>
      <c r="AI110" s="11"/>
      <c r="AJ110" s="11"/>
      <c r="AK110" s="11"/>
      <c r="AL110" s="11"/>
      <c r="AM110" s="11"/>
    </row>
    <row r="111" spans="17:39" s="18" customFormat="1" ht="14.1" customHeight="1" x14ac:dyDescent="0.2">
      <c r="Q111" s="11"/>
      <c r="R111" s="11"/>
      <c r="S111" s="45"/>
      <c r="T111" s="45"/>
      <c r="U111" s="45"/>
      <c r="V111" s="45"/>
      <c r="W111" s="3"/>
      <c r="X111" s="4"/>
      <c r="Y111" s="4"/>
      <c r="Z111" s="45"/>
      <c r="AA111" s="45"/>
      <c r="AB111" s="45"/>
      <c r="AC111" s="45"/>
      <c r="AD111" s="45"/>
      <c r="AE111" s="45"/>
      <c r="AF111" s="45"/>
      <c r="AG111" s="45"/>
      <c r="AH111" s="11"/>
      <c r="AI111" s="11"/>
      <c r="AJ111" s="11"/>
      <c r="AK111" s="11"/>
      <c r="AL111" s="11"/>
      <c r="AM111" s="11"/>
    </row>
    <row r="112" spans="17:39" s="18" customFormat="1" ht="14.1" customHeight="1" x14ac:dyDescent="0.2">
      <c r="Q112" s="11"/>
      <c r="R112" s="11"/>
      <c r="S112" s="45"/>
      <c r="T112" s="45"/>
      <c r="U112" s="45"/>
      <c r="V112" s="45"/>
      <c r="W112" s="3"/>
      <c r="X112" s="4"/>
      <c r="Y112" s="4"/>
      <c r="Z112" s="45"/>
      <c r="AA112" s="45"/>
      <c r="AB112" s="45"/>
      <c r="AC112" s="45"/>
      <c r="AD112" s="45"/>
      <c r="AE112" s="45"/>
      <c r="AF112" s="45"/>
      <c r="AG112" s="45"/>
      <c r="AH112" s="11"/>
      <c r="AI112" s="11"/>
      <c r="AJ112" s="11"/>
      <c r="AK112" s="11"/>
      <c r="AL112" s="11"/>
      <c r="AM112" s="11"/>
    </row>
    <row r="113" spans="17:39" s="18" customFormat="1" ht="13.5" customHeight="1" x14ac:dyDescent="0.2">
      <c r="Q113" s="11"/>
      <c r="R113" s="11"/>
      <c r="S113" s="45"/>
      <c r="T113" s="45"/>
      <c r="U113" s="45"/>
      <c r="V113" s="45"/>
      <c r="W113" s="3"/>
      <c r="X113" s="4"/>
      <c r="Y113" s="4"/>
      <c r="Z113" s="45"/>
      <c r="AA113" s="45"/>
      <c r="AB113" s="45"/>
      <c r="AC113" s="45"/>
      <c r="AD113" s="45"/>
      <c r="AE113" s="45"/>
      <c r="AF113" s="45"/>
      <c r="AG113" s="45"/>
      <c r="AH113" s="11"/>
      <c r="AI113" s="11"/>
      <c r="AJ113" s="11"/>
      <c r="AK113" s="11"/>
      <c r="AL113" s="11"/>
      <c r="AM113" s="11"/>
    </row>
    <row r="114" spans="17:39" s="18" customFormat="1" ht="15" customHeight="1" x14ac:dyDescent="0.2">
      <c r="Q114" s="11"/>
      <c r="R114" s="11"/>
      <c r="S114" s="45"/>
      <c r="T114" s="45"/>
      <c r="U114" s="45"/>
      <c r="V114" s="45"/>
      <c r="W114" s="3"/>
      <c r="X114" s="4"/>
      <c r="Y114" s="4"/>
      <c r="Z114" s="45"/>
      <c r="AA114" s="45"/>
      <c r="AB114" s="45"/>
      <c r="AC114" s="45"/>
      <c r="AD114" s="45"/>
      <c r="AE114" s="45"/>
      <c r="AF114" s="45"/>
      <c r="AG114" s="45"/>
      <c r="AH114" s="11"/>
      <c r="AI114" s="11"/>
      <c r="AJ114" s="11"/>
      <c r="AK114" s="11"/>
      <c r="AL114" s="11"/>
      <c r="AM114" s="11"/>
    </row>
    <row r="115" spans="17:39" s="18" customFormat="1" ht="20.100000000000001" customHeight="1" x14ac:dyDescent="0.2">
      <c r="Q115" s="11"/>
      <c r="R115" s="11"/>
      <c r="S115" s="45"/>
      <c r="T115" s="45"/>
      <c r="U115" s="45"/>
      <c r="V115" s="45"/>
      <c r="W115" s="3"/>
      <c r="X115" s="4"/>
      <c r="Y115" s="4"/>
      <c r="Z115" s="45"/>
      <c r="AA115" s="45"/>
      <c r="AB115" s="45"/>
      <c r="AC115" s="45"/>
      <c r="AD115" s="45"/>
      <c r="AE115" s="45"/>
      <c r="AF115" s="45"/>
      <c r="AG115" s="45"/>
      <c r="AH115" s="11"/>
      <c r="AI115" s="11"/>
      <c r="AJ115" s="11"/>
      <c r="AK115" s="11"/>
      <c r="AL115" s="11"/>
      <c r="AM115" s="11"/>
    </row>
    <row r="116" spans="17:39" s="18" customFormat="1" ht="15" customHeight="1" x14ac:dyDescent="0.2">
      <c r="Q116" s="11"/>
      <c r="R116" s="11"/>
      <c r="S116" s="45"/>
      <c r="T116" s="45"/>
      <c r="U116" s="45"/>
      <c r="V116" s="45"/>
      <c r="W116" s="3"/>
      <c r="X116" s="4"/>
      <c r="Y116" s="4"/>
      <c r="Z116" s="45"/>
      <c r="AA116" s="45"/>
      <c r="AB116" s="45"/>
      <c r="AC116" s="45"/>
      <c r="AD116" s="45"/>
      <c r="AE116" s="45"/>
      <c r="AF116" s="45"/>
      <c r="AG116" s="45"/>
      <c r="AH116" s="11"/>
      <c r="AI116" s="11"/>
      <c r="AJ116" s="11"/>
      <c r="AK116" s="11"/>
      <c r="AL116" s="11"/>
      <c r="AM116" s="11"/>
    </row>
    <row r="117" spans="17:39" s="18" customFormat="1" ht="15" customHeight="1" x14ac:dyDescent="0.2">
      <c r="Q117" s="11"/>
      <c r="R117" s="11"/>
      <c r="S117" s="45"/>
      <c r="T117" s="45"/>
      <c r="U117" s="45"/>
      <c r="V117" s="45"/>
      <c r="W117" s="5"/>
      <c r="X117" s="6"/>
      <c r="Y117" s="6"/>
      <c r="Z117" s="45"/>
      <c r="AA117" s="45"/>
      <c r="AB117" s="45"/>
      <c r="AC117" s="45"/>
      <c r="AD117" s="45"/>
      <c r="AE117" s="45"/>
      <c r="AF117" s="45"/>
      <c r="AG117" s="45"/>
      <c r="AH117" s="11"/>
      <c r="AI117" s="11"/>
      <c r="AJ117" s="11"/>
      <c r="AK117" s="11"/>
      <c r="AL117" s="11"/>
      <c r="AM117" s="11"/>
    </row>
    <row r="118" spans="17:39" s="18" customFormat="1" ht="15" customHeight="1" x14ac:dyDescent="0.2">
      <c r="Q118" s="11"/>
      <c r="R118" s="11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11"/>
      <c r="AI118" s="11"/>
      <c r="AJ118" s="11"/>
      <c r="AK118" s="11"/>
      <c r="AL118" s="11"/>
      <c r="AM118" s="11"/>
    </row>
    <row r="119" spans="17:39" s="18" customFormat="1" ht="15" customHeight="1" x14ac:dyDescent="0.2">
      <c r="Q119" s="11"/>
      <c r="R119" s="11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11"/>
      <c r="AI119" s="11"/>
      <c r="AJ119" s="11"/>
      <c r="AK119" s="11"/>
      <c r="AL119" s="11"/>
      <c r="AM119" s="11"/>
    </row>
    <row r="120" spans="17:39" s="18" customFormat="1" ht="20.100000000000001" customHeight="1" x14ac:dyDescent="0.2">
      <c r="Q120" s="11"/>
      <c r="R120" s="11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11"/>
      <c r="AI120" s="11"/>
      <c r="AJ120" s="11"/>
      <c r="AK120" s="11"/>
      <c r="AL120" s="11"/>
      <c r="AM120" s="11"/>
    </row>
    <row r="121" spans="17:39" s="18" customFormat="1" ht="20.100000000000001" customHeight="1" x14ac:dyDescent="0.2">
      <c r="Q121" s="11"/>
      <c r="R121" s="11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11"/>
      <c r="AI121" s="11"/>
      <c r="AJ121" s="11"/>
      <c r="AK121" s="11"/>
      <c r="AL121" s="11"/>
      <c r="AM121" s="11"/>
    </row>
    <row r="122" spans="17:39" s="18" customFormat="1" ht="21" customHeight="1" x14ac:dyDescent="0.2">
      <c r="Q122" s="11"/>
      <c r="R122" s="11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11"/>
      <c r="AI122" s="11"/>
      <c r="AJ122" s="11"/>
      <c r="AK122" s="11"/>
      <c r="AL122" s="11"/>
      <c r="AM122" s="11"/>
    </row>
    <row r="123" spans="17:39" s="18" customFormat="1" ht="15" customHeight="1" x14ac:dyDescent="0.2">
      <c r="Q123" s="11"/>
      <c r="R123" s="11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11"/>
      <c r="AI123" s="11"/>
      <c r="AJ123" s="11"/>
      <c r="AK123" s="11"/>
      <c r="AL123" s="11"/>
      <c r="AM123" s="11"/>
    </row>
    <row r="124" spans="17:39" s="18" customFormat="1" ht="15" customHeight="1" x14ac:dyDescent="0.2">
      <c r="Q124" s="11"/>
      <c r="R124" s="11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11"/>
      <c r="AI124" s="11"/>
      <c r="AJ124" s="11"/>
      <c r="AK124" s="11"/>
      <c r="AL124" s="11"/>
      <c r="AM124" s="11"/>
    </row>
    <row r="125" spans="17:39" s="18" customFormat="1" ht="14.1" customHeight="1" x14ac:dyDescent="0.2"/>
    <row r="126" spans="17:39" s="18" customFormat="1" ht="14.1" customHeight="1" x14ac:dyDescent="0.2"/>
    <row r="127" spans="17:39" s="18" customFormat="1" ht="14.1" customHeight="1" x14ac:dyDescent="0.2"/>
    <row r="128" spans="17:39" s="18" customFormat="1" ht="14.1" customHeight="1" x14ac:dyDescent="0.2"/>
    <row r="129" s="18" customFormat="1" ht="15" customHeight="1" x14ac:dyDescent="0.2"/>
    <row r="130" s="19" customFormat="1" ht="15" customHeight="1" x14ac:dyDescent="0.2"/>
    <row r="131" s="19" customFormat="1" ht="15" customHeight="1" x14ac:dyDescent="0.2"/>
    <row r="132" s="19" customFormat="1" ht="15" customHeight="1" x14ac:dyDescent="0.2"/>
    <row r="133" s="19" customFormat="1" ht="15" customHeight="1" x14ac:dyDescent="0.2"/>
    <row r="134" s="19" customFormat="1" ht="15" customHeight="1" x14ac:dyDescent="0.2"/>
    <row r="135" s="19" customFormat="1" ht="15" customHeight="1" x14ac:dyDescent="0.2"/>
    <row r="136" s="19" customFormat="1" ht="15" customHeight="1" x14ac:dyDescent="0.2"/>
    <row r="137" s="19" customFormat="1" ht="15" customHeight="1" x14ac:dyDescent="0.2"/>
    <row r="138" s="19" customFormat="1" ht="15" customHeight="1" x14ac:dyDescent="0.2"/>
    <row r="139" s="19" customFormat="1" ht="15" customHeight="1" x14ac:dyDescent="0.2"/>
    <row r="140" s="19" customFormat="1" ht="15" customHeight="1" x14ac:dyDescent="0.2"/>
    <row r="141" s="18" customFormat="1" ht="15" customHeight="1" x14ac:dyDescent="0.2"/>
    <row r="142" s="18" customFormat="1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24" customHeight="1" x14ac:dyDescent="0.2"/>
    <row r="151" ht="21.95" customHeight="1" x14ac:dyDescent="0.2"/>
    <row r="152" ht="21" customHeight="1" x14ac:dyDescent="0.2"/>
    <row r="153" ht="15.75" customHeight="1" x14ac:dyDescent="0.2"/>
    <row r="154" ht="12.75" customHeight="1" x14ac:dyDescent="0.2"/>
    <row r="155" ht="18.75" customHeight="1" x14ac:dyDescent="0.2"/>
    <row r="156" ht="29.25" customHeight="1" x14ac:dyDescent="0.2"/>
    <row r="157" ht="27.95" customHeight="1" x14ac:dyDescent="0.2"/>
    <row r="158" ht="27.95" customHeight="1" x14ac:dyDescent="0.2"/>
    <row r="159" ht="12.95" customHeight="1" x14ac:dyDescent="0.2"/>
    <row r="160" ht="12" customHeight="1" x14ac:dyDescent="0.2"/>
    <row r="183" spans="16:31" x14ac:dyDescent="0.2"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</row>
    <row r="184" spans="16:31" x14ac:dyDescent="0.2"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</row>
  </sheetData>
  <sheetProtection algorithmName="SHA-512" hashValue="KimVydtJWoAFw8nKjvqDvnFyPPSXQf2GjySzgASAGsdQ7F4YA7Gv8kfx9PUtfuZD5io7knU8ac0WJgm7XR+U3w==" saltValue="9BixVx8zfH007JI5AeohUg==" spinCount="100000" sheet="1" formatCells="0" formatColumns="0" formatRows="0"/>
  <protectedRanges>
    <protectedRange sqref="M2:N4" name="Rango1_1_1"/>
  </protectedRanges>
  <mergeCells count="98">
    <mergeCell ref="R13:R14"/>
    <mergeCell ref="S4:S7"/>
    <mergeCell ref="S8:S14"/>
    <mergeCell ref="S15:S20"/>
    <mergeCell ref="S21:S26"/>
    <mergeCell ref="R18:R19"/>
    <mergeCell ref="AD42:AD43"/>
    <mergeCell ref="AE42:AE43"/>
    <mergeCell ref="S44:S46"/>
    <mergeCell ref="S50:S52"/>
    <mergeCell ref="S27:AB27"/>
    <mergeCell ref="B13:C13"/>
    <mergeCell ref="D13:F13"/>
    <mergeCell ref="G13:I13"/>
    <mergeCell ref="J13:L13"/>
    <mergeCell ref="A9:D9"/>
    <mergeCell ref="E9:J9"/>
    <mergeCell ref="A1:C5"/>
    <mergeCell ref="D1:O1"/>
    <mergeCell ref="D4:L4"/>
    <mergeCell ref="M4:O4"/>
    <mergeCell ref="D5:O5"/>
    <mergeCell ref="D2:O3"/>
    <mergeCell ref="E7:J7"/>
    <mergeCell ref="M9:O9"/>
    <mergeCell ref="M6:O6"/>
    <mergeCell ref="M7:O7"/>
    <mergeCell ref="M10:O10"/>
    <mergeCell ref="M8:O8"/>
    <mergeCell ref="E10:J10"/>
    <mergeCell ref="E8:J8"/>
    <mergeCell ref="E6:J6"/>
    <mergeCell ref="B14:C14"/>
    <mergeCell ref="D14:F14"/>
    <mergeCell ref="G14:I14"/>
    <mergeCell ref="J14:L14"/>
    <mergeCell ref="N14:O14"/>
    <mergeCell ref="A20:A23"/>
    <mergeCell ref="B20:C22"/>
    <mergeCell ref="A52:B52"/>
    <mergeCell ref="C52:O52"/>
    <mergeCell ref="A53:O53"/>
    <mergeCell ref="C32:D32"/>
    <mergeCell ref="A49:O49"/>
    <mergeCell ref="B23:D23"/>
    <mergeCell ref="A24:A27"/>
    <mergeCell ref="B24:C26"/>
    <mergeCell ref="N24:O32"/>
    <mergeCell ref="B27:D27"/>
    <mergeCell ref="A28:B29"/>
    <mergeCell ref="C28:D28"/>
    <mergeCell ref="C29:D29"/>
    <mergeCell ref="A30:B32"/>
    <mergeCell ref="C30:D30"/>
    <mergeCell ref="C31:D31"/>
    <mergeCell ref="A50:O50"/>
    <mergeCell ref="A61:C61"/>
    <mergeCell ref="S94:T95"/>
    <mergeCell ref="A54:H54"/>
    <mergeCell ref="A55:H55"/>
    <mergeCell ref="A56:H56"/>
    <mergeCell ref="A57:H57"/>
    <mergeCell ref="S31:S32"/>
    <mergeCell ref="S96:T96"/>
    <mergeCell ref="S91:T91"/>
    <mergeCell ref="I54:O54"/>
    <mergeCell ref="I55:O55"/>
    <mergeCell ref="I56:O56"/>
    <mergeCell ref="I57:O57"/>
    <mergeCell ref="A59:O59"/>
    <mergeCell ref="A60:O60"/>
    <mergeCell ref="A58:O58"/>
    <mergeCell ref="C19:D19"/>
    <mergeCell ref="B16:C16"/>
    <mergeCell ref="D16:F16"/>
    <mergeCell ref="G16:I16"/>
    <mergeCell ref="J16:L16"/>
    <mergeCell ref="B17:C17"/>
    <mergeCell ref="D17:F17"/>
    <mergeCell ref="G17:I17"/>
    <mergeCell ref="J17:L17"/>
    <mergeCell ref="A18:B19"/>
    <mergeCell ref="C18:D18"/>
    <mergeCell ref="M12:O12"/>
    <mergeCell ref="M11:O11"/>
    <mergeCell ref="K11:L11"/>
    <mergeCell ref="E11:J12"/>
    <mergeCell ref="Q18:Q19"/>
    <mergeCell ref="N15:O15"/>
    <mergeCell ref="N16:O16"/>
    <mergeCell ref="N18:N19"/>
    <mergeCell ref="O18:O19"/>
    <mergeCell ref="N13:O13"/>
    <mergeCell ref="B15:C15"/>
    <mergeCell ref="D15:F15"/>
    <mergeCell ref="G15:I15"/>
    <mergeCell ref="J15:L15"/>
    <mergeCell ref="N17:O17"/>
  </mergeCells>
  <dataValidations count="2">
    <dataValidation type="list" allowBlank="1" showInputMessage="1" showErrorMessage="1" sqref="A56" xr:uid="{00000000-0002-0000-0200-000000000000}">
      <formula1>revisonombres</formula1>
    </dataValidation>
    <dataValidation type="list" allowBlank="1" showInputMessage="1" showErrorMessage="1" sqref="P36 I56" xr:uid="{00000000-0002-0000-0200-000001000000}">
      <formula1>aprobonombres</formula1>
    </dataValidation>
  </dataValidations>
  <printOptions horizontalCentered="1"/>
  <pageMargins left="0.59055118110236227" right="0.19685039370078741" top="0" bottom="0" header="0" footer="3.937007874015748E-2"/>
  <pageSetup paperSize="9" pageOrder="overThenDown" orientation="portrait" r:id="rId1"/>
  <headerFooter scaleWithDoc="0">
    <oddFooter xml:space="preserve">&amp;L&amp;6Calle 26 No. 57-41 Torre 8 Piso 8 CEMSA - CP: 1113111            
Pbx: 3779555  - Información: Línea 195     
www.umv.gov.co111311&amp;C&amp;6Página 1 de 1
</oddFooter>
  </headerFooter>
  <ignoredErrors>
    <ignoredError sqref="K25:K26" formula="1"/>
    <ignoredError sqref="M14:M16" formulaRange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50"/>
  </sheetPr>
  <dimension ref="A1:BE174"/>
  <sheetViews>
    <sheetView showGridLines="0" view="pageBreakPreview" zoomScaleSheetLayoutView="100" workbookViewId="0">
      <selection activeCell="E11" sqref="E11:J12"/>
    </sheetView>
  </sheetViews>
  <sheetFormatPr baseColWidth="10" defaultRowHeight="12.75" x14ac:dyDescent="0.2"/>
  <cols>
    <col min="1" max="1" width="6.42578125" style="11" customWidth="1"/>
    <col min="2" max="2" width="7" style="11" customWidth="1"/>
    <col min="3" max="3" width="6" style="11" customWidth="1"/>
    <col min="4" max="4" width="5.140625" style="11" customWidth="1"/>
    <col min="5" max="5" width="6.140625" style="11" customWidth="1"/>
    <col min="6" max="6" width="5.140625" style="11" customWidth="1"/>
    <col min="7" max="7" width="5" style="11" customWidth="1"/>
    <col min="8" max="8" width="7.85546875" style="11" customWidth="1"/>
    <col min="9" max="9" width="4.7109375" style="11" customWidth="1"/>
    <col min="10" max="10" width="7.42578125" style="11" customWidth="1"/>
    <col min="11" max="11" width="8.28515625" style="11" customWidth="1"/>
    <col min="12" max="12" width="9.42578125" style="11" customWidth="1"/>
    <col min="13" max="13" width="7.7109375" style="11" customWidth="1"/>
    <col min="14" max="15" width="4.7109375" style="11" customWidth="1"/>
    <col min="16" max="16" width="13" style="11" customWidth="1"/>
    <col min="17" max="25" width="13.140625" style="11" customWidth="1"/>
    <col min="26" max="16384" width="11.42578125" style="11"/>
  </cols>
  <sheetData>
    <row r="1" spans="1:51" ht="15" customHeight="1" x14ac:dyDescent="0.2">
      <c r="A1" s="860"/>
      <c r="B1" s="861"/>
      <c r="C1" s="861"/>
      <c r="D1" s="862"/>
      <c r="E1" s="1246" t="s">
        <v>355</v>
      </c>
      <c r="F1" s="1247"/>
      <c r="G1" s="1247"/>
      <c r="H1" s="1247"/>
      <c r="I1" s="1247"/>
      <c r="J1" s="1247"/>
      <c r="K1" s="1247"/>
      <c r="L1" s="1247"/>
      <c r="M1" s="1247"/>
      <c r="N1" s="1247"/>
      <c r="O1" s="1248"/>
      <c r="P1" s="103"/>
      <c r="Q1" s="195"/>
      <c r="R1" s="196"/>
      <c r="S1" s="196"/>
      <c r="T1" s="196"/>
      <c r="U1" s="45"/>
      <c r="V1" s="45"/>
      <c r="W1" s="45"/>
      <c r="X1" s="45"/>
      <c r="Y1" s="45"/>
      <c r="AH1" s="45"/>
      <c r="AI1" s="45"/>
      <c r="AQ1" s="45"/>
      <c r="AR1" s="45"/>
      <c r="AS1" s="45"/>
      <c r="AT1" s="45"/>
      <c r="AU1" s="45"/>
      <c r="AV1" s="45"/>
      <c r="AW1" s="45"/>
      <c r="AX1" s="45"/>
    </row>
    <row r="2" spans="1:51" ht="15" customHeight="1" x14ac:dyDescent="0.2">
      <c r="A2" s="863"/>
      <c r="B2" s="864"/>
      <c r="C2" s="864"/>
      <c r="D2" s="865"/>
      <c r="E2" s="1249"/>
      <c r="F2" s="1250"/>
      <c r="G2" s="1250"/>
      <c r="H2" s="1250"/>
      <c r="I2" s="1250"/>
      <c r="J2" s="1250"/>
      <c r="K2" s="1250"/>
      <c r="L2" s="1250"/>
      <c r="M2" s="1250"/>
      <c r="N2" s="1250"/>
      <c r="O2" s="1251"/>
      <c r="P2" s="197"/>
      <c r="Q2" s="195"/>
      <c r="R2" s="196"/>
      <c r="S2" s="196"/>
      <c r="T2" s="196"/>
      <c r="U2" s="45"/>
      <c r="AQ2" s="45"/>
      <c r="AR2" s="45"/>
      <c r="AS2" s="45"/>
      <c r="AT2" s="45"/>
      <c r="AU2" s="45"/>
      <c r="AV2" s="45"/>
      <c r="AW2" s="45"/>
      <c r="AX2" s="45"/>
    </row>
    <row r="3" spans="1:51" ht="15" customHeight="1" x14ac:dyDescent="0.2">
      <c r="A3" s="863"/>
      <c r="B3" s="864"/>
      <c r="C3" s="864"/>
      <c r="D3" s="865"/>
      <c r="E3" s="1252"/>
      <c r="F3" s="1253"/>
      <c r="G3" s="1253"/>
      <c r="H3" s="1253"/>
      <c r="I3" s="1253"/>
      <c r="J3" s="1253"/>
      <c r="K3" s="1253"/>
      <c r="L3" s="1253"/>
      <c r="M3" s="1253"/>
      <c r="N3" s="1253"/>
      <c r="O3" s="1254"/>
      <c r="P3" s="197"/>
      <c r="Q3" s="11" t="s">
        <v>361</v>
      </c>
      <c r="R3" s="196"/>
      <c r="S3" s="196"/>
      <c r="T3" s="196"/>
      <c r="U3" s="45"/>
      <c r="AQ3" s="45"/>
      <c r="AR3" s="45"/>
      <c r="AS3" s="45"/>
      <c r="AT3" s="45"/>
      <c r="AU3" s="45"/>
      <c r="AV3" s="45"/>
      <c r="AW3" s="45"/>
      <c r="AX3" s="45"/>
    </row>
    <row r="4" spans="1:51" ht="14.1" customHeight="1" x14ac:dyDescent="0.2">
      <c r="A4" s="863"/>
      <c r="B4" s="864"/>
      <c r="C4" s="864"/>
      <c r="D4" s="865"/>
      <c r="E4" s="869" t="s">
        <v>323</v>
      </c>
      <c r="F4" s="870"/>
      <c r="G4" s="870"/>
      <c r="H4" s="870"/>
      <c r="I4" s="870"/>
      <c r="J4" s="870"/>
      <c r="K4" s="870"/>
      <c r="L4" s="871"/>
      <c r="M4" s="869" t="s">
        <v>322</v>
      </c>
      <c r="N4" s="870"/>
      <c r="O4" s="871"/>
      <c r="P4" s="104"/>
      <c r="Q4" s="175"/>
      <c r="R4" s="175"/>
      <c r="S4" s="175"/>
      <c r="T4" s="175"/>
      <c r="U4" s="45"/>
      <c r="V4" s="45"/>
      <c r="W4" s="45"/>
      <c r="X4" s="45"/>
      <c r="Y4" s="45"/>
      <c r="AH4" s="45"/>
      <c r="AI4" s="45"/>
      <c r="AQ4" s="45"/>
      <c r="AR4" s="45"/>
      <c r="AS4" s="45"/>
      <c r="AT4" s="45"/>
      <c r="AU4" s="45"/>
      <c r="AV4" s="45"/>
      <c r="AW4" s="45"/>
      <c r="AX4" s="45"/>
    </row>
    <row r="5" spans="1:51" ht="14.1" customHeight="1" x14ac:dyDescent="0.2">
      <c r="A5" s="866"/>
      <c r="B5" s="867"/>
      <c r="C5" s="867"/>
      <c r="D5" s="868"/>
      <c r="E5" s="869" t="s">
        <v>354</v>
      </c>
      <c r="F5" s="870"/>
      <c r="G5" s="870"/>
      <c r="H5" s="870"/>
      <c r="I5" s="870"/>
      <c r="J5" s="870"/>
      <c r="K5" s="870"/>
      <c r="L5" s="870"/>
      <c r="M5" s="870"/>
      <c r="N5" s="870"/>
      <c r="O5" s="871"/>
      <c r="P5" s="104"/>
      <c r="Y5" s="45"/>
      <c r="AH5" s="45"/>
      <c r="AI5" s="45"/>
      <c r="AQ5" s="45"/>
      <c r="AR5" s="45"/>
      <c r="AS5" s="45"/>
      <c r="AT5" s="45"/>
      <c r="AU5" s="45"/>
      <c r="AV5" s="45"/>
      <c r="AW5" s="45"/>
      <c r="AX5" s="45"/>
    </row>
    <row r="6" spans="1:51" ht="14.1" customHeight="1" x14ac:dyDescent="0.2">
      <c r="A6" s="705" t="s">
        <v>41</v>
      </c>
      <c r="B6" s="698"/>
      <c r="C6" s="698"/>
      <c r="E6" s="1255" t="str">
        <f>IF(Resumen!E6="","",Resumen!E6)</f>
        <v/>
      </c>
      <c r="F6" s="1255"/>
      <c r="G6" s="1255"/>
      <c r="H6" s="1255"/>
      <c r="I6" s="1255"/>
      <c r="J6" s="1255"/>
      <c r="K6" s="698" t="s">
        <v>59</v>
      </c>
      <c r="L6" s="698"/>
      <c r="M6" s="881" t="str">
        <f>+IF(Resumen!M6="","",Resumen!M6)</f>
        <v/>
      </c>
      <c r="N6" s="881"/>
      <c r="O6" s="1046"/>
      <c r="P6" s="114"/>
      <c r="AH6" s="45"/>
      <c r="AI6" s="45"/>
      <c r="AQ6" s="45"/>
      <c r="AR6" s="45"/>
      <c r="AS6" s="45"/>
      <c r="AT6" s="45"/>
      <c r="AU6" s="45"/>
      <c r="AV6" s="45"/>
      <c r="AW6" s="45"/>
      <c r="AX6" s="45"/>
    </row>
    <row r="7" spans="1:51" ht="14.1" customHeight="1" x14ac:dyDescent="0.2">
      <c r="A7" s="872" t="s">
        <v>42</v>
      </c>
      <c r="B7" s="873"/>
      <c r="C7" s="873"/>
      <c r="E7" s="1142" t="str">
        <f>+IF(Resumen!E7="","",Resumen!E7)</f>
        <v/>
      </c>
      <c r="F7" s="1142"/>
      <c r="G7" s="1142"/>
      <c r="H7" s="1142"/>
      <c r="I7" s="1142"/>
      <c r="J7" s="1142"/>
      <c r="K7" s="700" t="s">
        <v>47</v>
      </c>
      <c r="L7" s="700"/>
      <c r="M7" s="1047" t="str">
        <f>+IF(Resumen!M7="","",Resumen!M7)</f>
        <v/>
      </c>
      <c r="N7" s="1047"/>
      <c r="O7" s="1048"/>
      <c r="P7" s="114"/>
      <c r="AH7" s="45"/>
      <c r="AI7" s="45"/>
      <c r="AQ7" s="45"/>
      <c r="AR7" s="45"/>
      <c r="AS7" s="45"/>
      <c r="AT7" s="45"/>
      <c r="AU7" s="45"/>
      <c r="AV7" s="45"/>
      <c r="AW7" s="45"/>
      <c r="AX7" s="45"/>
    </row>
    <row r="8" spans="1:51" ht="14.1" customHeight="1" x14ac:dyDescent="0.2">
      <c r="A8" s="872" t="s">
        <v>56</v>
      </c>
      <c r="B8" s="873"/>
      <c r="C8" s="873"/>
      <c r="D8" s="873"/>
      <c r="E8" s="1047" t="str">
        <f>+IF(Resumen!E8="","",Resumen!E8)</f>
        <v/>
      </c>
      <c r="F8" s="1047"/>
      <c r="G8" s="1047"/>
      <c r="H8" s="1047"/>
      <c r="I8" s="1047"/>
      <c r="J8" s="1047"/>
      <c r="K8" s="700" t="s">
        <v>60</v>
      </c>
      <c r="L8" s="700"/>
      <c r="M8" s="1028" t="str">
        <f>+IF(Resumen!M8="","",Resumen!M8)</f>
        <v/>
      </c>
      <c r="N8" s="1028"/>
      <c r="O8" s="1029"/>
      <c r="P8" s="224"/>
      <c r="AH8" s="45"/>
      <c r="AI8" s="45"/>
      <c r="AQ8" s="45"/>
      <c r="AR8" s="45"/>
      <c r="AS8" s="45"/>
      <c r="AT8" s="45"/>
      <c r="AU8" s="45"/>
      <c r="AV8" s="45"/>
      <c r="AW8" s="45"/>
      <c r="AX8" s="45"/>
    </row>
    <row r="9" spans="1:51" ht="14.1" customHeight="1" x14ac:dyDescent="0.2">
      <c r="A9" s="877" t="s">
        <v>379</v>
      </c>
      <c r="B9" s="878"/>
      <c r="C9" s="878"/>
      <c r="D9" s="878"/>
      <c r="E9" s="1047" t="str">
        <f>+IF(Resumen!E9="","",Resumen!E9)</f>
        <v/>
      </c>
      <c r="F9" s="1047"/>
      <c r="G9" s="1047"/>
      <c r="H9" s="1047"/>
      <c r="I9" s="1047"/>
      <c r="J9" s="1047"/>
      <c r="K9" s="700" t="s">
        <v>61</v>
      </c>
      <c r="L9" s="700"/>
      <c r="M9" s="1028" t="str">
        <f>+IF(Resumen!M9="","",Resumen!M9)</f>
        <v/>
      </c>
      <c r="N9" s="1028"/>
      <c r="O9" s="1029"/>
      <c r="P9" s="224"/>
      <c r="Q9" s="45"/>
      <c r="R9" s="45"/>
      <c r="S9" s="45"/>
      <c r="T9" s="45"/>
      <c r="U9" s="45"/>
      <c r="V9" s="45"/>
      <c r="W9" s="45"/>
      <c r="X9" s="45"/>
      <c r="Y9" s="45"/>
      <c r="AH9" s="45"/>
      <c r="AI9" s="45"/>
      <c r="AQ9" s="45"/>
      <c r="AR9" s="45"/>
      <c r="AS9" s="45"/>
      <c r="AT9" s="45"/>
      <c r="AU9" s="45"/>
      <c r="AV9" s="45"/>
      <c r="AW9" s="45"/>
      <c r="AX9" s="45"/>
    </row>
    <row r="10" spans="1:51" ht="14.1" customHeight="1" x14ac:dyDescent="0.2">
      <c r="A10" s="708" t="s">
        <v>201</v>
      </c>
      <c r="B10" s="700"/>
      <c r="C10" s="700"/>
      <c r="E10" s="1047" t="str">
        <f>+IF(Resumen!E10="","",Resumen!E10)</f>
        <v/>
      </c>
      <c r="F10" s="1047"/>
      <c r="G10" s="1047"/>
      <c r="H10" s="1047"/>
      <c r="I10" s="1047"/>
      <c r="J10" s="1047"/>
      <c r="K10" s="700" t="s">
        <v>53</v>
      </c>
      <c r="L10" s="700"/>
      <c r="M10" s="875"/>
      <c r="N10" s="875"/>
      <c r="O10" s="876"/>
      <c r="P10" s="224"/>
      <c r="Q10" s="305"/>
      <c r="R10" s="305"/>
      <c r="S10" s="305"/>
      <c r="T10" s="305"/>
      <c r="U10" s="305"/>
      <c r="V10" s="305"/>
      <c r="W10" s="305"/>
      <c r="X10" s="305"/>
      <c r="Y10" s="45"/>
      <c r="AB10" s="2"/>
      <c r="AH10" s="45"/>
      <c r="AI10" s="45"/>
      <c r="AQ10" s="45"/>
      <c r="AR10" s="45"/>
      <c r="AS10" s="45"/>
      <c r="AT10" s="45"/>
      <c r="AU10" s="45"/>
      <c r="AV10" s="45"/>
      <c r="AW10" s="45"/>
      <c r="AX10" s="45"/>
    </row>
    <row r="11" spans="1:51" ht="15" customHeight="1" thickBot="1" x14ac:dyDescent="0.25">
      <c r="A11" s="708" t="s">
        <v>91</v>
      </c>
      <c r="B11" s="700"/>
      <c r="C11" s="700"/>
      <c r="E11" s="1067" t="str">
        <f>+IF(Resumen!E11="","",Resumen!E11)</f>
        <v/>
      </c>
      <c r="F11" s="1067"/>
      <c r="G11" s="1067"/>
      <c r="H11" s="1067"/>
      <c r="I11" s="1067"/>
      <c r="J11" s="1067"/>
      <c r="K11" s="1045" t="s">
        <v>258</v>
      </c>
      <c r="L11" s="1045"/>
      <c r="M11" s="1028" t="str">
        <f>+IF(Resumen!M11="","",Resumen!M11)</f>
        <v/>
      </c>
      <c r="N11" s="1028"/>
      <c r="O11" s="1029"/>
      <c r="P11" s="106"/>
      <c r="Q11" s="305"/>
      <c r="R11" s="305"/>
      <c r="S11" s="305"/>
      <c r="T11" s="305"/>
      <c r="U11" s="305"/>
      <c r="V11" s="305"/>
      <c r="W11" s="305"/>
      <c r="X11" s="305"/>
      <c r="Y11" s="45"/>
      <c r="AB11" s="2"/>
      <c r="AH11" s="45"/>
      <c r="AI11" s="45"/>
      <c r="AQ11" s="45"/>
      <c r="AR11" s="45"/>
      <c r="AS11" s="45"/>
      <c r="AT11" s="45"/>
      <c r="AU11" s="45"/>
      <c r="AV11" s="45"/>
      <c r="AW11" s="45"/>
      <c r="AX11" s="45"/>
    </row>
    <row r="12" spans="1:51" ht="15" customHeight="1" thickTop="1" x14ac:dyDescent="0.2">
      <c r="A12" s="709"/>
      <c r="B12" s="710"/>
      <c r="C12" s="710"/>
      <c r="D12" s="710"/>
      <c r="E12" s="1068"/>
      <c r="F12" s="1068"/>
      <c r="G12" s="1068"/>
      <c r="H12" s="1068"/>
      <c r="I12" s="1068"/>
      <c r="J12" s="1068"/>
      <c r="K12" s="702" t="s">
        <v>164</v>
      </c>
      <c r="L12" s="704"/>
      <c r="M12" s="874"/>
      <c r="N12" s="874"/>
      <c r="O12" s="884"/>
      <c r="P12" s="1259" t="s">
        <v>362</v>
      </c>
      <c r="Q12" s="1261" t="s">
        <v>290</v>
      </c>
      <c r="R12" s="1261"/>
      <c r="S12" s="1261"/>
      <c r="T12" s="1261"/>
      <c r="U12" s="1261"/>
      <c r="V12" s="1261"/>
      <c r="W12" s="1261"/>
      <c r="X12" s="1262"/>
      <c r="Y12" s="45"/>
      <c r="AB12" s="2"/>
      <c r="AH12" s="45"/>
      <c r="AI12" s="45"/>
      <c r="AQ12" s="45"/>
      <c r="AR12" s="45"/>
      <c r="AS12" s="45"/>
      <c r="AT12" s="45"/>
      <c r="AU12" s="45"/>
      <c r="AV12" s="45"/>
      <c r="AW12" s="45"/>
      <c r="AX12" s="45"/>
    </row>
    <row r="13" spans="1:51" ht="24.95" customHeight="1" x14ac:dyDescent="0.2">
      <c r="A13" s="1222" t="s">
        <v>226</v>
      </c>
      <c r="B13" s="1223"/>
      <c r="C13" s="1223"/>
      <c r="D13" s="1223"/>
      <c r="E13" s="1223"/>
      <c r="F13" s="1223"/>
      <c r="G13" s="1223"/>
      <c r="H13" s="1223"/>
      <c r="I13" s="1223"/>
      <c r="J13" s="1223"/>
      <c r="K13" s="1223"/>
      <c r="L13" s="1223"/>
      <c r="M13" s="1223"/>
      <c r="N13" s="1223"/>
      <c r="O13" s="1224"/>
      <c r="P13" s="1260"/>
      <c r="Q13" s="1264">
        <v>1</v>
      </c>
      <c r="R13" s="1265"/>
      <c r="S13" s="1266">
        <v>2</v>
      </c>
      <c r="T13" s="1265"/>
      <c r="U13" s="1266">
        <v>3</v>
      </c>
      <c r="V13" s="1265"/>
      <c r="W13" s="1266">
        <v>4</v>
      </c>
      <c r="X13" s="1267"/>
      <c r="Y13" s="45"/>
      <c r="AB13" s="2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</row>
    <row r="14" spans="1:51" ht="17.25" customHeight="1" x14ac:dyDescent="0.2">
      <c r="A14" s="1216" t="s">
        <v>158</v>
      </c>
      <c r="B14" s="1217"/>
      <c r="C14" s="1217"/>
      <c r="D14" s="1217"/>
      <c r="E14" s="71"/>
      <c r="F14" s="71"/>
      <c r="G14" s="72"/>
      <c r="H14" s="1218" t="s">
        <v>6</v>
      </c>
      <c r="I14" s="1218"/>
      <c r="J14" s="696">
        <v>1</v>
      </c>
      <c r="K14" s="696">
        <v>2</v>
      </c>
      <c r="L14" s="696">
        <v>3</v>
      </c>
      <c r="M14" s="696">
        <v>4</v>
      </c>
      <c r="N14" s="1203"/>
      <c r="O14" s="1204"/>
      <c r="P14" s="1256" t="str">
        <f>IF(U33="","",IF(U33="ESTA FUERA DEL ALCANCE",U33,""))</f>
        <v/>
      </c>
      <c r="Q14" s="661"/>
      <c r="R14" s="408"/>
      <c r="S14" s="408"/>
      <c r="T14" s="408"/>
      <c r="U14" s="408"/>
      <c r="V14" s="408"/>
      <c r="W14" s="408"/>
      <c r="X14" s="409"/>
      <c r="Y14" s="57"/>
      <c r="AB14" s="2"/>
      <c r="AH14" s="57"/>
      <c r="AI14" s="57"/>
      <c r="AJ14" s="57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</row>
    <row r="15" spans="1:51" ht="24.95" customHeight="1" thickBot="1" x14ac:dyDescent="0.25">
      <c r="A15" s="1207" t="s">
        <v>235</v>
      </c>
      <c r="B15" s="1208"/>
      <c r="C15" s="1208"/>
      <c r="D15" s="1208"/>
      <c r="E15" s="1208"/>
      <c r="F15" s="1208"/>
      <c r="G15" s="1208"/>
      <c r="H15" s="1202" t="s">
        <v>11</v>
      </c>
      <c r="I15" s="1202"/>
      <c r="J15" s="58" t="str">
        <f>+IF(Q14="","",AVERAGE(Q14:R15))</f>
        <v/>
      </c>
      <c r="K15" s="58" t="str">
        <f>+IF(S14="","",AVERAGE(S14:T15))</f>
        <v/>
      </c>
      <c r="L15" s="58" t="str">
        <f>+IF(U14="","",AVERAGE(U14:V15))</f>
        <v/>
      </c>
      <c r="M15" s="58" t="str">
        <f>+IF(W14="","",AVERAGE(W14:X15))</f>
        <v/>
      </c>
      <c r="N15" s="1205"/>
      <c r="O15" s="1206"/>
      <c r="P15" s="1256"/>
      <c r="Q15" s="662"/>
      <c r="R15" s="410"/>
      <c r="S15" s="410"/>
      <c r="T15" s="410"/>
      <c r="U15" s="410"/>
      <c r="V15" s="410"/>
      <c r="W15" s="410"/>
      <c r="X15" s="411"/>
      <c r="Y15" s="1"/>
      <c r="AB15" s="2"/>
      <c r="AH15" s="57"/>
      <c r="AI15" s="57"/>
      <c r="AJ15" s="57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</row>
    <row r="16" spans="1:51" ht="24.95" customHeight="1" thickTop="1" thickBot="1" x14ac:dyDescent="0.25">
      <c r="A16" s="1207" t="s">
        <v>310</v>
      </c>
      <c r="B16" s="1221"/>
      <c r="C16" s="1221"/>
      <c r="D16" s="1221"/>
      <c r="E16" s="1221"/>
      <c r="F16" s="1221"/>
      <c r="G16" s="1221"/>
      <c r="H16" s="1202" t="s">
        <v>11</v>
      </c>
      <c r="I16" s="1202"/>
      <c r="J16" s="58" t="str">
        <f>+IF(Q19="","",AVERAGE(Q19:R19))</f>
        <v/>
      </c>
      <c r="K16" s="58" t="str">
        <f>+IF(S19="","",AVERAGE(S19:T19))</f>
        <v/>
      </c>
      <c r="L16" s="58" t="str">
        <f>+IF(U19="","",AVERAGE(U19:V19))</f>
        <v/>
      </c>
      <c r="M16" s="58" t="str">
        <f>+IF(W19="","",AVERAGE(W19:X19))</f>
        <v/>
      </c>
      <c r="N16" s="1205"/>
      <c r="O16" s="1206"/>
      <c r="P16" s="1256"/>
      <c r="Q16" s="305"/>
      <c r="R16" s="305"/>
      <c r="S16" s="305"/>
      <c r="T16" s="305"/>
      <c r="U16" s="305"/>
      <c r="V16" s="305"/>
      <c r="W16" s="305"/>
      <c r="X16" s="305"/>
      <c r="Y16" s="1"/>
      <c r="AG16" s="57"/>
      <c r="AH16" s="57"/>
      <c r="AI16" s="57"/>
      <c r="AJ16" s="57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</row>
    <row r="17" spans="1:57" ht="24.95" customHeight="1" thickTop="1" x14ac:dyDescent="0.2">
      <c r="A17" s="1220" t="s">
        <v>76</v>
      </c>
      <c r="B17" s="1221"/>
      <c r="C17" s="1221"/>
      <c r="D17" s="1221"/>
      <c r="E17" s="1221"/>
      <c r="F17" s="1221"/>
      <c r="G17" s="1221"/>
      <c r="H17" s="1219" t="s">
        <v>64</v>
      </c>
      <c r="I17" s="1219"/>
      <c r="J17" s="10"/>
      <c r="K17" s="10"/>
      <c r="L17" s="10"/>
      <c r="M17" s="10"/>
      <c r="N17" s="1205"/>
      <c r="O17" s="1206"/>
      <c r="P17" s="1256"/>
      <c r="Q17" s="1268" t="s">
        <v>311</v>
      </c>
      <c r="R17" s="1268"/>
      <c r="S17" s="1268"/>
      <c r="T17" s="1268"/>
      <c r="U17" s="1268"/>
      <c r="V17" s="1268"/>
      <c r="W17" s="1268"/>
      <c r="X17" s="1269"/>
      <c r="Y17" s="2"/>
      <c r="AG17" s="57"/>
      <c r="AH17" s="57"/>
      <c r="AI17" s="57"/>
      <c r="AJ17" s="57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</row>
    <row r="18" spans="1:57" ht="24.95" customHeight="1" x14ac:dyDescent="0.2">
      <c r="A18" s="1220" t="s">
        <v>159</v>
      </c>
      <c r="B18" s="1221"/>
      <c r="C18" s="1221"/>
      <c r="D18" s="1221"/>
      <c r="E18" s="1221"/>
      <c r="F18" s="1221"/>
      <c r="G18" s="1221"/>
      <c r="H18" s="1202" t="s">
        <v>40</v>
      </c>
      <c r="I18" s="1202"/>
      <c r="J18" s="10"/>
      <c r="K18" s="10"/>
      <c r="L18" s="10"/>
      <c r="M18" s="10"/>
      <c r="N18" s="1205"/>
      <c r="O18" s="1206"/>
      <c r="P18" s="1257" t="str">
        <f>IF(S21="","",IF(S21="No cumple precisión",S21,""))</f>
        <v/>
      </c>
      <c r="Q18" s="1264">
        <v>1</v>
      </c>
      <c r="R18" s="1265"/>
      <c r="S18" s="1266">
        <v>2</v>
      </c>
      <c r="T18" s="1265"/>
      <c r="U18" s="1266">
        <v>3</v>
      </c>
      <c r="V18" s="1265"/>
      <c r="W18" s="1266">
        <v>4</v>
      </c>
      <c r="X18" s="1267"/>
      <c r="Y18" s="57"/>
      <c r="Z18" s="241"/>
      <c r="AA18" s="277"/>
      <c r="AB18" s="277"/>
      <c r="AC18" s="119"/>
      <c r="AD18" s="119"/>
      <c r="AE18" s="57"/>
      <c r="AF18" s="57"/>
      <c r="AG18" s="57"/>
      <c r="AH18" s="57"/>
      <c r="AI18" s="57"/>
      <c r="AJ18" s="57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</row>
    <row r="19" spans="1:57" ht="24.95" customHeight="1" thickBot="1" x14ac:dyDescent="0.25">
      <c r="A19" s="1220" t="s">
        <v>160</v>
      </c>
      <c r="B19" s="1221"/>
      <c r="C19" s="1221"/>
      <c r="D19" s="1221"/>
      <c r="E19" s="1221"/>
      <c r="F19" s="1221"/>
      <c r="G19" s="1221"/>
      <c r="H19" s="1202" t="s">
        <v>40</v>
      </c>
      <c r="I19" s="1202"/>
      <c r="J19" s="9"/>
      <c r="K19" s="9"/>
      <c r="L19" s="9"/>
      <c r="M19" s="9"/>
      <c r="N19" s="1205"/>
      <c r="O19" s="1206"/>
      <c r="P19" s="1257"/>
      <c r="Q19" s="662"/>
      <c r="R19" s="410"/>
      <c r="S19" s="410"/>
      <c r="T19" s="410"/>
      <c r="U19" s="410"/>
      <c r="V19" s="410"/>
      <c r="W19" s="410"/>
      <c r="X19" s="411"/>
      <c r="Y19" s="2"/>
      <c r="AH19" s="57"/>
      <c r="AI19" s="57"/>
      <c r="AJ19" s="120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18"/>
      <c r="BA19" s="18"/>
      <c r="BB19" s="18"/>
      <c r="BC19" s="18"/>
    </row>
    <row r="20" spans="1:57" ht="24.95" customHeight="1" thickTop="1" thickBot="1" x14ac:dyDescent="0.25">
      <c r="A20" s="1207" t="s">
        <v>236</v>
      </c>
      <c r="B20" s="1208"/>
      <c r="C20" s="1208"/>
      <c r="D20" s="1208"/>
      <c r="E20" s="1208"/>
      <c r="F20" s="1208"/>
      <c r="G20" s="1208"/>
      <c r="H20" s="1202" t="s">
        <v>40</v>
      </c>
      <c r="I20" s="1202"/>
      <c r="J20" s="9"/>
      <c r="K20" s="9"/>
      <c r="L20" s="9"/>
      <c r="M20" s="9"/>
      <c r="N20" s="1205"/>
      <c r="O20" s="1206"/>
      <c r="P20" s="1258"/>
      <c r="Q20" s="305"/>
      <c r="R20" s="305"/>
      <c r="S20" s="305"/>
      <c r="T20" s="305"/>
      <c r="U20" s="305"/>
      <c r="V20" s="344"/>
      <c r="W20" s="344"/>
      <c r="X20" s="344"/>
      <c r="Y20" s="2"/>
      <c r="AH20" s="121"/>
      <c r="AI20" s="121"/>
      <c r="AJ20" s="120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18"/>
      <c r="BA20" s="18"/>
      <c r="BB20" s="18"/>
      <c r="BC20" s="18"/>
    </row>
    <row r="21" spans="1:57" ht="24.95" customHeight="1" thickTop="1" x14ac:dyDescent="0.2">
      <c r="A21" s="1207" t="s">
        <v>220</v>
      </c>
      <c r="B21" s="1208"/>
      <c r="C21" s="1208"/>
      <c r="D21" s="1208"/>
      <c r="E21" s="1208"/>
      <c r="F21" s="1208"/>
      <c r="G21" s="1208"/>
      <c r="H21" s="1202" t="s">
        <v>40</v>
      </c>
      <c r="I21" s="1202"/>
      <c r="J21" s="58" t="str">
        <f>IF(J20="","",+J20-J19)</f>
        <v/>
      </c>
      <c r="K21" s="58" t="str">
        <f>IF(K20="","",+K20-K19)</f>
        <v/>
      </c>
      <c r="L21" s="58" t="str">
        <f>IF(L20="","",+L20-L19)</f>
        <v/>
      </c>
      <c r="M21" s="58" t="str">
        <f>IF(M20="","",+M20-M19)</f>
        <v/>
      </c>
      <c r="N21" s="1212" t="s">
        <v>5</v>
      </c>
      <c r="O21" s="1213"/>
      <c r="P21" s="227"/>
      <c r="Q21" s="1168" t="s">
        <v>335</v>
      </c>
      <c r="R21" s="1169"/>
      <c r="S21" s="1170" t="str">
        <f>IF(J22="","",IF(AND(L28=Q29,OR(MAX(J22:K22)-MIN(J22:K22)&gt;0.023,MAX(J22:L22)-MIN(J22:L22)&gt;0.026,MAX(J22:M22)-MIN(J22:M22)&gt;0.029)),"No cumple precisión",IF(AND(L28=Q28,OR(MAX(J22:K22)-MIN(J22:K22)&gt;0.037,MAX(J22:L22)-MIN(J22:L22)&gt;0.043,MAX(J22:M22)-MIN(J22:M22)&gt;0.047)),"No cumple precisión","Cumple la precisión")))</f>
        <v/>
      </c>
      <c r="T21" s="1171"/>
      <c r="U21" s="305"/>
      <c r="AH21" s="121"/>
      <c r="AI21" s="121"/>
      <c r="AJ21" s="57"/>
      <c r="AK21" s="57"/>
      <c r="AL21" s="57"/>
      <c r="AM21" s="57"/>
      <c r="AN21" s="57"/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18"/>
      <c r="BA21" s="18"/>
      <c r="BB21" s="18"/>
      <c r="BC21" s="18"/>
    </row>
    <row r="22" spans="1:57" ht="24.95" customHeight="1" x14ac:dyDescent="0.2">
      <c r="A22" s="1214" t="s">
        <v>140</v>
      </c>
      <c r="B22" s="1215"/>
      <c r="C22" s="1215"/>
      <c r="D22" s="1215"/>
      <c r="E22" s="1215"/>
      <c r="F22" s="1215"/>
      <c r="G22" s="1215"/>
      <c r="H22" s="1209"/>
      <c r="I22" s="1209"/>
      <c r="J22" s="59" t="str">
        <f>IF(J18="","",+J18/J21)</f>
        <v/>
      </c>
      <c r="K22" s="59" t="str">
        <f>IF(K18="","",+K18/K21)</f>
        <v/>
      </c>
      <c r="L22" s="59" t="str">
        <f>IF(L18="","",+L18/L21)</f>
        <v/>
      </c>
      <c r="M22" s="59" t="str">
        <f>IF(M18="","",+M18/M21)</f>
        <v/>
      </c>
      <c r="N22" s="1210" t="str">
        <f>IF(J22="","",+AVERAGE(J22:M22))</f>
        <v/>
      </c>
      <c r="O22" s="1211"/>
      <c r="P22" s="227"/>
      <c r="Q22" s="1181" t="s">
        <v>342</v>
      </c>
      <c r="R22" s="1181"/>
      <c r="S22" s="1182" t="str">
        <f>IF(J24="","",IF(OR(J24&gt;2,K24&gt;2,L24&gt;2,M24&gt;2),"no cumple la absorsión","Cumple la absorción"))</f>
        <v/>
      </c>
      <c r="T22" s="1182"/>
      <c r="U22" s="305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18"/>
      <c r="BA22" s="18"/>
      <c r="BB22" s="18"/>
      <c r="BC22" s="18"/>
    </row>
    <row r="23" spans="1:57" ht="24.95" customHeight="1" x14ac:dyDescent="0.2">
      <c r="A23" s="1220" t="s">
        <v>237</v>
      </c>
      <c r="B23" s="1221"/>
      <c r="C23" s="1221"/>
      <c r="D23" s="1221"/>
      <c r="E23" s="1221"/>
      <c r="F23" s="1221"/>
      <c r="G23" s="1221"/>
      <c r="H23" s="1202" t="s">
        <v>118</v>
      </c>
      <c r="I23" s="1202"/>
      <c r="J23" s="60" t="str">
        <f>IF(J22="","",+J22*997)</f>
        <v/>
      </c>
      <c r="K23" s="60" t="str">
        <f>IF(K22="","",+K22*997)</f>
        <v/>
      </c>
      <c r="L23" s="60" t="str">
        <f>IF(L22="","",+L22*997)</f>
        <v/>
      </c>
      <c r="M23" s="60" t="str">
        <f>IF(M22="","",+M22*997)</f>
        <v/>
      </c>
      <c r="N23" s="1195" t="str">
        <f>IF(J23="","",+AVERAGE(J23:M23))</f>
        <v/>
      </c>
      <c r="O23" s="1196"/>
      <c r="P23" s="227"/>
      <c r="U23" s="305"/>
      <c r="V23" s="510"/>
      <c r="W23" s="510"/>
      <c r="X23" s="630"/>
      <c r="Y23" s="2"/>
      <c r="Z23" s="630"/>
      <c r="AA23" s="632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18"/>
      <c r="BA23" s="18"/>
      <c r="BB23" s="18"/>
      <c r="BC23" s="18"/>
    </row>
    <row r="24" spans="1:57" ht="24.95" customHeight="1" thickBot="1" x14ac:dyDescent="0.25">
      <c r="A24" s="1197" t="s">
        <v>141</v>
      </c>
      <c r="B24" s="1198"/>
      <c r="C24" s="1198"/>
      <c r="D24" s="1198"/>
      <c r="E24" s="1198"/>
      <c r="F24" s="1198"/>
      <c r="G24" s="1198"/>
      <c r="H24" s="1199" t="s">
        <v>39</v>
      </c>
      <c r="I24" s="1199"/>
      <c r="J24" s="61" t="str">
        <f>IF(J20="","",+(J20-J18)/(J20-J19)*100)</f>
        <v/>
      </c>
      <c r="K24" s="61" t="str">
        <f>IF(K19="","",+(K20-K18)/(K20-K19)*100)</f>
        <v/>
      </c>
      <c r="L24" s="61" t="str">
        <f>IF(L20="","",+(L20-L18)/(L20-L19)*100)</f>
        <v/>
      </c>
      <c r="M24" s="61" t="str">
        <f>IF(M20="","",+(M20-M18)/(M20-M19)*100)</f>
        <v/>
      </c>
      <c r="N24" s="1200" t="str">
        <f>IF(J24="","",+AVERAGE(J24:M24))</f>
        <v/>
      </c>
      <c r="O24" s="1201"/>
      <c r="P24" s="227"/>
      <c r="V24" s="408" t="s">
        <v>332</v>
      </c>
      <c r="W24" s="186" t="s">
        <v>333</v>
      </c>
      <c r="X24" s="628" t="s">
        <v>334</v>
      </c>
      <c r="Y24" s="629" t="s">
        <v>312</v>
      </c>
      <c r="Z24" s="631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18"/>
      <c r="BA24" s="18"/>
      <c r="BB24" s="18"/>
      <c r="BC24" s="18"/>
    </row>
    <row r="25" spans="1:57" ht="24.95" customHeight="1" thickTop="1" x14ac:dyDescent="0.2">
      <c r="A25" s="1190" t="s">
        <v>155</v>
      </c>
      <c r="B25" s="1191"/>
      <c r="C25" s="1191"/>
      <c r="D25" s="1191"/>
      <c r="E25" s="1191"/>
      <c r="F25" s="1191"/>
      <c r="G25" s="1191"/>
      <c r="H25" s="1191"/>
      <c r="I25" s="1191"/>
      <c r="J25" s="1191"/>
      <c r="K25" s="1191"/>
      <c r="L25" s="1191"/>
      <c r="M25" s="1191"/>
      <c r="N25" s="1191"/>
      <c r="O25" s="1192"/>
      <c r="P25" s="115"/>
      <c r="Q25" s="412" t="s">
        <v>312</v>
      </c>
      <c r="R25" s="413" t="s">
        <v>313</v>
      </c>
      <c r="S25" s="1166" t="s">
        <v>314</v>
      </c>
      <c r="T25" s="1167"/>
      <c r="V25" s="626" t="str">
        <f>'782'!E18</f>
        <v/>
      </c>
      <c r="W25" s="627" t="str">
        <f>+'782'!E27</f>
        <v/>
      </c>
      <c r="X25" s="627" t="str">
        <f>IF(W25="","",100-W25)</f>
        <v/>
      </c>
      <c r="Y25" s="177" t="str">
        <f>IF(E8="","",IF(X25&gt;=15,Q26,IF(X26&gt;=15,Q27,IF(X27&gt;=15,Q28,IF(OR(X28&gt;=15,X29&gt;=15,X30&gt;=15),Q29,"")))))</f>
        <v/>
      </c>
      <c r="AG25" s="1263"/>
      <c r="AH25" s="1263"/>
      <c r="AI25" s="1263"/>
      <c r="AK25" s="127"/>
      <c r="AL25" s="127"/>
      <c r="AM25" s="127"/>
      <c r="AN25" s="12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18"/>
      <c r="BA25" s="18"/>
      <c r="BB25" s="18"/>
      <c r="BC25" s="18"/>
    </row>
    <row r="26" spans="1:57" ht="24.95" customHeight="1" thickBot="1" x14ac:dyDescent="0.25">
      <c r="A26" s="1185" t="s">
        <v>85</v>
      </c>
      <c r="B26" s="1186"/>
      <c r="C26" s="1186"/>
      <c r="D26" s="1186"/>
      <c r="E26" s="1186"/>
      <c r="F26" s="45"/>
      <c r="G26" s="1175"/>
      <c r="H26" s="1176"/>
      <c r="I26" s="1177" t="s">
        <v>222</v>
      </c>
      <c r="J26" s="1178"/>
      <c r="K26" s="1178"/>
      <c r="L26" s="1179" t="str">
        <f>IF(G27="","","Pesado en el aire")</f>
        <v/>
      </c>
      <c r="M26" s="1179"/>
      <c r="N26" s="1179"/>
      <c r="O26" s="1180"/>
      <c r="Q26" s="414" t="s">
        <v>210</v>
      </c>
      <c r="R26" s="415">
        <v>5000</v>
      </c>
      <c r="S26" s="650" t="str">
        <f>IF(AND($L$28=Q26,$G$27&lt;R26),"No cumple","Cumple")</f>
        <v>Cumple</v>
      </c>
      <c r="T26" s="636" t="str">
        <f>IF(L28="","",VLOOKUP(L28,Q26:S29,3,0))</f>
        <v/>
      </c>
      <c r="V26" s="626" t="str">
        <f>+'782'!F18</f>
        <v/>
      </c>
      <c r="W26" s="627" t="str">
        <f>+'782'!F27</f>
        <v/>
      </c>
      <c r="X26" s="627" t="str">
        <f t="shared" ref="X26" si="0">IF(W26="","",100-W26)</f>
        <v/>
      </c>
      <c r="Z26" s="633"/>
      <c r="AG26" s="261"/>
      <c r="AH26" s="261"/>
      <c r="AI26" s="261"/>
      <c r="AK26" s="128"/>
      <c r="AL26" s="128"/>
      <c r="AM26" s="128"/>
      <c r="AN26" s="128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18"/>
      <c r="BA26" s="18"/>
      <c r="BB26" s="18"/>
      <c r="BC26" s="18"/>
    </row>
    <row r="27" spans="1:57" ht="24.95" customHeight="1" thickTop="1" x14ac:dyDescent="0.2">
      <c r="A27" s="1183" t="s">
        <v>106</v>
      </c>
      <c r="B27" s="1184"/>
      <c r="C27" s="1184"/>
      <c r="D27" s="1184"/>
      <c r="E27" s="1184"/>
      <c r="F27" s="62" t="s">
        <v>40</v>
      </c>
      <c r="G27" s="1187"/>
      <c r="H27" s="1188"/>
      <c r="I27" s="1177" t="s">
        <v>86</v>
      </c>
      <c r="J27" s="1178"/>
      <c r="K27" s="1178"/>
      <c r="L27" s="1178" t="str">
        <f>IF(G27="","","Picnómetro de vacío (figura 735-1)")</f>
        <v/>
      </c>
      <c r="M27" s="1178"/>
      <c r="N27" s="1178"/>
      <c r="O27" s="1189"/>
      <c r="P27" s="1193" t="s">
        <v>362</v>
      </c>
      <c r="Q27" s="663" t="s">
        <v>0</v>
      </c>
      <c r="R27" s="415">
        <v>2500</v>
      </c>
      <c r="S27" s="650" t="str">
        <f t="shared" ref="S27:S29" si="1">+IF(AND($L$28=Q27,$G$27&lt;R27),"No cumple","Cumple")</f>
        <v>Cumple</v>
      </c>
      <c r="T27" s="636"/>
      <c r="V27" s="626" t="str">
        <f>+'782'!G18</f>
        <v/>
      </c>
      <c r="W27" s="625" t="str">
        <f>+'782'!G27</f>
        <v/>
      </c>
      <c r="X27" s="627" t="str">
        <f>IF(W27="","",100-W27)</f>
        <v/>
      </c>
      <c r="Y27" s="344"/>
      <c r="AG27" s="124"/>
      <c r="AH27" s="124"/>
      <c r="AI27" s="124"/>
      <c r="AK27" s="128"/>
      <c r="AL27" s="128"/>
      <c r="AM27" s="128"/>
      <c r="AN27" s="128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18"/>
      <c r="BA27" s="18"/>
      <c r="BB27" s="18"/>
      <c r="BC27" s="18"/>
    </row>
    <row r="28" spans="1:57" ht="24.95" customHeight="1" x14ac:dyDescent="0.2">
      <c r="A28" s="1226" t="s">
        <v>139</v>
      </c>
      <c r="B28" s="1227"/>
      <c r="C28" s="1227"/>
      <c r="D28" s="1227"/>
      <c r="E28" s="1227"/>
      <c r="F28" s="62" t="s">
        <v>40</v>
      </c>
      <c r="G28" s="1187"/>
      <c r="H28" s="1188"/>
      <c r="I28" s="1177" t="s">
        <v>117</v>
      </c>
      <c r="J28" s="1178"/>
      <c r="K28" s="1178"/>
      <c r="L28" s="1228" t="str">
        <f>IF(E8="","",Y25)</f>
        <v/>
      </c>
      <c r="M28" s="1228"/>
      <c r="N28" s="1228"/>
      <c r="O28" s="1229"/>
      <c r="P28" s="1194"/>
      <c r="Q28" s="663" t="s">
        <v>1</v>
      </c>
      <c r="R28" s="415">
        <v>2500</v>
      </c>
      <c r="S28" s="650" t="str">
        <f t="shared" si="1"/>
        <v>Cumple</v>
      </c>
      <c r="T28" s="636"/>
      <c r="V28" s="626" t="str">
        <f>+'782'!H18</f>
        <v/>
      </c>
      <c r="W28" s="625" t="str">
        <f>+'782'!H27</f>
        <v/>
      </c>
      <c r="X28" s="627" t="str">
        <f>IF(W28="","",100-W28)</f>
        <v/>
      </c>
      <c r="Y28" s="344"/>
      <c r="AK28" s="128"/>
      <c r="AL28" s="128"/>
      <c r="AM28" s="128"/>
      <c r="AN28" s="128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18"/>
      <c r="BA28" s="18"/>
      <c r="BB28" s="18"/>
      <c r="BC28" s="18"/>
    </row>
    <row r="29" spans="1:57" ht="24.95" customHeight="1" thickBot="1" x14ac:dyDescent="0.25">
      <c r="A29" s="1238" t="s">
        <v>200</v>
      </c>
      <c r="B29" s="1239"/>
      <c r="C29" s="1239"/>
      <c r="D29" s="1239"/>
      <c r="E29" s="1239"/>
      <c r="F29" s="62" t="s">
        <v>40</v>
      </c>
      <c r="G29" s="1240" t="str">
        <f>+IF(Q30="","",AVERAGE(Q30:R30))</f>
        <v/>
      </c>
      <c r="H29" s="1241"/>
      <c r="I29" s="293"/>
      <c r="J29" s="73"/>
      <c r="K29" s="73"/>
      <c r="L29" s="73"/>
      <c r="M29" s="73"/>
      <c r="N29" s="73"/>
      <c r="O29" s="74"/>
      <c r="P29" s="664" t="str">
        <f>+IF(D8="","",IF(T26="No cumple"," La muestra no cumple con el tamaño minimo",""))</f>
        <v/>
      </c>
      <c r="Q29" s="392" t="s">
        <v>4</v>
      </c>
      <c r="R29" s="666">
        <v>1500</v>
      </c>
      <c r="S29" s="651" t="str">
        <f t="shared" si="1"/>
        <v>Cumple</v>
      </c>
      <c r="T29" s="637"/>
      <c r="U29" s="649"/>
      <c r="V29" s="626" t="str">
        <f>+'782'!I18</f>
        <v/>
      </c>
      <c r="W29" s="625" t="str">
        <f>+'782'!I27</f>
        <v/>
      </c>
      <c r="X29" s="627" t="str">
        <f>IF(W29="","",100-W29)</f>
        <v/>
      </c>
      <c r="Z29" s="266"/>
      <c r="AA29" s="264"/>
      <c r="AB29" s="262"/>
      <c r="AC29" s="262"/>
      <c r="AD29" s="126"/>
      <c r="AE29" s="126"/>
      <c r="AF29" s="126"/>
      <c r="AG29" s="124"/>
      <c r="AH29" s="124"/>
      <c r="AI29" s="124"/>
      <c r="AK29" s="128"/>
      <c r="AL29" s="128"/>
      <c r="AM29" s="128"/>
      <c r="AN29" s="128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18"/>
      <c r="BA29" s="18"/>
      <c r="BB29" s="18"/>
      <c r="BC29" s="18"/>
    </row>
    <row r="30" spans="1:57" ht="24.95" customHeight="1" thickTop="1" thickBot="1" x14ac:dyDescent="0.25">
      <c r="A30" s="1233" t="s">
        <v>142</v>
      </c>
      <c r="B30" s="1234"/>
      <c r="C30" s="1234"/>
      <c r="D30" s="1234"/>
      <c r="E30" s="1234"/>
      <c r="F30" s="129"/>
      <c r="G30" s="1235" t="str">
        <f>IF(G27="","",(G27/(G27+G28-G29)))</f>
        <v/>
      </c>
      <c r="H30" s="1236"/>
      <c r="I30" s="293"/>
      <c r="J30" s="73"/>
      <c r="K30" s="73"/>
      <c r="L30" s="73"/>
      <c r="M30" s="73"/>
      <c r="N30" s="73"/>
      <c r="O30" s="74"/>
      <c r="P30" s="665" t="str">
        <f>IF(U35="","",IF(U35="ESTA FUERA DEL ALCANCE",U35,""))</f>
        <v/>
      </c>
      <c r="Q30" s="667"/>
      <c r="R30" s="668"/>
      <c r="V30" s="626" t="str">
        <f>+'782'!J19</f>
        <v/>
      </c>
      <c r="W30" s="625" t="str">
        <f>+'782'!J28</f>
        <v/>
      </c>
      <c r="X30" s="627" t="str">
        <f>IF(W30="","",100-W30)</f>
        <v/>
      </c>
      <c r="Y30" s="64"/>
      <c r="AG30" s="124"/>
      <c r="AH30" s="124"/>
      <c r="AI30" s="124"/>
      <c r="AK30" s="128"/>
      <c r="AL30" s="128"/>
      <c r="AM30" s="128"/>
      <c r="AN30" s="128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18"/>
      <c r="BA30" s="18"/>
      <c r="BB30" s="18"/>
      <c r="BC30" s="18"/>
    </row>
    <row r="31" spans="1:57" ht="25.5" customHeight="1" thickTop="1" x14ac:dyDescent="0.2">
      <c r="A31" s="1242" t="s">
        <v>360</v>
      </c>
      <c r="B31" s="988"/>
      <c r="C31" s="1243" t="str">
        <f>+IF(P30="ESTA FUERA DEL ALCANCE",Q3,"")</f>
        <v/>
      </c>
      <c r="D31" s="1243"/>
      <c r="E31" s="1243"/>
      <c r="F31" s="1243"/>
      <c r="G31" s="1243"/>
      <c r="H31" s="1243"/>
      <c r="I31" s="1243"/>
      <c r="J31" s="1243"/>
      <c r="K31" s="1243"/>
      <c r="L31" s="1243"/>
      <c r="M31" s="1243"/>
      <c r="N31" s="1243"/>
      <c r="O31" s="1244"/>
      <c r="W31" s="418"/>
      <c r="X31" s="419"/>
      <c r="Y31" s="64"/>
      <c r="Z31" s="266"/>
      <c r="AA31" s="265"/>
      <c r="AB31" s="263"/>
      <c r="AC31" s="263"/>
      <c r="AD31" s="126"/>
      <c r="AE31" s="126"/>
      <c r="AF31" s="126"/>
      <c r="AG31" s="124"/>
      <c r="AH31" s="124"/>
      <c r="AI31" s="124"/>
      <c r="AK31" s="128"/>
      <c r="AL31" s="128"/>
      <c r="AM31" s="128"/>
      <c r="AN31" s="128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18"/>
      <c r="BA31" s="18"/>
      <c r="BB31" s="18"/>
      <c r="BC31" s="18"/>
      <c r="BD31" s="18"/>
      <c r="BE31" s="18"/>
    </row>
    <row r="32" spans="1:57" ht="25.5" customHeight="1" x14ac:dyDescent="0.2">
      <c r="A32" s="1237"/>
      <c r="B32" s="990"/>
      <c r="C32" s="990"/>
      <c r="D32" s="990"/>
      <c r="E32" s="990"/>
      <c r="F32" s="990"/>
      <c r="G32" s="990"/>
      <c r="H32" s="990"/>
      <c r="I32" s="990"/>
      <c r="J32" s="990"/>
      <c r="K32" s="990"/>
      <c r="L32" s="990"/>
      <c r="M32" s="990"/>
      <c r="N32" s="990"/>
      <c r="O32" s="991"/>
      <c r="Q32" s="1172" t="s">
        <v>338</v>
      </c>
      <c r="R32" s="1173"/>
      <c r="S32" s="1173"/>
      <c r="T32" s="1173"/>
      <c r="U32" s="1173"/>
      <c r="V32" s="1174"/>
      <c r="W32" s="418"/>
      <c r="X32" s="419"/>
      <c r="Y32" s="64"/>
      <c r="Z32" s="266"/>
      <c r="AA32" s="265"/>
      <c r="AB32" s="263"/>
      <c r="AC32" s="263"/>
      <c r="AD32" s="126"/>
      <c r="AE32" s="126"/>
      <c r="AF32" s="126"/>
      <c r="AG32" s="124"/>
      <c r="AH32" s="124"/>
      <c r="AI32" s="124"/>
      <c r="AK32" s="128"/>
      <c r="AL32" s="128"/>
      <c r="AM32" s="128"/>
      <c r="AN32" s="128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18"/>
      <c r="BA32" s="18"/>
      <c r="BB32" s="18"/>
      <c r="BC32" s="18"/>
      <c r="BD32" s="18"/>
      <c r="BE32" s="18"/>
    </row>
    <row r="33" spans="1:57" ht="14.1" customHeight="1" x14ac:dyDescent="0.2">
      <c r="A33" s="1230" t="s">
        <v>197</v>
      </c>
      <c r="B33" s="1231"/>
      <c r="C33" s="1231"/>
      <c r="D33" s="1231"/>
      <c r="E33" s="1231"/>
      <c r="F33" s="1231"/>
      <c r="G33" s="1231"/>
      <c r="H33" s="1232"/>
      <c r="I33" s="1230" t="s">
        <v>9</v>
      </c>
      <c r="J33" s="1231"/>
      <c r="K33" s="1231"/>
      <c r="L33" s="1231"/>
      <c r="M33" s="1231"/>
      <c r="N33" s="1231"/>
      <c r="O33" s="1232"/>
      <c r="Q33" s="639" t="s">
        <v>336</v>
      </c>
      <c r="R33" s="640">
        <v>1.994</v>
      </c>
      <c r="S33" s="641" t="s">
        <v>337</v>
      </c>
      <c r="T33" s="640">
        <v>2.3159999999999998</v>
      </c>
      <c r="U33" s="1164" t="str">
        <f xml:space="preserve"> IF(N22="","",IF(OR(N22&lt;R33,N22&gt;T33), "ESTA FUERA DEL ALCANCE", "ESTA DENTRO DEL ALCANCE"))</f>
        <v/>
      </c>
      <c r="V33" s="1165"/>
      <c r="W33" s="418"/>
      <c r="X33" s="419"/>
      <c r="Y33" s="64"/>
      <c r="AG33" s="124"/>
      <c r="AH33" s="124"/>
      <c r="AI33" s="124"/>
      <c r="AK33" s="128"/>
      <c r="AL33" s="128"/>
      <c r="AM33" s="128"/>
      <c r="AN33" s="128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18"/>
      <c r="BA33" s="18"/>
      <c r="BB33" s="18"/>
      <c r="BC33" s="18"/>
      <c r="BD33" s="18"/>
      <c r="BE33" s="18"/>
    </row>
    <row r="34" spans="1:57" ht="45" customHeight="1" x14ac:dyDescent="0.2">
      <c r="A34" s="231"/>
      <c r="B34" s="229"/>
      <c r="C34" s="229"/>
      <c r="D34" s="229"/>
      <c r="E34" s="229"/>
      <c r="F34" s="229"/>
      <c r="G34" s="229"/>
      <c r="H34" s="230"/>
      <c r="I34" s="231"/>
      <c r="J34" s="229"/>
      <c r="K34" s="229"/>
      <c r="L34" s="229"/>
      <c r="M34" s="229"/>
      <c r="N34" s="229"/>
      <c r="O34" s="230"/>
      <c r="Q34" s="1172" t="s">
        <v>339</v>
      </c>
      <c r="R34" s="1173"/>
      <c r="S34" s="1173"/>
      <c r="T34" s="1173"/>
      <c r="U34" s="1173"/>
      <c r="V34" s="1174"/>
      <c r="AK34" s="128"/>
      <c r="AL34" s="128"/>
      <c r="AM34" s="128"/>
      <c r="AN34" s="128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18"/>
      <c r="BA34" s="18"/>
      <c r="BB34" s="18"/>
      <c r="BC34" s="18"/>
      <c r="BD34" s="18"/>
      <c r="BE34" s="18"/>
    </row>
    <row r="35" spans="1:57" ht="12.95" customHeight="1" x14ac:dyDescent="0.2">
      <c r="A35" s="998" t="s">
        <v>154</v>
      </c>
      <c r="B35" s="999"/>
      <c r="C35" s="999"/>
      <c r="D35" s="999"/>
      <c r="E35" s="999"/>
      <c r="F35" s="999"/>
      <c r="G35" s="999"/>
      <c r="H35" s="1000"/>
      <c r="I35" s="998" t="s">
        <v>154</v>
      </c>
      <c r="J35" s="999"/>
      <c r="K35" s="999"/>
      <c r="L35" s="999"/>
      <c r="M35" s="999"/>
      <c r="N35" s="999"/>
      <c r="O35" s="1000"/>
      <c r="Q35" s="639" t="s">
        <v>336</v>
      </c>
      <c r="R35" s="640">
        <v>2.2429999999999999</v>
      </c>
      <c r="S35" s="641" t="s">
        <v>337</v>
      </c>
      <c r="T35" s="642">
        <v>2.4</v>
      </c>
      <c r="U35" s="1164" t="str">
        <f xml:space="preserve"> IF(G30="","",IF(OR(G30&lt;R35,G30&gt;T35), "ESTA FUERA DEL ALCANCE", "ESTA DENTRO DEL ALCANCE"))</f>
        <v/>
      </c>
      <c r="V35" s="1165"/>
      <c r="W35" s="418"/>
      <c r="X35" s="419"/>
      <c r="Y35" s="64"/>
      <c r="AK35" s="128"/>
      <c r="AL35" s="128"/>
      <c r="AM35" s="128"/>
      <c r="AN35" s="128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18"/>
      <c r="BA35" s="18"/>
      <c r="BB35" s="18"/>
      <c r="BC35" s="18"/>
      <c r="BD35" s="18"/>
      <c r="BE35" s="18"/>
    </row>
    <row r="36" spans="1:57" ht="12.95" customHeight="1" thickBot="1" x14ac:dyDescent="0.25">
      <c r="A36" s="1001" t="str">
        <f>IF(A35="--","",VLOOKUP(A35,firmas!A34:B37,2,0))</f>
        <v/>
      </c>
      <c r="B36" s="1002"/>
      <c r="C36" s="1002"/>
      <c r="D36" s="1002"/>
      <c r="E36" s="1002"/>
      <c r="F36" s="1002"/>
      <c r="G36" s="1002"/>
      <c r="H36" s="1003"/>
      <c r="I36" s="1001" t="str">
        <f>IF(I35="--","",VLOOKUP(I35,firmas!$A$39:$B$40,2,0))</f>
        <v/>
      </c>
      <c r="J36" s="1002"/>
      <c r="K36" s="1002"/>
      <c r="L36" s="1002"/>
      <c r="M36" s="1002"/>
      <c r="N36" s="1002"/>
      <c r="O36" s="1003"/>
      <c r="Q36" s="305"/>
      <c r="R36" s="305"/>
      <c r="S36" s="305"/>
      <c r="T36" s="344"/>
      <c r="U36" s="420"/>
      <c r="V36" s="418"/>
      <c r="W36" s="418"/>
      <c r="X36" s="419"/>
      <c r="Y36" s="64"/>
      <c r="AC36" s="235"/>
      <c r="AD36" s="64"/>
      <c r="AE36" s="57"/>
      <c r="AF36" s="45"/>
      <c r="AG36" s="45"/>
      <c r="AH36" s="45"/>
      <c r="AI36" s="45"/>
      <c r="AK36" s="124"/>
      <c r="AL36" s="124"/>
      <c r="AM36" s="124"/>
      <c r="AN36" s="124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18"/>
      <c r="BA36" s="18"/>
      <c r="BB36" s="18"/>
      <c r="BC36" s="18"/>
      <c r="BD36" s="18"/>
      <c r="BE36" s="18"/>
    </row>
    <row r="37" spans="1:57" ht="12" customHeight="1" thickTop="1" thickBot="1" x14ac:dyDescent="0.25">
      <c r="A37" s="1020" t="s">
        <v>156</v>
      </c>
      <c r="B37" s="1020"/>
      <c r="C37" s="1020"/>
      <c r="D37" s="1020"/>
      <c r="E37" s="1020"/>
      <c r="F37" s="1020"/>
      <c r="G37" s="1020"/>
      <c r="H37" s="1020"/>
      <c r="I37" s="1020"/>
      <c r="J37" s="1020"/>
      <c r="K37" s="1020"/>
      <c r="L37" s="1020"/>
      <c r="M37" s="1020"/>
      <c r="N37" s="1020"/>
      <c r="O37" s="1020"/>
      <c r="P37" s="108"/>
      <c r="S37" s="131"/>
      <c r="T37" s="131"/>
      <c r="U37" s="118"/>
      <c r="V37" s="118"/>
      <c r="W37" s="3"/>
      <c r="X37" s="4"/>
      <c r="Y37" s="4"/>
      <c r="Z37" s="125"/>
      <c r="AA37" s="2"/>
      <c r="AF37" s="57"/>
      <c r="AG37" s="57"/>
      <c r="AH37" s="18"/>
      <c r="AI37" s="18"/>
      <c r="AJ37" s="18"/>
      <c r="AK37" s="18"/>
      <c r="AL37" s="18"/>
      <c r="AM37" s="18"/>
    </row>
    <row r="38" spans="1:57" ht="19.5" customHeight="1" thickTop="1" x14ac:dyDescent="0.2">
      <c r="A38" s="1225" t="s">
        <v>205</v>
      </c>
      <c r="B38" s="1225"/>
      <c r="C38" s="1225"/>
      <c r="D38" s="1225"/>
      <c r="E38" s="1225"/>
      <c r="F38" s="1225"/>
      <c r="G38" s="1225"/>
      <c r="H38" s="1225"/>
      <c r="I38" s="1225"/>
      <c r="J38" s="1225"/>
      <c r="K38" s="1225"/>
      <c r="L38" s="1225"/>
      <c r="M38" s="1225"/>
      <c r="N38" s="1225"/>
      <c r="O38" s="1225"/>
      <c r="Q38" s="239"/>
      <c r="R38" s="421"/>
      <c r="S38" s="406"/>
      <c r="T38" s="406"/>
      <c r="U38" s="420"/>
      <c r="V38" s="418"/>
      <c r="W38" s="418"/>
      <c r="X38" s="419"/>
      <c r="Y38" s="64"/>
      <c r="AC38" s="235"/>
      <c r="AD38" s="57"/>
      <c r="AE38" s="57"/>
      <c r="AF38" s="45"/>
      <c r="AG38" s="45"/>
      <c r="AH38" s="45"/>
      <c r="AI38" s="45"/>
      <c r="AJ38" s="45"/>
      <c r="AK38" s="45"/>
      <c r="AL38" s="45"/>
      <c r="AM38" s="45"/>
      <c r="AN38" s="124"/>
      <c r="AO38" s="124"/>
      <c r="AP38" s="124"/>
      <c r="AQ38" s="57"/>
      <c r="AR38" s="57"/>
      <c r="AS38" s="57"/>
      <c r="AT38" s="57"/>
      <c r="AU38" s="57"/>
      <c r="AV38" s="57"/>
      <c r="AW38" s="57"/>
      <c r="AX38" s="57"/>
      <c r="AY38" s="57"/>
      <c r="AZ38" s="18"/>
      <c r="BA38" s="18"/>
      <c r="BB38" s="18"/>
      <c r="BC38" s="18"/>
      <c r="BD38" s="18"/>
      <c r="BE38" s="18"/>
    </row>
    <row r="39" spans="1:57" ht="30" customHeight="1" x14ac:dyDescent="0.2">
      <c r="A39" s="1007" t="s">
        <v>234</v>
      </c>
      <c r="B39" s="1007"/>
      <c r="C39" s="1007"/>
      <c r="D39" s="1007"/>
      <c r="E39" s="1007"/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Q39" s="239"/>
      <c r="R39" s="417"/>
      <c r="S39" s="419"/>
      <c r="T39" s="417"/>
      <c r="U39" s="420"/>
      <c r="V39" s="418"/>
      <c r="W39" s="418"/>
      <c r="X39" s="419"/>
      <c r="Y39" s="57"/>
      <c r="Z39" s="129"/>
      <c r="AA39" s="129"/>
      <c r="AB39" s="129"/>
      <c r="AC39" s="129"/>
      <c r="AD39" s="45"/>
      <c r="AE39" s="64"/>
      <c r="AF39" s="45"/>
      <c r="AG39" s="45"/>
      <c r="AH39" s="45"/>
      <c r="AI39" s="45"/>
      <c r="AJ39" s="45"/>
      <c r="AK39" s="45"/>
      <c r="AL39" s="45"/>
      <c r="AM39" s="45"/>
      <c r="AN39" s="124"/>
      <c r="AO39" s="124"/>
      <c r="AP39" s="124"/>
      <c r="AQ39" s="57"/>
      <c r="AR39" s="57"/>
      <c r="AS39" s="57"/>
      <c r="AT39" s="57"/>
      <c r="AU39" s="57"/>
      <c r="AV39" s="57"/>
      <c r="AW39" s="57"/>
      <c r="AX39" s="57"/>
      <c r="AY39" s="57"/>
      <c r="AZ39" s="18"/>
      <c r="BA39" s="18"/>
      <c r="BB39" s="18"/>
      <c r="BC39" s="18"/>
      <c r="BD39" s="18"/>
      <c r="BE39" s="18"/>
    </row>
    <row r="40" spans="1:57" ht="12.95" customHeight="1" x14ac:dyDescent="0.3">
      <c r="A40" s="992"/>
      <c r="B40" s="993"/>
      <c r="C40" s="993"/>
      <c r="D40" s="62"/>
      <c r="Q40" s="422"/>
      <c r="R40" s="423"/>
      <c r="S40" s="424"/>
      <c r="T40" s="425"/>
      <c r="U40" s="420"/>
      <c r="V40" s="418"/>
      <c r="W40" s="418"/>
      <c r="X40" s="419"/>
      <c r="Y40" s="45"/>
      <c r="AF40" s="45"/>
      <c r="AG40" s="45"/>
      <c r="AH40" s="45"/>
      <c r="AI40" s="45"/>
      <c r="AJ40" s="45"/>
      <c r="AK40" s="269"/>
      <c r="AL40" s="269"/>
      <c r="AM40" s="269"/>
      <c r="AN40" s="269"/>
      <c r="AO40" s="269"/>
      <c r="AP40" s="269"/>
      <c r="AQ40" s="269"/>
      <c r="AR40" s="269"/>
      <c r="AS40" s="269"/>
      <c r="AT40" s="269"/>
      <c r="AU40" s="269"/>
      <c r="AV40" s="269"/>
      <c r="AW40" s="269"/>
      <c r="AX40" s="269"/>
      <c r="AY40" s="269"/>
      <c r="AZ40" s="269"/>
      <c r="BA40" s="269"/>
      <c r="BB40" s="269"/>
      <c r="BC40" s="269"/>
      <c r="BD40" s="18"/>
      <c r="BE40" s="18"/>
    </row>
    <row r="41" spans="1:57" ht="12.95" customHeight="1" x14ac:dyDescent="0.2">
      <c r="A41" s="992"/>
      <c r="B41" s="993"/>
      <c r="C41" s="993"/>
      <c r="D41" s="62"/>
      <c r="Q41" s="426"/>
      <c r="R41" s="423"/>
      <c r="S41" s="406"/>
      <c r="T41" s="406"/>
      <c r="U41" s="420"/>
      <c r="V41" s="418"/>
      <c r="W41" s="418"/>
      <c r="X41" s="305"/>
      <c r="AF41" s="45"/>
      <c r="AG41" s="45"/>
      <c r="AH41" s="45"/>
      <c r="AI41" s="45"/>
      <c r="AJ41" s="45"/>
      <c r="AK41" s="246"/>
      <c r="AL41" s="45"/>
      <c r="AM41" s="45"/>
      <c r="AN41" s="124"/>
      <c r="AO41" s="124"/>
      <c r="AP41" s="124"/>
      <c r="AQ41" s="64"/>
      <c r="AR41" s="64"/>
      <c r="AS41" s="64"/>
      <c r="AT41" s="64"/>
      <c r="AU41" s="64"/>
      <c r="AV41" s="64"/>
      <c r="AW41" s="64"/>
      <c r="AX41" s="64"/>
      <c r="AY41" s="64"/>
      <c r="AZ41" s="19"/>
      <c r="BA41" s="19"/>
      <c r="BB41" s="19"/>
      <c r="BC41" s="19"/>
      <c r="BD41" s="18"/>
      <c r="BE41" s="18"/>
    </row>
    <row r="42" spans="1:57" ht="15.75" customHeight="1" x14ac:dyDescent="0.2">
      <c r="A42" s="992"/>
      <c r="B42" s="993"/>
      <c r="C42" s="993"/>
      <c r="D42" s="62"/>
      <c r="Q42" s="427"/>
      <c r="R42" s="428"/>
      <c r="S42" s="428"/>
      <c r="T42" s="428"/>
      <c r="U42" s="420"/>
      <c r="V42" s="418"/>
      <c r="W42" s="418"/>
      <c r="X42" s="305"/>
      <c r="AF42" s="45"/>
      <c r="AG42" s="45"/>
      <c r="AH42" s="45"/>
      <c r="AI42" s="45"/>
      <c r="AJ42" s="45"/>
      <c r="AK42" s="246"/>
      <c r="AL42" s="238"/>
      <c r="AM42" s="238"/>
      <c r="AN42" s="238"/>
      <c r="AO42" s="238"/>
      <c r="AP42" s="238"/>
      <c r="AQ42" s="169"/>
      <c r="AR42" s="238"/>
      <c r="AS42" s="238"/>
      <c r="AT42" s="238"/>
      <c r="AU42" s="238"/>
      <c r="AV42" s="238"/>
      <c r="AW42" s="169"/>
      <c r="AX42" s="238"/>
      <c r="AY42" s="238"/>
      <c r="AZ42" s="238"/>
      <c r="BA42" s="238"/>
      <c r="BB42" s="238"/>
      <c r="BC42" s="19"/>
      <c r="BD42" s="18"/>
      <c r="BE42" s="18"/>
    </row>
    <row r="43" spans="1:57" ht="17.25" customHeight="1" x14ac:dyDescent="0.2">
      <c r="A43" s="992"/>
      <c r="B43" s="993"/>
      <c r="C43" s="993"/>
      <c r="D43" s="62"/>
      <c r="Q43" s="429"/>
      <c r="R43" s="430"/>
      <c r="S43" s="430"/>
      <c r="T43" s="430"/>
      <c r="U43" s="420"/>
      <c r="V43" s="418"/>
      <c r="W43" s="418"/>
      <c r="X43" s="305"/>
      <c r="AF43" s="45"/>
      <c r="AG43" s="45"/>
      <c r="AH43" s="45"/>
      <c r="AI43" s="45"/>
      <c r="AJ43" s="45"/>
      <c r="AK43" s="246"/>
      <c r="AL43" s="45"/>
      <c r="AM43" s="169"/>
      <c r="AN43" s="270"/>
      <c r="AO43" s="173"/>
      <c r="AP43" s="173"/>
      <c r="AQ43" s="169"/>
      <c r="AR43" s="45"/>
      <c r="AS43" s="169"/>
      <c r="AT43" s="270"/>
      <c r="AU43" s="173"/>
      <c r="AV43" s="173"/>
      <c r="AW43" s="169"/>
      <c r="AX43" s="45"/>
      <c r="AY43" s="169"/>
      <c r="AZ43" s="270"/>
      <c r="BA43" s="173"/>
      <c r="BB43" s="173"/>
      <c r="BC43" s="19"/>
      <c r="BD43" s="18"/>
      <c r="BE43" s="18"/>
    </row>
    <row r="44" spans="1:57" ht="14.25" customHeight="1" x14ac:dyDescent="0.2">
      <c r="A44" s="992"/>
      <c r="B44" s="993"/>
      <c r="C44" s="993"/>
      <c r="D44" s="62"/>
      <c r="Q44" s="429"/>
      <c r="R44" s="430"/>
      <c r="S44" s="430"/>
      <c r="T44" s="430"/>
      <c r="U44" s="420"/>
      <c r="V44" s="418"/>
      <c r="W44" s="418"/>
      <c r="X44" s="305"/>
      <c r="AF44" s="45"/>
      <c r="AG44" s="45"/>
      <c r="AH44" s="45"/>
      <c r="AI44" s="45"/>
      <c r="AJ44" s="45"/>
      <c r="AK44" s="246"/>
      <c r="AL44" s="45"/>
      <c r="AM44" s="105"/>
      <c r="AN44" s="105"/>
      <c r="AO44" s="105"/>
      <c r="AP44" s="105"/>
      <c r="AQ44" s="169"/>
      <c r="AR44" s="45"/>
      <c r="AS44" s="105"/>
      <c r="AT44" s="105"/>
      <c r="AU44" s="105"/>
      <c r="AV44" s="105"/>
      <c r="AW44" s="169"/>
      <c r="AX44" s="45"/>
      <c r="AY44" s="105"/>
      <c r="AZ44" s="105"/>
      <c r="BA44" s="105"/>
      <c r="BB44" s="105"/>
      <c r="BC44" s="19"/>
      <c r="BD44" s="18"/>
      <c r="BE44" s="18"/>
    </row>
    <row r="45" spans="1:57" ht="13.5" customHeight="1" x14ac:dyDescent="0.2">
      <c r="A45" s="992"/>
      <c r="B45" s="993"/>
      <c r="C45" s="993"/>
      <c r="D45" s="62"/>
      <c r="Q45" s="431"/>
      <c r="R45" s="432"/>
      <c r="S45" s="432"/>
      <c r="T45" s="432"/>
      <c r="U45" s="420"/>
      <c r="V45" s="418"/>
      <c r="W45" s="418"/>
      <c r="X45" s="305"/>
      <c r="AF45" s="45"/>
      <c r="AG45" s="45"/>
      <c r="AH45" s="45"/>
      <c r="AI45" s="45"/>
      <c r="AJ45" s="45"/>
      <c r="AK45" s="246"/>
      <c r="AL45" s="45"/>
      <c r="AM45" s="62"/>
      <c r="AN45" s="62"/>
      <c r="AO45" s="62"/>
      <c r="AP45" s="62"/>
      <c r="AQ45" s="169"/>
      <c r="AR45" s="45"/>
      <c r="AS45" s="62"/>
      <c r="AT45" s="62"/>
      <c r="AU45" s="62"/>
      <c r="AV45" s="62"/>
      <c r="AW45" s="169"/>
      <c r="AX45" s="45"/>
      <c r="AY45" s="62"/>
      <c r="AZ45" s="62"/>
      <c r="BA45" s="62"/>
      <c r="BB45" s="62"/>
      <c r="BC45" s="19"/>
      <c r="BD45" s="18"/>
      <c r="BE45" s="18"/>
    </row>
    <row r="46" spans="1:57" ht="12" customHeight="1" x14ac:dyDescent="0.2">
      <c r="Q46" s="426"/>
      <c r="R46" s="423"/>
      <c r="S46" s="424"/>
      <c r="T46" s="433"/>
      <c r="U46" s="420"/>
      <c r="V46" s="418"/>
      <c r="W46" s="418"/>
      <c r="X46" s="305"/>
      <c r="AF46" s="45"/>
      <c r="AG46" s="45"/>
      <c r="AH46" s="45"/>
      <c r="AI46" s="45"/>
      <c r="AJ46" s="45"/>
      <c r="AK46" s="271"/>
      <c r="AL46" s="247"/>
      <c r="AM46" s="270"/>
      <c r="AN46" s="270"/>
      <c r="AO46" s="270"/>
      <c r="AP46" s="270"/>
      <c r="AQ46" s="169"/>
      <c r="AR46" s="247"/>
      <c r="AS46" s="270"/>
      <c r="AT46" s="270"/>
      <c r="AU46" s="270"/>
      <c r="AV46" s="270"/>
      <c r="AW46" s="169"/>
      <c r="AX46" s="247"/>
      <c r="AY46" s="270"/>
      <c r="AZ46" s="270"/>
      <c r="BA46" s="270"/>
      <c r="BB46" s="270"/>
      <c r="BC46" s="19"/>
      <c r="BD46" s="18"/>
      <c r="BE46" s="18"/>
    </row>
    <row r="47" spans="1:57" ht="12" customHeight="1" x14ac:dyDescent="0.2">
      <c r="Q47" s="434"/>
      <c r="R47" s="423"/>
      <c r="S47" s="424"/>
      <c r="T47" s="433"/>
      <c r="U47" s="420"/>
      <c r="V47" s="418"/>
      <c r="W47" s="418"/>
      <c r="X47" s="305"/>
      <c r="AF47" s="45"/>
      <c r="AG47" s="45"/>
      <c r="AH47" s="45"/>
      <c r="AI47" s="45"/>
      <c r="AJ47" s="45"/>
      <c r="AK47" s="271"/>
      <c r="AL47" s="247"/>
      <c r="AM47" s="270"/>
      <c r="AN47" s="270"/>
      <c r="AO47" s="270"/>
      <c r="AP47" s="270"/>
      <c r="AQ47" s="169"/>
      <c r="AR47" s="247"/>
      <c r="AS47" s="270"/>
      <c r="AT47" s="270"/>
      <c r="AU47" s="270"/>
      <c r="AV47" s="270"/>
      <c r="AW47" s="169"/>
      <c r="AX47" s="247"/>
      <c r="AY47" s="270"/>
      <c r="AZ47" s="270"/>
      <c r="BA47" s="270"/>
      <c r="BB47" s="270"/>
      <c r="BC47" s="19"/>
      <c r="BD47" s="18"/>
      <c r="BE47" s="18"/>
    </row>
    <row r="48" spans="1:57" ht="12" customHeight="1" x14ac:dyDescent="0.2">
      <c r="Q48" s="435"/>
      <c r="R48" s="406"/>
      <c r="S48" s="423"/>
      <c r="T48" s="433"/>
      <c r="U48" s="420"/>
      <c r="V48" s="418"/>
      <c r="W48" s="418"/>
      <c r="X48" s="305"/>
      <c r="Z48" s="129"/>
      <c r="AA48" s="129"/>
      <c r="AB48" s="129"/>
      <c r="AC48" s="129"/>
      <c r="AD48" s="129"/>
      <c r="AE48" s="129"/>
      <c r="AF48" s="45"/>
      <c r="AG48" s="45"/>
      <c r="AH48" s="45"/>
      <c r="AI48" s="45"/>
      <c r="AJ48" s="45"/>
      <c r="AK48" s="272"/>
      <c r="AL48" s="105"/>
      <c r="AM48" s="189"/>
      <c r="AN48" s="189"/>
      <c r="AO48" s="189"/>
      <c r="AP48" s="189"/>
      <c r="AQ48" s="169"/>
      <c r="AR48" s="105"/>
      <c r="AS48" s="189"/>
      <c r="AT48" s="189"/>
      <c r="AU48" s="189"/>
      <c r="AV48" s="189"/>
      <c r="AW48" s="169"/>
      <c r="AX48" s="105"/>
      <c r="AY48" s="189"/>
      <c r="AZ48" s="189"/>
      <c r="BA48" s="189"/>
      <c r="BB48" s="189"/>
      <c r="BC48" s="19"/>
      <c r="BD48" s="18"/>
      <c r="BE48" s="18"/>
    </row>
    <row r="49" spans="17:57" ht="12" customHeight="1" x14ac:dyDescent="0.2">
      <c r="Q49" s="435"/>
      <c r="R49" s="406"/>
      <c r="S49" s="423"/>
      <c r="T49" s="433"/>
      <c r="U49" s="420"/>
      <c r="V49" s="418"/>
      <c r="W49" s="418"/>
      <c r="X49" s="425"/>
      <c r="Y49" s="45"/>
      <c r="Z49" s="129"/>
      <c r="AA49" s="129"/>
      <c r="AB49" s="129"/>
      <c r="AC49" s="129"/>
      <c r="AD49" s="129"/>
      <c r="AE49" s="129"/>
      <c r="AF49" s="45"/>
      <c r="AG49" s="45"/>
      <c r="AH49" s="45"/>
      <c r="AI49" s="45"/>
      <c r="AJ49" s="45"/>
      <c r="AK49" s="272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8"/>
      <c r="BE49" s="18"/>
    </row>
    <row r="50" spans="17:57" ht="12.95" customHeight="1" x14ac:dyDescent="0.2">
      <c r="Q50" s="435"/>
      <c r="R50" s="406"/>
      <c r="S50" s="423"/>
      <c r="T50" s="433"/>
      <c r="U50" s="420"/>
      <c r="V50" s="418"/>
      <c r="W50" s="418"/>
      <c r="X50" s="42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272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8"/>
      <c r="BE50" s="18"/>
    </row>
    <row r="51" spans="17:57" ht="12.95" customHeight="1" x14ac:dyDescent="0.2">
      <c r="Q51" s="113"/>
      <c r="R51" s="63"/>
      <c r="S51" s="64"/>
      <c r="T51" s="130"/>
      <c r="U51" s="3"/>
      <c r="V51" s="4"/>
      <c r="W51" s="4"/>
      <c r="X51" s="64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273"/>
      <c r="AL51" s="105"/>
      <c r="AM51" s="62"/>
      <c r="AN51" s="62"/>
      <c r="AO51" s="62"/>
      <c r="AP51" s="62"/>
      <c r="AQ51" s="183"/>
      <c r="AR51" s="105"/>
      <c r="AS51" s="62"/>
      <c r="AT51" s="62"/>
      <c r="AU51" s="62"/>
      <c r="AV51" s="62"/>
      <c r="AW51" s="183"/>
      <c r="AX51" s="105"/>
      <c r="AY51" s="62"/>
      <c r="AZ51" s="62"/>
      <c r="BA51" s="62"/>
      <c r="BB51" s="62"/>
      <c r="BC51" s="18"/>
      <c r="BD51" s="18"/>
      <c r="BE51" s="18"/>
    </row>
    <row r="52" spans="17:57" ht="24" customHeight="1" x14ac:dyDescent="0.2">
      <c r="Q52" s="113"/>
      <c r="R52" s="63"/>
      <c r="S52" s="64"/>
      <c r="T52" s="130"/>
      <c r="U52" s="3"/>
      <c r="V52" s="4"/>
      <c r="W52" s="4"/>
      <c r="X52" s="64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273"/>
      <c r="AL52" s="105"/>
      <c r="AM52" s="62"/>
      <c r="AN52" s="62"/>
      <c r="AO52" s="62"/>
      <c r="AP52" s="62"/>
      <c r="AQ52" s="183"/>
      <c r="AR52" s="105"/>
      <c r="AS52" s="62"/>
      <c r="AT52" s="62"/>
      <c r="AU52" s="62"/>
      <c r="AV52" s="62"/>
      <c r="AW52" s="183"/>
      <c r="AX52" s="105"/>
      <c r="AY52" s="62"/>
      <c r="AZ52" s="62"/>
      <c r="BA52" s="62"/>
      <c r="BB52" s="62"/>
      <c r="BC52" s="18"/>
      <c r="BD52" s="18"/>
      <c r="BE52" s="18"/>
    </row>
    <row r="53" spans="17:57" ht="12.95" customHeight="1" x14ac:dyDescent="0.2">
      <c r="Q53" s="220"/>
      <c r="R53" s="63"/>
      <c r="S53" s="64"/>
      <c r="T53" s="130"/>
      <c r="U53" s="5"/>
      <c r="V53" s="6"/>
      <c r="W53" s="6"/>
      <c r="X53" s="64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246"/>
      <c r="AL53" s="105"/>
      <c r="AM53" s="62"/>
      <c r="AN53" s="62"/>
      <c r="AO53" s="62"/>
      <c r="AP53" s="62"/>
      <c r="AQ53" s="45"/>
      <c r="AR53" s="105"/>
      <c r="AS53" s="62"/>
      <c r="AT53" s="62"/>
      <c r="AU53" s="62"/>
      <c r="AV53" s="62"/>
      <c r="AW53" s="45"/>
      <c r="AX53" s="105"/>
      <c r="AY53" s="62"/>
      <c r="AZ53" s="62"/>
      <c r="BA53" s="62"/>
      <c r="BB53" s="62"/>
      <c r="BD53" s="18"/>
      <c r="BE53" s="18"/>
    </row>
    <row r="54" spans="17:57" ht="12.95" customHeight="1" x14ac:dyDescent="0.2">
      <c r="Q54" s="220"/>
      <c r="R54" s="63"/>
      <c r="S54" s="64"/>
      <c r="T54" s="45"/>
      <c r="U54" s="3"/>
      <c r="V54" s="4"/>
      <c r="W54" s="4"/>
      <c r="X54" s="64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246"/>
      <c r="AL54" s="105"/>
      <c r="AM54" s="62"/>
      <c r="AN54" s="62"/>
      <c r="AO54" s="62"/>
      <c r="AP54" s="62"/>
      <c r="AQ54" s="45"/>
      <c r="AR54" s="105"/>
      <c r="AS54" s="62"/>
      <c r="AT54" s="62"/>
      <c r="AU54" s="62"/>
      <c r="AV54" s="62"/>
      <c r="AW54" s="45"/>
      <c r="AX54" s="105"/>
      <c r="AY54" s="62"/>
      <c r="AZ54" s="62"/>
      <c r="BA54" s="62"/>
      <c r="BB54" s="62"/>
      <c r="BD54" s="18"/>
      <c r="BE54" s="18"/>
    </row>
    <row r="55" spans="17:57" ht="12.95" customHeight="1" x14ac:dyDescent="0.2">
      <c r="Q55" s="222"/>
      <c r="R55" s="63"/>
      <c r="S55" s="45"/>
      <c r="T55" s="45"/>
      <c r="U55" s="3"/>
      <c r="V55" s="4"/>
      <c r="W55" s="4"/>
      <c r="X55" s="77"/>
      <c r="Y55" s="77"/>
      <c r="Z55" s="76"/>
      <c r="AA55" s="76"/>
      <c r="AB55" s="76"/>
      <c r="AC55" s="45"/>
      <c r="AD55" s="45"/>
      <c r="AE55" s="45"/>
      <c r="AF55" s="45"/>
      <c r="AG55" s="45"/>
      <c r="AH55" s="45"/>
      <c r="AI55" s="45"/>
      <c r="AJ55" s="45"/>
      <c r="AK55" s="246"/>
      <c r="AL55" s="105"/>
      <c r="AM55" s="62"/>
      <c r="AN55" s="62"/>
      <c r="AO55" s="62"/>
      <c r="AP55" s="62"/>
      <c r="AQ55" s="45"/>
      <c r="AR55" s="105"/>
      <c r="AS55" s="62"/>
      <c r="AT55" s="62"/>
      <c r="AU55" s="62"/>
      <c r="AV55" s="62"/>
      <c r="AW55" s="45"/>
      <c r="AX55" s="105"/>
      <c r="AY55" s="62"/>
      <c r="AZ55" s="62"/>
      <c r="BA55" s="62"/>
      <c r="BB55" s="62"/>
      <c r="BD55" s="18"/>
      <c r="BE55" s="18"/>
    </row>
    <row r="56" spans="17:57" ht="12.95" customHeight="1" x14ac:dyDescent="0.2">
      <c r="Q56" s="113"/>
      <c r="R56" s="63"/>
      <c r="S56" s="63"/>
      <c r="T56" s="45"/>
      <c r="U56" s="3"/>
      <c r="V56" s="4"/>
      <c r="W56" s="4"/>
      <c r="X56" s="77"/>
      <c r="Y56" s="77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246"/>
      <c r="AL56" s="105"/>
      <c r="AM56" s="105"/>
      <c r="AN56" s="105"/>
      <c r="AO56" s="105"/>
      <c r="AP56" s="105"/>
      <c r="AQ56" s="45"/>
      <c r="AR56" s="105"/>
      <c r="AS56" s="105"/>
      <c r="AT56" s="105"/>
      <c r="AU56" s="105"/>
      <c r="AV56" s="105"/>
      <c r="AW56" s="45"/>
      <c r="AX56" s="105"/>
      <c r="AY56" s="105"/>
      <c r="AZ56" s="105"/>
      <c r="BA56" s="105"/>
      <c r="BB56" s="105"/>
      <c r="BD56" s="18"/>
      <c r="BE56" s="18"/>
    </row>
    <row r="57" spans="17:57" ht="12.95" customHeight="1" x14ac:dyDescent="0.2">
      <c r="Q57" s="222"/>
      <c r="R57" s="45"/>
      <c r="S57" s="45"/>
      <c r="T57" s="45"/>
      <c r="U57" s="3"/>
      <c r="V57" s="4"/>
      <c r="W57" s="4"/>
      <c r="X57" s="77"/>
      <c r="Y57" s="77"/>
      <c r="Z57" s="78"/>
      <c r="AA57" s="78"/>
      <c r="AB57" s="78"/>
      <c r="AC57" s="78"/>
      <c r="AD57" s="45"/>
      <c r="AE57" s="45"/>
      <c r="AF57" s="45"/>
      <c r="AG57" s="45"/>
      <c r="AH57" s="45"/>
      <c r="AI57" s="45"/>
      <c r="AJ57" s="45"/>
      <c r="AK57" s="246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BD57" s="18"/>
      <c r="BE57" s="18"/>
    </row>
    <row r="58" spans="17:57" ht="12.95" customHeight="1" x14ac:dyDescent="0.2">
      <c r="Q58" s="228"/>
      <c r="R58" s="45"/>
      <c r="S58" s="45"/>
      <c r="T58" s="45"/>
      <c r="U58" s="3"/>
      <c r="V58" s="4"/>
      <c r="W58" s="4"/>
      <c r="X58" s="78"/>
      <c r="Y58" s="78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246"/>
      <c r="AL58" s="1245"/>
      <c r="AM58" s="1245"/>
      <c r="AN58" s="1245"/>
      <c r="AO58" s="1245"/>
      <c r="AP58" s="1245"/>
      <c r="AQ58" s="45"/>
      <c r="AR58" s="1245"/>
      <c r="AS58" s="1245"/>
      <c r="AT58" s="1245"/>
      <c r="AU58" s="1245"/>
      <c r="AV58" s="1245"/>
      <c r="AW58" s="45"/>
      <c r="AX58" s="45"/>
      <c r="AY58" s="45"/>
      <c r="BD58" s="18"/>
      <c r="BE58" s="18"/>
    </row>
    <row r="59" spans="17:57" ht="12.95" customHeight="1" x14ac:dyDescent="0.2">
      <c r="Q59" s="1085"/>
      <c r="R59" s="1085"/>
      <c r="S59" s="45"/>
      <c r="T59" s="45"/>
      <c r="U59" s="3"/>
      <c r="V59" s="4"/>
      <c r="W59" s="4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246"/>
      <c r="AL59" s="45"/>
      <c r="AM59" s="169"/>
      <c r="AN59" s="270"/>
      <c r="AO59" s="173"/>
      <c r="AP59" s="173"/>
      <c r="AQ59" s="45"/>
      <c r="AR59" s="45"/>
      <c r="AS59" s="169"/>
      <c r="AT59" s="270"/>
      <c r="AU59" s="173"/>
      <c r="AV59" s="173"/>
      <c r="AW59" s="45"/>
      <c r="AX59" s="45"/>
      <c r="AY59" s="45"/>
      <c r="BD59" s="18"/>
      <c r="BE59" s="18"/>
    </row>
    <row r="60" spans="17:57" ht="12.95" customHeight="1" x14ac:dyDescent="0.2">
      <c r="Q60" s="131"/>
      <c r="R60" s="2"/>
      <c r="S60" s="45"/>
      <c r="T60" s="45"/>
      <c r="U60" s="3"/>
      <c r="V60" s="4"/>
      <c r="W60" s="4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246"/>
      <c r="AL60" s="45"/>
      <c r="AM60" s="105"/>
      <c r="AN60" s="105"/>
      <c r="AO60" s="105"/>
      <c r="AP60" s="105"/>
      <c r="AQ60" s="45"/>
      <c r="AR60" s="45"/>
      <c r="AS60" s="105"/>
      <c r="AT60" s="105"/>
      <c r="AU60" s="105"/>
      <c r="AV60" s="105"/>
      <c r="AW60" s="105"/>
      <c r="AX60" s="45"/>
      <c r="AY60" s="45"/>
      <c r="BD60" s="18"/>
      <c r="BE60" s="18"/>
    </row>
    <row r="61" spans="17:57" ht="12.95" customHeight="1" x14ac:dyDescent="0.2">
      <c r="Q61" s="131"/>
      <c r="R61" s="2"/>
      <c r="S61" s="45"/>
      <c r="T61" s="45"/>
      <c r="U61" s="3"/>
      <c r="V61" s="4"/>
      <c r="W61" s="4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246"/>
      <c r="AL61" s="45"/>
      <c r="AM61" s="62"/>
      <c r="AN61" s="62"/>
      <c r="AO61" s="62"/>
      <c r="AP61" s="62"/>
      <c r="AQ61" s="45"/>
      <c r="AR61" s="45"/>
      <c r="AS61" s="189"/>
      <c r="AT61" s="189"/>
      <c r="AU61" s="189"/>
      <c r="AV61" s="189"/>
      <c r="AW61" s="189"/>
      <c r="AX61" s="45"/>
      <c r="AY61" s="45"/>
      <c r="BD61" s="18"/>
      <c r="BE61" s="18"/>
    </row>
    <row r="62" spans="17:57" ht="12.95" customHeight="1" x14ac:dyDescent="0.2">
      <c r="Q62" s="1095"/>
      <c r="R62" s="1095"/>
      <c r="S62" s="45"/>
      <c r="T62" s="45"/>
      <c r="U62" s="3"/>
      <c r="V62" s="4"/>
      <c r="W62" s="4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246"/>
      <c r="AL62" s="247"/>
      <c r="AM62" s="270"/>
      <c r="AN62" s="270"/>
      <c r="AO62" s="270"/>
      <c r="AP62" s="270"/>
      <c r="AQ62" s="45"/>
      <c r="AR62" s="247"/>
      <c r="AS62" s="274"/>
      <c r="AT62" s="274"/>
      <c r="AU62" s="274"/>
      <c r="AV62" s="274"/>
      <c r="AW62" s="274"/>
      <c r="AX62" s="45"/>
      <c r="AY62" s="45"/>
      <c r="BD62" s="18"/>
      <c r="BE62" s="18"/>
    </row>
    <row r="63" spans="17:57" ht="12.95" customHeight="1" x14ac:dyDescent="0.2">
      <c r="Q63" s="1095"/>
      <c r="R63" s="1095"/>
      <c r="S63" s="45"/>
      <c r="T63" s="45"/>
      <c r="U63" s="3"/>
      <c r="V63" s="4"/>
      <c r="W63" s="4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246"/>
      <c r="AL63" s="247"/>
      <c r="AM63" s="270"/>
      <c r="AN63" s="270"/>
      <c r="AO63" s="270"/>
      <c r="AP63" s="270"/>
      <c r="AQ63" s="45"/>
      <c r="AR63" s="247"/>
      <c r="AS63" s="270"/>
      <c r="AT63" s="270"/>
      <c r="AU63" s="270"/>
      <c r="AV63" s="270"/>
      <c r="AW63" s="270"/>
      <c r="AX63" s="45"/>
      <c r="AY63" s="45"/>
      <c r="BD63" s="18"/>
      <c r="BE63" s="18"/>
    </row>
    <row r="64" spans="17:57" ht="12.95" customHeight="1" x14ac:dyDescent="0.2">
      <c r="Q64" s="1084"/>
      <c r="R64" s="1084"/>
      <c r="S64" s="45"/>
      <c r="T64" s="45"/>
      <c r="U64" s="3"/>
      <c r="V64" s="4"/>
      <c r="W64" s="4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246"/>
      <c r="AL64" s="105"/>
      <c r="AM64" s="189"/>
      <c r="AN64" s="189"/>
      <c r="AO64" s="189"/>
      <c r="AP64" s="189"/>
      <c r="AQ64" s="45"/>
      <c r="AR64" s="105"/>
      <c r="AS64" s="275"/>
      <c r="AT64" s="275"/>
      <c r="AU64" s="275"/>
      <c r="AV64" s="275"/>
      <c r="AW64" s="275"/>
      <c r="AX64" s="45"/>
      <c r="AY64" s="45"/>
      <c r="BD64" s="18"/>
      <c r="BE64" s="18"/>
    </row>
    <row r="65" spans="1:57" ht="12.95" customHeight="1" x14ac:dyDescent="0.2">
      <c r="Q65" s="218"/>
      <c r="R65" s="62"/>
      <c r="S65" s="45"/>
      <c r="T65" s="45"/>
      <c r="U65" s="3"/>
      <c r="V65" s="4"/>
      <c r="W65" s="4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246"/>
      <c r="AL65" s="105"/>
      <c r="AM65" s="62"/>
      <c r="AN65" s="62"/>
      <c r="AO65" s="62"/>
      <c r="AP65" s="62"/>
      <c r="AQ65" s="45"/>
      <c r="AR65" s="105"/>
      <c r="AS65" s="276"/>
      <c r="AT65" s="276"/>
      <c r="AU65" s="276"/>
      <c r="AV65" s="276"/>
      <c r="AW65" s="276"/>
      <c r="AX65" s="45"/>
      <c r="AY65" s="45"/>
      <c r="BD65" s="18"/>
      <c r="BE65" s="18"/>
    </row>
    <row r="66" spans="1:57" ht="12.95" customHeight="1" x14ac:dyDescent="0.2">
      <c r="S66" s="45"/>
      <c r="T66" s="45"/>
      <c r="U66" s="3"/>
      <c r="V66" s="4"/>
      <c r="W66" s="4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246"/>
      <c r="AL66" s="105"/>
      <c r="AM66" s="62"/>
      <c r="AN66" s="62"/>
      <c r="AO66" s="62"/>
      <c r="AP66" s="62"/>
      <c r="AQ66" s="45"/>
      <c r="AR66" s="105"/>
      <c r="AS66" s="189"/>
      <c r="AT66" s="189"/>
      <c r="AU66" s="189"/>
      <c r="AV66" s="189"/>
      <c r="AW66" s="189"/>
      <c r="AX66" s="45"/>
      <c r="AY66" s="45"/>
      <c r="BD66" s="18"/>
      <c r="BE66" s="18"/>
    </row>
    <row r="67" spans="1:57" ht="12.95" customHeight="1" x14ac:dyDescent="0.2">
      <c r="S67" s="45"/>
      <c r="T67" s="45"/>
      <c r="U67" s="3"/>
      <c r="V67" s="4"/>
      <c r="W67" s="4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246"/>
      <c r="AL67" s="105"/>
      <c r="AM67" s="62"/>
      <c r="AN67" s="62"/>
      <c r="AO67" s="62"/>
      <c r="AP67" s="62"/>
      <c r="AQ67" s="45"/>
      <c r="AR67" s="105"/>
      <c r="AS67" s="62"/>
      <c r="AT67" s="62"/>
      <c r="AU67" s="62"/>
      <c r="AV67" s="62"/>
      <c r="AW67" s="62"/>
      <c r="AX67" s="45"/>
      <c r="AY67" s="45"/>
      <c r="BD67" s="18"/>
      <c r="BE67" s="18"/>
    </row>
    <row r="68" spans="1:57" s="17" customFormat="1" ht="12.95" customHeight="1" x14ac:dyDescent="0.2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Q68" s="11"/>
      <c r="R68" s="11"/>
      <c r="S68" s="45"/>
      <c r="T68" s="45"/>
      <c r="U68" s="3"/>
      <c r="V68" s="4"/>
      <c r="W68" s="4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246"/>
      <c r="AL68" s="105"/>
      <c r="AM68" s="62"/>
      <c r="AN68" s="62"/>
      <c r="AO68" s="62"/>
      <c r="AP68" s="62"/>
      <c r="AQ68" s="45"/>
      <c r="AR68" s="105"/>
      <c r="AS68" s="247"/>
      <c r="AT68" s="247"/>
      <c r="AU68" s="247"/>
      <c r="AV68" s="247"/>
      <c r="AW68" s="247"/>
      <c r="AX68" s="45"/>
      <c r="AY68" s="45"/>
      <c r="AZ68" s="11"/>
      <c r="BA68" s="11"/>
      <c r="BB68" s="11"/>
      <c r="BC68" s="11"/>
      <c r="BD68" s="18"/>
      <c r="BE68" s="18"/>
    </row>
    <row r="69" spans="1:57" s="17" customFormat="1" ht="12.95" customHeight="1" x14ac:dyDescent="0.2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Q69" s="11"/>
      <c r="R69" s="11"/>
      <c r="S69" s="45"/>
      <c r="T69" s="45"/>
      <c r="U69" s="5"/>
      <c r="V69" s="6"/>
      <c r="W69" s="6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246"/>
      <c r="AL69" s="105"/>
      <c r="AM69" s="105"/>
      <c r="AN69" s="105"/>
      <c r="AO69" s="105"/>
      <c r="AP69" s="105"/>
      <c r="AQ69" s="45"/>
      <c r="AR69" s="105"/>
      <c r="AS69" s="189"/>
      <c r="AT69" s="105"/>
      <c r="AU69" s="105"/>
      <c r="AV69" s="105"/>
      <c r="AW69" s="45"/>
      <c r="AX69" s="45"/>
      <c r="AY69" s="45"/>
      <c r="AZ69" s="11"/>
      <c r="BA69" s="11"/>
      <c r="BB69" s="11"/>
      <c r="BC69" s="11"/>
      <c r="BD69" s="19"/>
      <c r="BE69" s="19"/>
    </row>
    <row r="70" spans="1:57" s="17" customFormat="1" ht="12.95" customHeight="1" x14ac:dyDescent="0.2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Q70" s="11"/>
      <c r="R70" s="11"/>
      <c r="S70" s="45"/>
      <c r="T70" s="45"/>
      <c r="U70" s="3"/>
      <c r="V70" s="4"/>
      <c r="W70" s="4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246"/>
      <c r="AL70" s="45"/>
      <c r="AM70" s="45"/>
      <c r="AN70" s="45"/>
      <c r="AO70" s="45"/>
      <c r="AP70" s="45"/>
      <c r="AQ70" s="45"/>
      <c r="AR70" s="45"/>
      <c r="AS70" s="62"/>
      <c r="AT70" s="45"/>
      <c r="AU70" s="45"/>
      <c r="AV70" s="45"/>
      <c r="AW70" s="45"/>
      <c r="AX70" s="45"/>
      <c r="AY70" s="45"/>
      <c r="AZ70" s="11"/>
      <c r="BA70" s="11"/>
      <c r="BB70" s="11"/>
      <c r="BC70" s="11"/>
      <c r="BD70" s="19"/>
      <c r="BE70" s="19"/>
    </row>
    <row r="71" spans="1:57" s="17" customFormat="1" ht="12.95" customHeight="1" x14ac:dyDescent="0.2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Q71" s="11"/>
      <c r="R71" s="11"/>
      <c r="S71" s="45"/>
      <c r="T71" s="45"/>
      <c r="U71" s="3"/>
      <c r="V71" s="4"/>
      <c r="W71" s="4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246"/>
      <c r="AL71" s="45"/>
      <c r="AM71" s="45"/>
      <c r="AN71" s="45"/>
      <c r="AO71" s="45"/>
      <c r="AP71" s="45"/>
      <c r="AQ71" s="45"/>
      <c r="AR71" s="45"/>
      <c r="AS71" s="62"/>
      <c r="AT71" s="45"/>
      <c r="AU71" s="45"/>
      <c r="AV71" s="45"/>
      <c r="AW71" s="45"/>
      <c r="AX71" s="45"/>
      <c r="AY71" s="45"/>
      <c r="AZ71" s="11"/>
      <c r="BA71" s="11"/>
      <c r="BB71" s="11"/>
      <c r="BC71" s="11"/>
      <c r="BD71" s="19"/>
      <c r="BE71" s="19"/>
    </row>
    <row r="72" spans="1:57" s="17" customFormat="1" ht="11.1" customHeight="1" x14ac:dyDescent="0.2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Q72" s="45"/>
      <c r="R72" s="45"/>
      <c r="S72" s="45"/>
      <c r="T72" s="45"/>
      <c r="U72" s="3"/>
      <c r="V72" s="4"/>
      <c r="W72" s="4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11"/>
      <c r="BA72" s="11"/>
      <c r="BB72" s="11"/>
      <c r="BC72" s="11"/>
      <c r="BD72" s="19"/>
      <c r="BE72" s="19"/>
    </row>
    <row r="73" spans="1:57" s="17" customFormat="1" ht="11.1" customHeight="1" x14ac:dyDescent="0.2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Q73" s="45"/>
      <c r="R73" s="45"/>
      <c r="S73" s="45"/>
      <c r="T73" s="45"/>
      <c r="U73" s="3"/>
      <c r="V73" s="4"/>
      <c r="W73" s="4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11"/>
      <c r="BA73" s="11"/>
      <c r="BB73" s="11"/>
      <c r="BC73" s="11"/>
      <c r="BD73" s="19"/>
      <c r="BE73" s="19"/>
    </row>
    <row r="74" spans="1:57" ht="11.1" customHeight="1" x14ac:dyDescent="0.2">
      <c r="Q74" s="45"/>
      <c r="R74" s="45"/>
      <c r="S74" s="45"/>
      <c r="T74" s="45"/>
      <c r="U74" s="3"/>
      <c r="V74" s="4"/>
      <c r="W74" s="4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BD74" s="19"/>
      <c r="BE74" s="19"/>
    </row>
    <row r="75" spans="1:57" ht="11.1" customHeight="1" x14ac:dyDescent="0.2">
      <c r="Q75" s="45"/>
      <c r="R75" s="45"/>
      <c r="S75" s="45"/>
      <c r="T75" s="45"/>
      <c r="U75" s="3"/>
      <c r="V75" s="4"/>
      <c r="W75" s="4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BD75" s="19"/>
      <c r="BE75" s="19"/>
    </row>
    <row r="76" spans="1:57" ht="11.1" customHeight="1" x14ac:dyDescent="0.2">
      <c r="Q76" s="45"/>
      <c r="R76" s="45"/>
      <c r="S76" s="45"/>
      <c r="T76" s="45"/>
      <c r="U76" s="3"/>
      <c r="V76" s="4"/>
      <c r="W76" s="4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BD76" s="19"/>
      <c r="BE76" s="19"/>
    </row>
    <row r="77" spans="1:57" ht="11.1" customHeight="1" x14ac:dyDescent="0.2">
      <c r="Q77" s="45"/>
      <c r="R77" s="45"/>
      <c r="S77" s="45"/>
      <c r="T77" s="45"/>
      <c r="U77" s="3"/>
      <c r="V77" s="4"/>
      <c r="W77" s="4"/>
      <c r="X77" s="45"/>
      <c r="Y77" s="45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BD77" s="19"/>
      <c r="BE77" s="19"/>
    </row>
    <row r="78" spans="1:57" ht="11.1" customHeight="1" x14ac:dyDescent="0.2"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</row>
    <row r="79" spans="1:57" ht="11.1" customHeight="1" x14ac:dyDescent="0.2">
      <c r="Q79" s="19"/>
      <c r="R79" s="19"/>
      <c r="S79" s="19"/>
      <c r="T79" s="19"/>
      <c r="U79" s="19"/>
      <c r="V79" s="19"/>
      <c r="W79" s="19"/>
      <c r="X79" s="19"/>
      <c r="Y79" s="19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</row>
    <row r="80" spans="1:57" ht="11.1" customHeight="1" x14ac:dyDescent="0.2"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</row>
    <row r="81" spans="1:57" ht="11.1" customHeight="1" x14ac:dyDescent="0.2">
      <c r="Q81" s="18"/>
      <c r="R81" s="18"/>
      <c r="S81" s="18"/>
      <c r="T81" s="18"/>
      <c r="U81" s="18"/>
      <c r="V81" s="18"/>
      <c r="W81" s="18"/>
      <c r="X81" s="18"/>
      <c r="Y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</row>
    <row r="82" spans="1:57" ht="11.1" customHeight="1" x14ac:dyDescent="0.2"/>
    <row r="83" spans="1:57" ht="11.1" customHeight="1" x14ac:dyDescent="0.2"/>
    <row r="84" spans="1:57" s="18" customFormat="1" ht="11.1" customHeight="1" x14ac:dyDescent="0.2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Q84" s="11"/>
      <c r="R84" s="11"/>
      <c r="S84" s="11"/>
      <c r="T84" s="11"/>
      <c r="U84" s="11"/>
      <c r="V84" s="11"/>
      <c r="W84" s="11"/>
      <c r="X84" s="11"/>
      <c r="Y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</row>
    <row r="85" spans="1:57" s="18" customFormat="1" ht="11.1" customHeight="1" x14ac:dyDescent="0.2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</row>
    <row r="86" spans="1:57" s="18" customFormat="1" ht="11.1" customHeight="1" x14ac:dyDescent="0.2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</row>
    <row r="87" spans="1:57" s="18" customFormat="1" ht="11.1" customHeight="1" x14ac:dyDescent="0.2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</row>
    <row r="88" spans="1:57" s="18" customFormat="1" ht="11.1" customHeight="1" x14ac:dyDescent="0.2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</row>
    <row r="89" spans="1:57" s="18" customFormat="1" ht="11.1" customHeight="1" x14ac:dyDescent="0.2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</row>
    <row r="90" spans="1:57" s="18" customFormat="1" ht="10.5" customHeight="1" x14ac:dyDescent="0.2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</row>
    <row r="91" spans="1:57" s="18" customFormat="1" ht="18" customHeight="1" x14ac:dyDescent="0.2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</row>
    <row r="92" spans="1:57" s="18" customFormat="1" ht="27.95" customHeight="1" x14ac:dyDescent="0.2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</row>
    <row r="93" spans="1:57" s="18" customFormat="1" ht="9.75" customHeight="1" x14ac:dyDescent="0.2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</row>
    <row r="94" spans="1:57" s="18" customFormat="1" ht="14.1" customHeight="1" x14ac:dyDescent="0.2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</row>
    <row r="95" spans="1:57" s="18" customFormat="1" ht="14.1" customHeight="1" x14ac:dyDescent="0.2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</row>
    <row r="96" spans="1:57" s="18" customFormat="1" ht="14.1" customHeight="1" x14ac:dyDescent="0.2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</row>
    <row r="97" spans="1:15" s="18" customFormat="1" ht="12" customHeight="1" x14ac:dyDescent="0.2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</row>
    <row r="98" spans="1:15" s="18" customFormat="1" ht="12" customHeight="1" x14ac:dyDescent="0.2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</row>
    <row r="99" spans="1:15" s="18" customFormat="1" ht="14.1" customHeight="1" x14ac:dyDescent="0.2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</row>
    <row r="100" spans="1:15" s="18" customFormat="1" ht="14.1" customHeight="1" x14ac:dyDescent="0.2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</row>
    <row r="101" spans="1:15" s="18" customFormat="1" ht="14.1" customHeight="1" x14ac:dyDescent="0.2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</row>
    <row r="102" spans="1:15" s="18" customFormat="1" ht="14.1" customHeight="1" x14ac:dyDescent="0.2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</row>
    <row r="103" spans="1:15" s="18" customFormat="1" ht="13.5" customHeight="1" x14ac:dyDescent="0.2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</row>
    <row r="104" spans="1:15" s="18" customFormat="1" ht="15" customHeight="1" x14ac:dyDescent="0.2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</row>
    <row r="105" spans="1:15" s="18" customFormat="1" ht="20.100000000000001" customHeight="1" x14ac:dyDescent="0.2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</row>
    <row r="106" spans="1:15" s="18" customFormat="1" ht="15" customHeight="1" x14ac:dyDescent="0.2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</row>
    <row r="107" spans="1:15" s="18" customFormat="1" ht="15" customHeight="1" x14ac:dyDescent="0.2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</row>
    <row r="108" spans="1:15" s="18" customFormat="1" ht="15" customHeight="1" x14ac:dyDescent="0.2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</row>
    <row r="109" spans="1:15" s="18" customFormat="1" ht="15" customHeight="1" x14ac:dyDescent="0.2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</row>
    <row r="110" spans="1:15" s="18" customFormat="1" ht="20.100000000000001" customHeight="1" x14ac:dyDescent="0.2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</row>
    <row r="111" spans="1:15" s="18" customFormat="1" ht="20.100000000000001" customHeight="1" x14ac:dyDescent="0.2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</row>
    <row r="112" spans="1:15" s="18" customFormat="1" ht="21" customHeight="1" x14ac:dyDescent="0.2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</row>
    <row r="113" spans="1:35" s="18" customFormat="1" ht="15" customHeight="1" x14ac:dyDescent="0.2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</row>
    <row r="114" spans="1:35" s="18" customFormat="1" ht="15" customHeight="1" x14ac:dyDescent="0.2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</row>
    <row r="115" spans="1:35" s="18" customFormat="1" ht="14.1" customHeight="1" x14ac:dyDescent="0.2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</row>
    <row r="116" spans="1:35" s="18" customFormat="1" ht="14.1" customHeight="1" x14ac:dyDescent="0.2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</row>
    <row r="117" spans="1:35" s="18" customFormat="1" ht="14.1" customHeight="1" x14ac:dyDescent="0.2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</row>
    <row r="118" spans="1:35" s="18" customFormat="1" ht="14.1" customHeight="1" x14ac:dyDescent="0.2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</row>
    <row r="119" spans="1:35" s="18" customFormat="1" ht="15" customHeight="1" x14ac:dyDescent="0.2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</row>
    <row r="120" spans="1:35" s="19" customFormat="1" ht="15" customHeight="1" x14ac:dyDescent="0.2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</row>
    <row r="121" spans="1:35" s="19" customFormat="1" ht="15" customHeight="1" x14ac:dyDescent="0.2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</row>
    <row r="122" spans="1:35" s="19" customFormat="1" ht="15" hidden="1" customHeight="1" x14ac:dyDescent="0.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</row>
    <row r="123" spans="1:35" s="19" customFormat="1" ht="15" customHeight="1" x14ac:dyDescent="0.2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</row>
    <row r="124" spans="1:35" s="19" customFormat="1" ht="15" customHeight="1" x14ac:dyDescent="0.2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</row>
    <row r="125" spans="1:35" s="19" customFormat="1" ht="15" hidden="1" customHeight="1" x14ac:dyDescent="0.2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</row>
    <row r="126" spans="1:35" s="19" customFormat="1" ht="15" customHeight="1" x14ac:dyDescent="0.2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</row>
    <row r="127" spans="1:35" s="19" customFormat="1" ht="15" customHeight="1" x14ac:dyDescent="0.2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</row>
    <row r="128" spans="1:35" s="19" customFormat="1" ht="15" hidden="1" customHeight="1" x14ac:dyDescent="0.2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</row>
    <row r="129" spans="1:35" s="19" customFormat="1" ht="15" hidden="1" customHeight="1" x14ac:dyDescent="0.2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</row>
    <row r="130" spans="1:35" s="19" customFormat="1" ht="15" customHeight="1" x14ac:dyDescent="0.2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</row>
    <row r="131" spans="1:35" s="18" customFormat="1" ht="15" customHeight="1" x14ac:dyDescent="0.2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</row>
    <row r="132" spans="1:35" s="18" customFormat="1" ht="15" hidden="1" customHeight="1" x14ac:dyDescent="0.2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</row>
    <row r="133" spans="1:35" ht="15" customHeight="1" x14ac:dyDescent="0.2"/>
    <row r="134" spans="1:35" ht="15" customHeight="1" x14ac:dyDescent="0.2"/>
    <row r="135" spans="1:35" ht="15" customHeight="1" x14ac:dyDescent="0.2"/>
    <row r="136" spans="1:35" ht="15" customHeight="1" x14ac:dyDescent="0.2"/>
    <row r="137" spans="1:35" ht="15" customHeight="1" x14ac:dyDescent="0.2"/>
    <row r="138" spans="1:35" ht="15" customHeight="1" x14ac:dyDescent="0.2"/>
    <row r="139" spans="1:35" ht="15" customHeight="1" x14ac:dyDescent="0.2"/>
    <row r="140" spans="1:35" ht="24" customHeight="1" x14ac:dyDescent="0.2"/>
    <row r="141" spans="1:35" ht="21.95" customHeight="1" x14ac:dyDescent="0.2"/>
    <row r="142" spans="1:35" ht="21" customHeight="1" x14ac:dyDescent="0.2"/>
    <row r="143" spans="1:35" ht="15.75" customHeight="1" x14ac:dyDescent="0.2"/>
    <row r="144" spans="1:35" ht="12.75" customHeight="1" x14ac:dyDescent="0.2"/>
    <row r="145" spans="16:50" ht="18.75" customHeight="1" x14ac:dyDescent="0.2"/>
    <row r="146" spans="16:50" ht="29.25" customHeight="1" x14ac:dyDescent="0.2"/>
    <row r="147" spans="16:50" ht="27.95" customHeight="1" x14ac:dyDescent="0.2"/>
    <row r="148" spans="16:50" ht="27.95" customHeight="1" x14ac:dyDescent="0.2"/>
    <row r="149" spans="16:50" ht="12.95" customHeight="1" x14ac:dyDescent="0.2"/>
    <row r="150" spans="16:50" ht="12" customHeight="1" x14ac:dyDescent="0.2"/>
    <row r="157" spans="16:50" x14ac:dyDescent="0.2"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</row>
    <row r="158" spans="16:50" x14ac:dyDescent="0.2">
      <c r="P158" s="45"/>
      <c r="Q158" s="45"/>
      <c r="R158" s="45"/>
      <c r="S158" s="45"/>
      <c r="T158" s="3">
        <v>66</v>
      </c>
      <c r="U158" s="4">
        <f>+$W$69+((T75-$U$69)*(($V$165-$W$69)/($T$165-$U$69)))</f>
        <v>0</v>
      </c>
      <c r="V158" s="4">
        <f t="shared" ref="V158:V164" si="2">+$W$69+((T158-$U$69)*(($V$165-$W$69)/($T$165-$U$69)))</f>
        <v>0.92023988005997004</v>
      </c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</row>
    <row r="159" spans="16:50" x14ac:dyDescent="0.2">
      <c r="P159" s="45"/>
      <c r="Q159" s="45"/>
      <c r="R159" s="45"/>
      <c r="S159" s="45"/>
      <c r="T159" s="3">
        <v>66.099999999999994</v>
      </c>
      <c r="U159" s="4">
        <f>+$W$69+((T76-$U$69)*(($V$165-$W$69)/($T$165-$U$69)))</f>
        <v>0</v>
      </c>
      <c r="V159" s="4">
        <f t="shared" si="2"/>
        <v>0.92163418290854571</v>
      </c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</row>
    <row r="160" spans="16:50" x14ac:dyDescent="0.2">
      <c r="P160" s="45"/>
      <c r="Q160" s="45"/>
      <c r="R160" s="45"/>
      <c r="S160" s="45"/>
      <c r="T160" s="3">
        <v>66.2</v>
      </c>
      <c r="U160" s="4">
        <f>+$W$69+((T77-$U$69)*(($V$165-$W$69)/($T$165-$U$69)))</f>
        <v>0</v>
      </c>
      <c r="V160" s="4">
        <f t="shared" si="2"/>
        <v>0.92302848575712149</v>
      </c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</row>
    <row r="161" spans="16:50" x14ac:dyDescent="0.2">
      <c r="P161" s="45"/>
      <c r="Q161" s="45"/>
      <c r="R161" s="45"/>
      <c r="S161" s="45"/>
      <c r="T161" s="3">
        <v>66.300000000000097</v>
      </c>
      <c r="U161" s="4">
        <f>+$W$69+((S158-$U$69)*(($V$165-$W$69)/($T$165-$U$69)))</f>
        <v>0</v>
      </c>
      <c r="V161" s="4">
        <f t="shared" si="2"/>
        <v>0.92442278860569849</v>
      </c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</row>
    <row r="162" spans="16:50" x14ac:dyDescent="0.2">
      <c r="P162" s="45"/>
      <c r="Q162" s="45"/>
      <c r="R162" s="45"/>
      <c r="S162" s="45"/>
      <c r="T162" s="3">
        <v>66.400000000000006</v>
      </c>
      <c r="U162" s="4">
        <f>+$W$69+((S159-$U$69)*(($V$165-$W$69)/($T$165-$U$69)))</f>
        <v>0</v>
      </c>
      <c r="V162" s="4">
        <f t="shared" si="2"/>
        <v>0.92581709145427293</v>
      </c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</row>
    <row r="163" spans="16:50" x14ac:dyDescent="0.2">
      <c r="P163" s="45"/>
      <c r="Q163" s="45"/>
      <c r="R163" s="45"/>
      <c r="S163" s="45"/>
      <c r="T163" s="3">
        <v>66.500000000000099</v>
      </c>
      <c r="U163" s="4">
        <f>+$W$69+((S160-$U$69)*(($V$165-$W$69)/($T$165-$U$69)))</f>
        <v>0</v>
      </c>
      <c r="V163" s="4">
        <f t="shared" si="2"/>
        <v>0.92721139430284993</v>
      </c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</row>
    <row r="164" spans="16:50" x14ac:dyDescent="0.2">
      <c r="P164" s="45"/>
      <c r="Q164" s="45"/>
      <c r="R164" s="45"/>
      <c r="S164" s="45"/>
      <c r="T164" s="3">
        <v>66.600000000000094</v>
      </c>
      <c r="U164" s="4">
        <f>+$W$69+((S161-$U$69)*(($V$165-$W$69)/($T$165-$U$69)))</f>
        <v>0</v>
      </c>
      <c r="V164" s="4">
        <f t="shared" si="2"/>
        <v>0.9286056971514256</v>
      </c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</row>
    <row r="165" spans="16:50" x14ac:dyDescent="0.2">
      <c r="P165" s="45"/>
      <c r="Q165" s="45"/>
      <c r="R165" s="45"/>
      <c r="S165" s="45"/>
      <c r="T165" s="5">
        <v>66.7</v>
      </c>
      <c r="U165" s="6">
        <v>0.93</v>
      </c>
      <c r="V165" s="6">
        <v>0.93</v>
      </c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</row>
    <row r="166" spans="16:50" x14ac:dyDescent="0.2"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</row>
    <row r="167" spans="16:50" x14ac:dyDescent="0.2"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</row>
    <row r="168" spans="16:50" x14ac:dyDescent="0.2"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</row>
    <row r="169" spans="16:50" x14ac:dyDescent="0.2"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</row>
    <row r="170" spans="16:50" x14ac:dyDescent="0.2"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</row>
    <row r="171" spans="16:50" x14ac:dyDescent="0.2"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</row>
    <row r="172" spans="16:50" x14ac:dyDescent="0.2"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</row>
    <row r="173" spans="16:50" x14ac:dyDescent="0.2"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</row>
    <row r="174" spans="16:50" x14ac:dyDescent="0.2"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</row>
  </sheetData>
  <sheetProtection algorithmName="SHA-512" hashValue="sGEsq7KO74rYd+gG9pijHLkaLa/EKJItkshndXcHDW+7kAlWNYZ5MIh14xT+0QKPTY7Xo72mDdG5OI7guGySkQ==" saltValue="ryo3o/KNElJPdOka7z8dUQ==" spinCount="100000" sheet="1" formatCells="0" formatColumns="0" formatRows="0"/>
  <protectedRanges>
    <protectedRange sqref="M2:N3" name="Rango1_1_1"/>
    <protectedRange sqref="M4:N4" name="Rango1_1_1_1"/>
  </protectedRanges>
  <mergeCells count="115">
    <mergeCell ref="P14:P17"/>
    <mergeCell ref="P18:P20"/>
    <mergeCell ref="P12:P13"/>
    <mergeCell ref="Q12:X12"/>
    <mergeCell ref="AG25:AI25"/>
    <mergeCell ref="Q13:R13"/>
    <mergeCell ref="S13:T13"/>
    <mergeCell ref="U13:V13"/>
    <mergeCell ref="W13:X13"/>
    <mergeCell ref="Q17:X17"/>
    <mergeCell ref="Q18:R18"/>
    <mergeCell ref="S18:T18"/>
    <mergeCell ref="U18:V18"/>
    <mergeCell ref="W18:X18"/>
    <mergeCell ref="M4:O4"/>
    <mergeCell ref="H16:I16"/>
    <mergeCell ref="A15:G15"/>
    <mergeCell ref="H15:I15"/>
    <mergeCell ref="A19:G19"/>
    <mergeCell ref="A16:G16"/>
    <mergeCell ref="A17:G17"/>
    <mergeCell ref="E11:J12"/>
    <mergeCell ref="A18:G18"/>
    <mergeCell ref="M12:O12"/>
    <mergeCell ref="A1:D5"/>
    <mergeCell ref="E1:O3"/>
    <mergeCell ref="E4:L4"/>
    <mergeCell ref="E5:O5"/>
    <mergeCell ref="M11:O11"/>
    <mergeCell ref="K11:L11"/>
    <mergeCell ref="M6:O6"/>
    <mergeCell ref="M7:O7"/>
    <mergeCell ref="M10:O10"/>
    <mergeCell ref="M8:O8"/>
    <mergeCell ref="M9:O9"/>
    <mergeCell ref="H18:I18"/>
    <mergeCell ref="E6:J6"/>
    <mergeCell ref="E7:J7"/>
    <mergeCell ref="Q64:R64"/>
    <mergeCell ref="A45:C45"/>
    <mergeCell ref="A40:C40"/>
    <mergeCell ref="A41:C41"/>
    <mergeCell ref="A42:C42"/>
    <mergeCell ref="A43:C43"/>
    <mergeCell ref="A44:C44"/>
    <mergeCell ref="AR58:AV58"/>
    <mergeCell ref="Q59:R59"/>
    <mergeCell ref="Q62:R63"/>
    <mergeCell ref="AL58:AP58"/>
    <mergeCell ref="A36:H36"/>
    <mergeCell ref="I35:O35"/>
    <mergeCell ref="I36:O36"/>
    <mergeCell ref="A39:O39"/>
    <mergeCell ref="A38:O38"/>
    <mergeCell ref="A28:E28"/>
    <mergeCell ref="G28:H28"/>
    <mergeCell ref="I28:K28"/>
    <mergeCell ref="L28:O28"/>
    <mergeCell ref="A33:H33"/>
    <mergeCell ref="I33:O33"/>
    <mergeCell ref="A30:E30"/>
    <mergeCell ref="G30:H30"/>
    <mergeCell ref="A32:O32"/>
    <mergeCell ref="A29:E29"/>
    <mergeCell ref="G29:H29"/>
    <mergeCell ref="A37:O37"/>
    <mergeCell ref="A31:B31"/>
    <mergeCell ref="C31:O31"/>
    <mergeCell ref="N24:O24"/>
    <mergeCell ref="H23:I23"/>
    <mergeCell ref="A8:D8"/>
    <mergeCell ref="A9:D9"/>
    <mergeCell ref="E8:J8"/>
    <mergeCell ref="E9:J9"/>
    <mergeCell ref="N14:O17"/>
    <mergeCell ref="N18:O20"/>
    <mergeCell ref="A20:G20"/>
    <mergeCell ref="H20:I20"/>
    <mergeCell ref="H22:I22"/>
    <mergeCell ref="N22:O22"/>
    <mergeCell ref="A21:G21"/>
    <mergeCell ref="H21:I21"/>
    <mergeCell ref="N21:O21"/>
    <mergeCell ref="A22:G22"/>
    <mergeCell ref="A14:D14"/>
    <mergeCell ref="H14:I14"/>
    <mergeCell ref="H17:I17"/>
    <mergeCell ref="A23:G23"/>
    <mergeCell ref="A13:O13"/>
    <mergeCell ref="H19:I19"/>
    <mergeCell ref="E10:J10"/>
    <mergeCell ref="A7:C7"/>
    <mergeCell ref="U35:V35"/>
    <mergeCell ref="S25:T25"/>
    <mergeCell ref="Q21:R21"/>
    <mergeCell ref="S21:T21"/>
    <mergeCell ref="U33:V33"/>
    <mergeCell ref="Q34:V34"/>
    <mergeCell ref="G26:H26"/>
    <mergeCell ref="I26:K26"/>
    <mergeCell ref="L26:O26"/>
    <mergeCell ref="A35:H35"/>
    <mergeCell ref="Q22:R22"/>
    <mergeCell ref="S22:T22"/>
    <mergeCell ref="Q32:V32"/>
    <mergeCell ref="A27:E27"/>
    <mergeCell ref="A26:E26"/>
    <mergeCell ref="G27:H27"/>
    <mergeCell ref="I27:K27"/>
    <mergeCell ref="L27:O27"/>
    <mergeCell ref="A25:O25"/>
    <mergeCell ref="P27:P28"/>
    <mergeCell ref="N23:O23"/>
    <mergeCell ref="A24:G24"/>
    <mergeCell ref="H24:I24"/>
  </mergeCells>
  <conditionalFormatting sqref="U33 U35">
    <cfRule type="cellIs" dxfId="0" priority="2" operator="equal">
      <formula>"ESTA FUERA DEL ALCANCE"</formula>
    </cfRule>
  </conditionalFormatting>
  <printOptions horizontalCentered="1"/>
  <pageMargins left="0.59055118110236227" right="0.19685039370078741" top="0" bottom="0" header="0" footer="0.35433070866141736"/>
  <pageSetup paperSize="9" pageOrder="overThenDown" orientation="portrait" r:id="rId1"/>
  <headerFooter scaleWithDoc="0">
    <oddFooter xml:space="preserve">&amp;L&amp;6Calle 26 No. 57-41 Torre 8 Piso 8 CEMSA - CP: 1113111            
Pbx: 3779555  - Información: Línea 195     
www.umv.gov.co111311&amp;C&amp;6Página 1 de 1
</oddFooter>
  </headerFooter>
  <ignoredErrors>
    <ignoredError sqref="K24" formula="1"/>
    <ignoredError sqref="G30 M6:O9 M11:O11 V25:X30 S21:T22 S26:S29 U35 I36" unlockedFormula="1"/>
    <ignoredError sqref="J16:M16" formulaRange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firmas!$A$39:$A$42</xm:f>
          </x14:formula1>
          <xm:sqref>I35:O35</xm:sqref>
        </x14:dataValidation>
        <x14:dataValidation type="list" allowBlank="1" showInputMessage="1" showErrorMessage="1" xr:uid="{00000000-0002-0000-0300-000001000000}">
          <x14:formula1>
            <xm:f>firmas!$A$34:$A$36</xm:f>
          </x14:formula1>
          <xm:sqref>A35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50"/>
  </sheetPr>
  <dimension ref="A1:BH186"/>
  <sheetViews>
    <sheetView showGridLines="0" tabSelected="1" view="pageBreakPreview" topLeftCell="A29" zoomScaleSheetLayoutView="100" workbookViewId="0">
      <selection activeCell="M26" sqref="M26"/>
    </sheetView>
  </sheetViews>
  <sheetFormatPr baseColWidth="10" defaultRowHeight="12.75" x14ac:dyDescent="0.2"/>
  <cols>
    <col min="1" max="1" width="3.5703125" style="11" customWidth="1"/>
    <col min="2" max="2" width="5.7109375" style="11" customWidth="1"/>
    <col min="3" max="3" width="9.5703125" style="11" customWidth="1"/>
    <col min="4" max="4" width="5" style="11" customWidth="1"/>
    <col min="5" max="5" width="5.140625" style="11" customWidth="1"/>
    <col min="6" max="6" width="6.140625" style="11" customWidth="1"/>
    <col min="7" max="7" width="5.140625" style="11" customWidth="1"/>
    <col min="8" max="8" width="3.7109375" style="11" customWidth="1"/>
    <col min="9" max="9" width="5.7109375" style="11" customWidth="1"/>
    <col min="10" max="10" width="4.7109375" style="11" customWidth="1"/>
    <col min="11" max="14" width="7.7109375" style="11" customWidth="1"/>
    <col min="15" max="16" width="4.7109375" style="11" customWidth="1"/>
    <col min="17" max="17" width="7" style="11" hidden="1" customWidth="1"/>
    <col min="18" max="18" width="12.140625" style="11" hidden="1" customWidth="1"/>
    <col min="19" max="19" width="11" style="11" hidden="1" customWidth="1"/>
    <col min="20" max="20" width="22.140625" style="11" hidden="1" customWidth="1"/>
    <col min="21" max="21" width="17.140625" style="11" hidden="1" customWidth="1"/>
    <col min="22" max="26" width="11.42578125" style="11" hidden="1" customWidth="1"/>
    <col min="27" max="27" width="6.28515625" style="11" hidden="1" customWidth="1"/>
    <col min="28" max="28" width="10.7109375" style="11" hidden="1" customWidth="1"/>
    <col min="29" max="29" width="18.85546875" style="11" hidden="1" customWidth="1"/>
    <col min="30" max="51" width="11.42578125" style="11" hidden="1" customWidth="1"/>
    <col min="52" max="52" width="0" style="11" hidden="1" customWidth="1"/>
    <col min="53" max="16384" width="11.42578125" style="11"/>
  </cols>
  <sheetData>
    <row r="1" spans="1:55" ht="15" customHeight="1" thickTop="1" thickBot="1" x14ac:dyDescent="0.35">
      <c r="A1" s="778"/>
      <c r="B1" s="779"/>
      <c r="C1" s="779"/>
      <c r="D1" s="1344" t="s">
        <v>412</v>
      </c>
      <c r="E1" s="1345"/>
      <c r="F1" s="1345"/>
      <c r="G1" s="1345"/>
      <c r="H1" s="1345"/>
      <c r="I1" s="1345"/>
      <c r="J1" s="1345"/>
      <c r="K1" s="1345"/>
      <c r="L1" s="1345"/>
      <c r="M1" s="1345"/>
      <c r="N1" s="1345"/>
      <c r="O1" s="1345"/>
      <c r="P1" s="1346"/>
      <c r="Q1" s="789"/>
      <c r="R1" s="789"/>
      <c r="S1" s="343"/>
      <c r="T1" s="344"/>
      <c r="U1" s="344"/>
      <c r="V1" s="344"/>
      <c r="W1" s="344"/>
      <c r="X1" s="344"/>
      <c r="Y1" s="344"/>
      <c r="Z1" s="344"/>
      <c r="AA1" s="344"/>
      <c r="AB1" s="344"/>
      <c r="AC1" s="45"/>
      <c r="AD1" s="1329" t="s">
        <v>315</v>
      </c>
      <c r="AE1" s="1330"/>
      <c r="AF1" s="45"/>
      <c r="AG1" s="1331" t="s">
        <v>238</v>
      </c>
      <c r="AH1" s="1331"/>
      <c r="AI1" s="1331"/>
      <c r="AJ1" s="1331"/>
      <c r="AK1" s="1331"/>
      <c r="AL1" s="1331"/>
      <c r="AM1" s="1331"/>
      <c r="AN1" s="1331"/>
      <c r="AO1" s="1331"/>
      <c r="AP1" s="1331"/>
      <c r="AQ1" s="1331"/>
      <c r="AR1" s="1331"/>
      <c r="AS1" s="1331"/>
      <c r="AT1" s="1331"/>
      <c r="AU1" s="1331"/>
      <c r="AV1" s="1331"/>
      <c r="AW1" s="1331"/>
      <c r="AX1" s="1331"/>
      <c r="AY1" s="1331"/>
      <c r="AZ1" s="45"/>
      <c r="BA1" s="45"/>
      <c r="BB1" s="45"/>
      <c r="BC1" s="45"/>
    </row>
    <row r="2" spans="1:55" ht="15" customHeight="1" thickTop="1" x14ac:dyDescent="0.2">
      <c r="A2" s="86"/>
      <c r="B2" s="45"/>
      <c r="C2" s="45"/>
      <c r="D2" s="1347"/>
      <c r="E2" s="1348"/>
      <c r="F2" s="1348"/>
      <c r="G2" s="1348"/>
      <c r="H2" s="1348"/>
      <c r="I2" s="1348"/>
      <c r="J2" s="1348"/>
      <c r="K2" s="1348"/>
      <c r="L2" s="1348"/>
      <c r="M2" s="1348"/>
      <c r="N2" s="1348"/>
      <c r="O2" s="1348"/>
      <c r="P2" s="1349"/>
      <c r="Q2" s="789"/>
      <c r="R2" s="789"/>
      <c r="S2" s="345"/>
      <c r="T2" s="1339" t="s">
        <v>288</v>
      </c>
      <c r="U2" s="1261"/>
      <c r="V2" s="1261"/>
      <c r="W2" s="1261"/>
      <c r="X2" s="1261"/>
      <c r="Y2" s="1261"/>
      <c r="Z2" s="1261"/>
      <c r="AA2" s="1261"/>
      <c r="AB2" s="1262"/>
      <c r="AC2" s="45"/>
      <c r="AD2" s="301" t="s">
        <v>27</v>
      </c>
      <c r="AE2" s="302" t="s">
        <v>28</v>
      </c>
      <c r="AG2" s="160"/>
      <c r="AH2" s="161"/>
      <c r="AI2" s="161"/>
      <c r="AJ2" s="162"/>
      <c r="AK2" s="162"/>
      <c r="AL2" s="162"/>
      <c r="AM2" s="163"/>
      <c r="AN2" s="163"/>
      <c r="AO2" s="163"/>
      <c r="AP2" s="163"/>
      <c r="AQ2" s="163"/>
      <c r="AR2" s="163"/>
      <c r="AS2" s="163"/>
      <c r="AT2" s="163"/>
      <c r="AU2" s="163"/>
      <c r="AV2" s="164"/>
      <c r="AW2" s="164"/>
      <c r="AX2" s="164"/>
      <c r="AY2" s="165"/>
      <c r="AZ2" s="45"/>
      <c r="BA2" s="45"/>
      <c r="BB2" s="45"/>
      <c r="BC2" s="45"/>
    </row>
    <row r="3" spans="1:55" ht="15" customHeight="1" x14ac:dyDescent="0.2">
      <c r="A3" s="86"/>
      <c r="B3" s="45"/>
      <c r="C3" s="45"/>
      <c r="D3" s="1350"/>
      <c r="E3" s="1351"/>
      <c r="F3" s="1351"/>
      <c r="G3" s="1351"/>
      <c r="H3" s="1351"/>
      <c r="I3" s="1351"/>
      <c r="J3" s="1351"/>
      <c r="K3" s="1351"/>
      <c r="L3" s="1351"/>
      <c r="M3" s="1351"/>
      <c r="N3" s="1351"/>
      <c r="O3" s="1351"/>
      <c r="P3" s="1352"/>
      <c r="Q3" s="789"/>
      <c r="R3" s="789"/>
      <c r="S3" s="345"/>
      <c r="T3" s="436"/>
      <c r="U3" s="437">
        <v>1</v>
      </c>
      <c r="V3" s="438" t="s">
        <v>123</v>
      </c>
      <c r="W3" s="439" t="s">
        <v>35</v>
      </c>
      <c r="X3" s="439"/>
      <c r="Y3" s="388" t="s">
        <v>341</v>
      </c>
      <c r="Z3" s="388" t="s">
        <v>340</v>
      </c>
      <c r="AA3" s="407" t="s">
        <v>125</v>
      </c>
      <c r="AB3" s="440" t="s">
        <v>375</v>
      </c>
      <c r="AC3" s="45"/>
      <c r="AD3" s="294">
        <v>57.2</v>
      </c>
      <c r="AE3" s="295">
        <v>1.19</v>
      </c>
      <c r="AG3" s="168"/>
      <c r="AH3" s="238" t="s">
        <v>239</v>
      </c>
      <c r="AI3" s="238"/>
      <c r="AJ3" s="238"/>
      <c r="AK3" s="238"/>
      <c r="AL3" s="238"/>
      <c r="AM3" s="169"/>
      <c r="AN3" s="238" t="s">
        <v>417</v>
      </c>
      <c r="AO3" s="238"/>
      <c r="AP3" s="238"/>
      <c r="AQ3" s="238"/>
      <c r="AR3" s="238"/>
      <c r="AS3" s="169"/>
      <c r="AT3" s="238" t="s">
        <v>240</v>
      </c>
      <c r="AU3" s="238"/>
      <c r="AV3" s="238"/>
      <c r="AW3" s="238"/>
      <c r="AX3" s="238"/>
      <c r="AY3" s="170"/>
      <c r="AZ3" s="45"/>
      <c r="BA3" s="45"/>
      <c r="BB3" s="45"/>
      <c r="BC3" s="45"/>
    </row>
    <row r="4" spans="1:55" ht="15" customHeight="1" x14ac:dyDescent="0.2">
      <c r="A4" s="86"/>
      <c r="B4" s="45"/>
      <c r="C4" s="45"/>
      <c r="D4" s="1292" t="s">
        <v>259</v>
      </c>
      <c r="E4" s="1292"/>
      <c r="F4" s="1292"/>
      <c r="G4" s="1292"/>
      <c r="H4" s="1292"/>
      <c r="I4" s="1292"/>
      <c r="J4" s="1292"/>
      <c r="K4" s="1292"/>
      <c r="L4" s="1292"/>
      <c r="M4" s="1292"/>
      <c r="N4" s="1292" t="s">
        <v>423</v>
      </c>
      <c r="O4" s="1292"/>
      <c r="P4" s="1292"/>
      <c r="Q4" s="827"/>
      <c r="R4" s="827"/>
      <c r="S4" s="346"/>
      <c r="T4" s="441"/>
      <c r="U4" s="442">
        <v>2</v>
      </c>
      <c r="V4" s="372"/>
      <c r="W4" s="372"/>
      <c r="X4" s="372"/>
      <c r="Y4" s="344"/>
      <c r="Z4" s="344"/>
      <c r="AA4" s="372"/>
      <c r="AB4" s="616"/>
      <c r="AC4" s="45"/>
      <c r="AD4" s="296">
        <v>57.2</v>
      </c>
      <c r="AE4" s="297">
        <f t="shared" ref="AE4:AE18" si="0">+$AE$3+((AD5-$AD$3)*(($AE$19-$AE$3)/($AD$19-$AD$3)))</f>
        <v>1.1866666666666668</v>
      </c>
      <c r="AG4" s="168"/>
      <c r="AH4" s="45"/>
      <c r="AI4" s="171" t="s">
        <v>241</v>
      </c>
      <c r="AJ4" s="172">
        <v>0.2</v>
      </c>
      <c r="AK4" s="173"/>
      <c r="AL4" s="173"/>
      <c r="AM4" s="169"/>
      <c r="AN4" s="45"/>
      <c r="AO4" s="171" t="s">
        <v>241</v>
      </c>
      <c r="AP4" s="172">
        <v>0.2</v>
      </c>
      <c r="AQ4" s="173"/>
      <c r="AR4" s="173"/>
      <c r="AS4" s="169"/>
      <c r="AT4" s="45"/>
      <c r="AU4" s="171" t="s">
        <v>241</v>
      </c>
      <c r="AV4" s="172">
        <v>0.2</v>
      </c>
      <c r="AW4" s="173"/>
      <c r="AX4" s="173"/>
      <c r="AY4" s="170"/>
      <c r="AZ4" s="45"/>
      <c r="BA4" s="45"/>
      <c r="BB4" s="45"/>
      <c r="BC4" s="45"/>
    </row>
    <row r="5" spans="1:55" ht="15" customHeight="1" x14ac:dyDescent="0.2">
      <c r="A5" s="848"/>
      <c r="B5" s="849"/>
      <c r="C5" s="849"/>
      <c r="D5" s="1293" t="s">
        <v>424</v>
      </c>
      <c r="E5" s="1293"/>
      <c r="F5" s="1293"/>
      <c r="G5" s="1293"/>
      <c r="H5" s="1293"/>
      <c r="I5" s="1293"/>
      <c r="J5" s="1293"/>
      <c r="K5" s="1293"/>
      <c r="L5" s="1293"/>
      <c r="M5" s="1293"/>
      <c r="N5" s="1293"/>
      <c r="O5" s="1293"/>
      <c r="P5" s="1293"/>
      <c r="Q5" s="827"/>
      <c r="R5" s="827"/>
      <c r="S5" s="346"/>
      <c r="T5" s="443" t="s">
        <v>107</v>
      </c>
      <c r="U5" s="442">
        <v>3</v>
      </c>
      <c r="V5" s="260">
        <v>2.6</v>
      </c>
      <c r="W5" s="260">
        <f>+(2.6*0.3939)+(2.6*0.6061)</f>
        <v>2.6</v>
      </c>
      <c r="X5" s="257"/>
      <c r="Y5" s="257">
        <v>2.4060000000000001</v>
      </c>
      <c r="Z5" s="260">
        <v>2.379</v>
      </c>
      <c r="AA5" s="257">
        <v>2.54</v>
      </c>
      <c r="AB5" s="677">
        <f>+(2.62*0.2833)+(2.63*0.7167)</f>
        <v>2.627167</v>
      </c>
      <c r="AC5" s="45"/>
      <c r="AD5" s="296">
        <v>57.3</v>
      </c>
      <c r="AE5" s="297">
        <f t="shared" si="0"/>
        <v>1.1833333333333333</v>
      </c>
      <c r="AG5" s="168"/>
      <c r="AH5" s="45"/>
      <c r="AI5" s="174" t="s">
        <v>242</v>
      </c>
      <c r="AJ5" s="174" t="s">
        <v>243</v>
      </c>
      <c r="AK5" s="174" t="s">
        <v>244</v>
      </c>
      <c r="AL5" s="174" t="s">
        <v>245</v>
      </c>
      <c r="AM5" s="169"/>
      <c r="AN5" s="45"/>
      <c r="AO5" s="174" t="s">
        <v>242</v>
      </c>
      <c r="AP5" s="174" t="s">
        <v>243</v>
      </c>
      <c r="AQ5" s="174" t="s">
        <v>244</v>
      </c>
      <c r="AR5" s="174" t="s">
        <v>245</v>
      </c>
      <c r="AS5" s="169"/>
      <c r="AT5" s="45"/>
      <c r="AU5" s="174" t="s">
        <v>242</v>
      </c>
      <c r="AV5" s="174" t="s">
        <v>243</v>
      </c>
      <c r="AW5" s="174" t="s">
        <v>244</v>
      </c>
      <c r="AX5" s="174" t="s">
        <v>245</v>
      </c>
      <c r="AY5" s="170"/>
      <c r="AZ5" s="45"/>
      <c r="BA5" s="45"/>
      <c r="BB5" s="45"/>
      <c r="BC5" s="45"/>
    </row>
    <row r="6" spans="1:55" ht="15" customHeight="1" x14ac:dyDescent="0.2">
      <c r="A6" s="782"/>
      <c r="B6" s="698"/>
      <c r="C6" s="698"/>
      <c r="D6" s="698"/>
      <c r="E6" s="698"/>
      <c r="F6" s="788"/>
      <c r="G6" s="788"/>
      <c r="H6" s="788"/>
      <c r="I6" s="788"/>
      <c r="J6" s="788"/>
      <c r="K6" s="788"/>
      <c r="L6" s="698"/>
      <c r="M6" s="698"/>
      <c r="N6" s="788"/>
      <c r="O6" s="788"/>
      <c r="P6" s="821"/>
      <c r="Q6" s="1272" t="s">
        <v>408</v>
      </c>
      <c r="R6" s="1273"/>
      <c r="S6" s="359"/>
      <c r="T6" s="443" t="s">
        <v>108</v>
      </c>
      <c r="U6" s="442">
        <v>4</v>
      </c>
      <c r="V6" s="260">
        <f>+(2.56*0.7662)+(2.48*0.2338)</f>
        <v>2.541296</v>
      </c>
      <c r="W6" s="260">
        <f>+(2.56*0.7313)+(2.48*0.2687)</f>
        <v>2.5385040000000001</v>
      </c>
      <c r="X6" s="257"/>
      <c r="Y6" s="257">
        <v>2.5329999999999999</v>
      </c>
      <c r="Z6" s="257">
        <v>2.4820000000000002</v>
      </c>
      <c r="AA6" s="257">
        <v>2.41</v>
      </c>
      <c r="AB6" s="677">
        <f>+(2.59)</f>
        <v>2.59</v>
      </c>
      <c r="AC6" s="45"/>
      <c r="AD6" s="296">
        <v>57.4</v>
      </c>
      <c r="AE6" s="297">
        <f t="shared" si="0"/>
        <v>1.18</v>
      </c>
      <c r="AG6" s="168"/>
      <c r="AH6" s="45"/>
      <c r="AI6" s="177">
        <f>U15/$AJ$4</f>
        <v>0</v>
      </c>
      <c r="AJ6" s="177">
        <f>V15/$AJ$4</f>
        <v>0</v>
      </c>
      <c r="AK6" s="177">
        <f>W15/$AJ$4</f>
        <v>0</v>
      </c>
      <c r="AL6" s="177">
        <f>X15/$AJ$4</f>
        <v>0</v>
      </c>
      <c r="AM6" s="169"/>
      <c r="AN6" s="45"/>
      <c r="AO6" s="177">
        <f>U16/$AP$4</f>
        <v>0</v>
      </c>
      <c r="AP6" s="177">
        <f>V16/$AP$4</f>
        <v>0</v>
      </c>
      <c r="AQ6" s="177">
        <f>W16/$AP$4</f>
        <v>0</v>
      </c>
      <c r="AR6" s="177">
        <f>X16/$AP$4</f>
        <v>0</v>
      </c>
      <c r="AS6" s="169"/>
      <c r="AT6" s="45"/>
      <c r="AU6" s="177">
        <f>U17/$AV$4</f>
        <v>0</v>
      </c>
      <c r="AV6" s="177">
        <f>V17/$AV$4</f>
        <v>0</v>
      </c>
      <c r="AW6" s="177">
        <f>W17/$AV$4</f>
        <v>0</v>
      </c>
      <c r="AX6" s="177">
        <f>X17/$AV$4</f>
        <v>0</v>
      </c>
      <c r="AY6" s="170"/>
      <c r="AZ6" s="45"/>
      <c r="BA6" s="45"/>
      <c r="BB6" s="45"/>
      <c r="BC6" s="45"/>
    </row>
    <row r="7" spans="1:55" ht="15" customHeight="1" x14ac:dyDescent="0.2">
      <c r="A7" s="525"/>
      <c r="B7" s="707"/>
      <c r="C7" s="707"/>
      <c r="D7" s="707"/>
      <c r="F7" s="787"/>
      <c r="G7" s="787"/>
      <c r="H7" s="787"/>
      <c r="I7" s="787"/>
      <c r="J7" s="1280" t="s">
        <v>59</v>
      </c>
      <c r="K7" s="1281"/>
      <c r="L7" s="1282"/>
      <c r="M7" s="1282"/>
      <c r="N7" s="1282"/>
      <c r="O7" s="1282"/>
      <c r="P7" s="822"/>
      <c r="Q7" s="1274" t="s">
        <v>409</v>
      </c>
      <c r="R7" s="1275"/>
      <c r="S7" s="359"/>
      <c r="T7" s="443"/>
      <c r="U7" s="442">
        <v>5</v>
      </c>
      <c r="V7" s="257"/>
      <c r="W7" s="257"/>
      <c r="X7" s="257"/>
      <c r="Y7" s="257"/>
      <c r="Z7" s="257"/>
      <c r="AA7" s="257"/>
      <c r="AB7" s="617"/>
      <c r="AC7" s="45"/>
      <c r="AD7" s="296">
        <v>57.5</v>
      </c>
      <c r="AE7" s="297">
        <f t="shared" si="0"/>
        <v>1.1766666666666667</v>
      </c>
      <c r="AG7" s="178"/>
      <c r="AH7" s="179">
        <v>1</v>
      </c>
      <c r="AI7" s="172" t="e">
        <f>ABS(MID(AI6,SEARCH(",",AI6,1),2))</f>
        <v>#VALUE!</v>
      </c>
      <c r="AJ7" s="172" t="e">
        <f>ABS(MID(AJ6,SEARCH(",",AJ6,1),2))</f>
        <v>#VALUE!</v>
      </c>
      <c r="AK7" s="172" t="e">
        <f>ABS(MID(AK6,SEARCH(",",AK6,1),2))</f>
        <v>#VALUE!</v>
      </c>
      <c r="AL7" s="172" t="e">
        <f>ABS(MID(AL6,SEARCH(",",AL6,1),2))</f>
        <v>#VALUE!</v>
      </c>
      <c r="AM7" s="169"/>
      <c r="AN7" s="179">
        <v>1</v>
      </c>
      <c r="AO7" s="172" t="e">
        <f>ABS(MID(AO6,SEARCH(",",AO6,1),2))</f>
        <v>#VALUE!</v>
      </c>
      <c r="AP7" s="172" t="e">
        <f>ABS(MID(AP6,SEARCH(",",AP6,1),2))</f>
        <v>#VALUE!</v>
      </c>
      <c r="AQ7" s="172" t="e">
        <f>ABS(MID(AQ6,SEARCH(",",AQ6,1),2))</f>
        <v>#VALUE!</v>
      </c>
      <c r="AR7" s="172" t="e">
        <f>ABS(MID(AR6,SEARCH(",",AR6,1),2))</f>
        <v>#VALUE!</v>
      </c>
      <c r="AS7" s="169"/>
      <c r="AT7" s="179">
        <v>1</v>
      </c>
      <c r="AU7" s="172" t="e">
        <f>ABS(MID(AU6,SEARCH(",",AU6,1),2))</f>
        <v>#VALUE!</v>
      </c>
      <c r="AV7" s="172" t="e">
        <f>ABS(MID(AV6,SEARCH(",",AV6,1),2))</f>
        <v>#VALUE!</v>
      </c>
      <c r="AW7" s="172" t="e">
        <f>ABS(MID(AW6,SEARCH(",",AW6,1),2))</f>
        <v>#VALUE!</v>
      </c>
      <c r="AX7" s="172" t="e">
        <f>ABS(MID(AX6,SEARCH(",",AX6,1),2))</f>
        <v>#VALUE!</v>
      </c>
      <c r="AY7" s="170"/>
      <c r="AZ7" s="45"/>
      <c r="BA7" s="45"/>
      <c r="BB7" s="45"/>
      <c r="BC7" s="45"/>
    </row>
    <row r="8" spans="1:55" ht="15" customHeight="1" x14ac:dyDescent="0.2">
      <c r="A8" s="525"/>
      <c r="B8" s="707"/>
      <c r="C8" s="707"/>
      <c r="D8" s="707"/>
      <c r="E8" s="707"/>
      <c r="F8" s="787"/>
      <c r="G8" s="787"/>
      <c r="H8" s="787"/>
      <c r="I8" s="787"/>
      <c r="J8" s="841"/>
      <c r="K8" s="1283" t="str">
        <f>IF(L7="",Q11,CONCATENATE(Q7," ",Q8," ",Q9," ", Q10))</f>
        <v>Pagina xx de xx</v>
      </c>
      <c r="L8" s="1283"/>
      <c r="M8" s="1283"/>
      <c r="N8" s="1283"/>
      <c r="O8" s="1283"/>
      <c r="P8" s="823"/>
      <c r="Q8" s="1276"/>
      <c r="R8" s="1277"/>
      <c r="S8" s="365"/>
      <c r="T8" s="443" t="s">
        <v>109</v>
      </c>
      <c r="U8" s="442">
        <v>6</v>
      </c>
      <c r="V8" s="634">
        <v>2.67</v>
      </c>
      <c r="W8" s="634">
        <v>2.67</v>
      </c>
      <c r="X8" s="257"/>
      <c r="Y8" s="257">
        <v>2.677</v>
      </c>
      <c r="Z8" s="257">
        <v>2.72</v>
      </c>
      <c r="AA8" s="257">
        <v>2.67</v>
      </c>
      <c r="AB8" s="678">
        <v>2.3940000000000001</v>
      </c>
      <c r="AC8" s="45"/>
      <c r="AD8" s="296">
        <v>57.6</v>
      </c>
      <c r="AE8" s="297">
        <f t="shared" si="0"/>
        <v>1.1733333333333333</v>
      </c>
      <c r="AG8" s="178"/>
      <c r="AH8" s="179">
        <v>2</v>
      </c>
      <c r="AI8" s="172" t="e">
        <f>ABS(MID(AI6,SEARCH(",",AI6,1),3))</f>
        <v>#VALUE!</v>
      </c>
      <c r="AJ8" s="172" t="e">
        <f>ABS(MID(AJ6,SEARCH(",",AJ6,1),3))</f>
        <v>#VALUE!</v>
      </c>
      <c r="AK8" s="172" t="e">
        <f>ABS(MID(AK6,SEARCH(",",AK6,1),3))</f>
        <v>#VALUE!</v>
      </c>
      <c r="AL8" s="172" t="e">
        <f>ABS(MID(AL6,SEARCH(",",AL6,1),3))</f>
        <v>#VALUE!</v>
      </c>
      <c r="AM8" s="169"/>
      <c r="AN8" s="179">
        <v>2</v>
      </c>
      <c r="AO8" s="172" t="e">
        <f>ABS(MID(AO6,SEARCH(",",AO6,1),3))</f>
        <v>#VALUE!</v>
      </c>
      <c r="AP8" s="172" t="e">
        <f>ABS(MID(AP6,SEARCH(",",AP6,1),3))</f>
        <v>#VALUE!</v>
      </c>
      <c r="AQ8" s="172" t="e">
        <f>ABS(MID(AQ6,SEARCH(",",AQ6,1),3))</f>
        <v>#VALUE!</v>
      </c>
      <c r="AR8" s="172" t="e">
        <f>ABS(MID(AR6,SEARCH(",",AR6,1),3))</f>
        <v>#VALUE!</v>
      </c>
      <c r="AS8" s="169"/>
      <c r="AT8" s="179">
        <v>2</v>
      </c>
      <c r="AU8" s="172" t="e">
        <f>ABS(MID(AU6,SEARCH(",",AU6,1),3))</f>
        <v>#VALUE!</v>
      </c>
      <c r="AV8" s="172" t="e">
        <f>ABS(MID(AV6,SEARCH(",",AV6,1),3))</f>
        <v>#VALUE!</v>
      </c>
      <c r="AW8" s="172" t="e">
        <f>ABS(MID(AW6,SEARCH(",",AW6,1),3))</f>
        <v>#VALUE!</v>
      </c>
      <c r="AX8" s="172" t="e">
        <f>ABS(MID(AX6,SEARCH(",",AX6,1),3))</f>
        <v>#VALUE!</v>
      </c>
      <c r="AY8" s="170"/>
      <c r="AZ8" s="45"/>
      <c r="BA8" s="45"/>
      <c r="BB8" s="45"/>
      <c r="BC8" s="45"/>
    </row>
    <row r="9" spans="1:55" ht="15" customHeight="1" x14ac:dyDescent="0.2">
      <c r="A9" s="783"/>
      <c r="B9" s="710"/>
      <c r="C9" s="710"/>
      <c r="D9" s="710"/>
      <c r="E9" s="710"/>
      <c r="F9" s="824"/>
      <c r="G9" s="824"/>
      <c r="H9" s="824"/>
      <c r="I9" s="824"/>
      <c r="J9" s="824"/>
      <c r="K9" s="824"/>
      <c r="L9" s="710"/>
      <c r="M9" s="710"/>
      <c r="N9" s="825"/>
      <c r="O9" s="825"/>
      <c r="P9" s="826"/>
      <c r="Q9" s="1278" t="s">
        <v>410</v>
      </c>
      <c r="R9" s="1279"/>
      <c r="S9" s="365"/>
      <c r="T9" s="443" t="s">
        <v>75</v>
      </c>
      <c r="U9" s="442">
        <v>7</v>
      </c>
      <c r="V9" s="634">
        <v>1.0209999999999999</v>
      </c>
      <c r="W9" s="634">
        <v>1.0209999999999999</v>
      </c>
      <c r="X9" s="257"/>
      <c r="Y9" s="257">
        <v>1.0249999999999999</v>
      </c>
      <c r="Z9" s="257">
        <v>1.0209999999999999</v>
      </c>
      <c r="AA9" s="257">
        <v>1.0229999999999999</v>
      </c>
      <c r="AB9" s="678">
        <v>1.0229999999999999</v>
      </c>
      <c r="AC9" s="45"/>
      <c r="AD9" s="296">
        <v>57.7</v>
      </c>
      <c r="AE9" s="297">
        <f t="shared" si="0"/>
        <v>1.1700000000000002</v>
      </c>
      <c r="AG9" s="180"/>
      <c r="AH9" s="174">
        <v>3</v>
      </c>
      <c r="AI9" s="181">
        <f>TRUNC(AI6,0)</f>
        <v>0</v>
      </c>
      <c r="AJ9" s="181">
        <f>TRUNC(AJ6,0)</f>
        <v>0</v>
      </c>
      <c r="AK9" s="181">
        <f>TRUNC(AK6,0)</f>
        <v>0</v>
      </c>
      <c r="AL9" s="181">
        <f>TRUNC(AL6,0)</f>
        <v>0</v>
      </c>
      <c r="AM9" s="169"/>
      <c r="AN9" s="174">
        <v>3</v>
      </c>
      <c r="AO9" s="181">
        <f>TRUNC(AO6,0)</f>
        <v>0</v>
      </c>
      <c r="AP9" s="181">
        <f>TRUNC(AP6,0)</f>
        <v>0</v>
      </c>
      <c r="AQ9" s="181">
        <f>TRUNC(AQ6,0)</f>
        <v>0</v>
      </c>
      <c r="AR9" s="181">
        <f>TRUNC(AR6,0)</f>
        <v>0</v>
      </c>
      <c r="AS9" s="169"/>
      <c r="AT9" s="174">
        <v>3</v>
      </c>
      <c r="AU9" s="181">
        <f>TRUNC(AU6,0)</f>
        <v>0</v>
      </c>
      <c r="AV9" s="181">
        <f>TRUNC(AV6,0)</f>
        <v>0</v>
      </c>
      <c r="AW9" s="181">
        <f>TRUNC(AW6,0)</f>
        <v>0</v>
      </c>
      <c r="AX9" s="181">
        <f>TRUNC(AX6,0)</f>
        <v>0</v>
      </c>
      <c r="AY9" s="170"/>
      <c r="AZ9" s="45"/>
      <c r="BA9" s="45"/>
      <c r="BB9" s="45"/>
      <c r="BC9" s="45"/>
    </row>
    <row r="10" spans="1:55" ht="30" customHeight="1" thickBot="1" x14ac:dyDescent="0.25">
      <c r="A10" s="1297" t="s">
        <v>416</v>
      </c>
      <c r="B10" s="1298"/>
      <c r="C10" s="1298"/>
      <c r="D10" s="1298"/>
      <c r="E10" s="1298"/>
      <c r="F10" s="1298"/>
      <c r="G10" s="1298"/>
      <c r="H10" s="1298"/>
      <c r="I10" s="1298"/>
      <c r="J10" s="1298"/>
      <c r="K10" s="1298"/>
      <c r="L10" s="1298"/>
      <c r="M10" s="1298"/>
      <c r="N10" s="1298"/>
      <c r="O10" s="1298"/>
      <c r="P10" s="1299"/>
      <c r="Q10" s="837"/>
      <c r="R10" s="838"/>
      <c r="S10" s="365"/>
      <c r="T10" s="444" t="s">
        <v>289</v>
      </c>
      <c r="U10" s="445">
        <v>8</v>
      </c>
      <c r="V10" s="635" t="str">
        <f>+O33</f>
        <v/>
      </c>
      <c r="W10" s="635" t="str">
        <f>+O33</f>
        <v/>
      </c>
      <c r="X10" s="278"/>
      <c r="Y10" s="278">
        <v>2.5379999999999998</v>
      </c>
      <c r="Z10" s="278">
        <v>2.5449999999999999</v>
      </c>
      <c r="AA10" s="278">
        <v>2.488</v>
      </c>
      <c r="AB10" s="618">
        <v>2.3039999999999998</v>
      </c>
      <c r="AC10" s="45"/>
      <c r="AD10" s="296">
        <v>57.8</v>
      </c>
      <c r="AE10" s="297">
        <f t="shared" si="0"/>
        <v>1.1666666666666667</v>
      </c>
      <c r="AG10" s="180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70"/>
      <c r="AZ10" s="45"/>
      <c r="BA10" s="45"/>
      <c r="BB10" s="45"/>
      <c r="BC10" s="45"/>
    </row>
    <row r="11" spans="1:55" ht="17.100000000000001" customHeight="1" thickTop="1" x14ac:dyDescent="0.2">
      <c r="A11" s="795"/>
      <c r="B11" s="1284" t="s">
        <v>413</v>
      </c>
      <c r="C11" s="1284"/>
      <c r="D11" s="1284"/>
      <c r="E11" s="1284"/>
      <c r="F11" s="1284"/>
      <c r="G11" s="1284"/>
      <c r="H11" s="1284"/>
      <c r="I11" s="1305" t="s">
        <v>6</v>
      </c>
      <c r="J11" s="1305"/>
      <c r="K11" s="796">
        <v>1</v>
      </c>
      <c r="L11" s="796">
        <v>2</v>
      </c>
      <c r="M11" s="796">
        <v>3</v>
      </c>
      <c r="N11" s="796">
        <v>4</v>
      </c>
      <c r="O11" s="797"/>
      <c r="P11" s="798"/>
      <c r="Q11" s="839" t="s">
        <v>411</v>
      </c>
      <c r="R11" s="840"/>
      <c r="S11" s="366"/>
      <c r="T11" s="344"/>
      <c r="U11" s="446"/>
      <c r="V11" s="446"/>
      <c r="W11" s="446"/>
      <c r="X11" s="446"/>
      <c r="Y11" s="446"/>
      <c r="Z11" s="447"/>
      <c r="AA11" s="447"/>
      <c r="AB11" s="447"/>
      <c r="AC11" s="45"/>
      <c r="AD11" s="296">
        <v>57.9</v>
      </c>
      <c r="AE11" s="297">
        <f t="shared" si="0"/>
        <v>1.1633333333333333</v>
      </c>
      <c r="AG11" s="180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70"/>
      <c r="AZ11" s="45"/>
      <c r="BA11" s="45"/>
      <c r="BB11" s="45"/>
      <c r="BC11" s="45"/>
    </row>
    <row r="12" spans="1:55" ht="17.100000000000001" customHeight="1" x14ac:dyDescent="0.2">
      <c r="A12" s="799"/>
      <c r="B12" s="1285" t="s">
        <v>260</v>
      </c>
      <c r="C12" s="1285"/>
      <c r="D12" s="1285"/>
      <c r="E12" s="1285"/>
      <c r="F12" s="1285"/>
      <c r="G12" s="1285"/>
      <c r="H12" s="1285"/>
      <c r="I12" s="1316" t="s">
        <v>64</v>
      </c>
      <c r="J12" s="1316"/>
      <c r="K12" s="800" t="str">
        <f>+IF($U$15="","",AI17)</f>
        <v/>
      </c>
      <c r="L12" s="800" t="str">
        <f>+IF($V$15="","",AJ17)</f>
        <v/>
      </c>
      <c r="M12" s="800" t="str">
        <f>+IF($W$15="","",AK17)</f>
        <v/>
      </c>
      <c r="N12" s="800" t="str">
        <f>+IF($X$15="","",AL17)</f>
        <v/>
      </c>
      <c r="O12" s="801"/>
      <c r="P12" s="802"/>
      <c r="Q12" s="801"/>
      <c r="R12" s="801"/>
      <c r="S12" s="366"/>
      <c r="T12" s="344"/>
      <c r="U12" s="448"/>
      <c r="V12" s="448"/>
      <c r="W12" s="448"/>
      <c r="X12" s="448"/>
      <c r="Y12" s="448"/>
      <c r="Z12" s="448"/>
      <c r="AA12" s="448"/>
      <c r="AB12" s="448"/>
      <c r="AC12" s="45"/>
      <c r="AD12" s="296">
        <v>58</v>
      </c>
      <c r="AE12" s="297">
        <f t="shared" si="0"/>
        <v>1.1599999999999999</v>
      </c>
      <c r="AG12" s="182"/>
      <c r="AH12" s="174">
        <v>4</v>
      </c>
      <c r="AI12" s="177" t="e">
        <f>ABS(AI8-AI7)</f>
        <v>#VALUE!</v>
      </c>
      <c r="AJ12" s="177" t="e">
        <f>ABS(AJ8-AJ7)</f>
        <v>#VALUE!</v>
      </c>
      <c r="AK12" s="177" t="e">
        <f>ABS(AK8-AK7)</f>
        <v>#VALUE!</v>
      </c>
      <c r="AL12" s="177" t="e">
        <f>ABS(AL8-AL7)</f>
        <v>#VALUE!</v>
      </c>
      <c r="AM12" s="183"/>
      <c r="AN12" s="174">
        <v>4</v>
      </c>
      <c r="AO12" s="177" t="e">
        <f>ABS(AO8-AO7)</f>
        <v>#VALUE!</v>
      </c>
      <c r="AP12" s="177" t="e">
        <f>ABS(AP8-AP7)</f>
        <v>#VALUE!</v>
      </c>
      <c r="AQ12" s="177" t="e">
        <f>ABS(AQ8-AQ7)</f>
        <v>#VALUE!</v>
      </c>
      <c r="AR12" s="177" t="e">
        <f>ABS(AR8-AR7)</f>
        <v>#VALUE!</v>
      </c>
      <c r="AS12" s="183"/>
      <c r="AT12" s="174">
        <v>4</v>
      </c>
      <c r="AU12" s="177" t="e">
        <f>ABS(AU8-AU7)</f>
        <v>#VALUE!</v>
      </c>
      <c r="AV12" s="177" t="e">
        <f>ABS(AV8-AV7)</f>
        <v>#VALUE!</v>
      </c>
      <c r="AW12" s="177" t="e">
        <f>ABS(AW8-AW7)</f>
        <v>#VALUE!</v>
      </c>
      <c r="AX12" s="177" t="e">
        <f>ABS(AX8-AX7)</f>
        <v>#VALUE!</v>
      </c>
      <c r="AY12" s="184"/>
      <c r="AZ12" s="45"/>
      <c r="BA12" s="45"/>
      <c r="BB12" s="45"/>
      <c r="BC12" s="45"/>
    </row>
    <row r="13" spans="1:55" ht="17.100000000000001" customHeight="1" thickBot="1" x14ac:dyDescent="0.25">
      <c r="A13" s="799"/>
      <c r="B13" s="1142" t="s">
        <v>261</v>
      </c>
      <c r="C13" s="1142"/>
      <c r="D13" s="1142"/>
      <c r="E13" s="1142"/>
      <c r="F13" s="1142"/>
      <c r="G13" s="1142"/>
      <c r="H13" s="1142"/>
      <c r="I13" s="1306" t="s">
        <v>64</v>
      </c>
      <c r="J13" s="1306"/>
      <c r="K13" s="800" t="str">
        <f>IF($U$16="","",AO17)</f>
        <v/>
      </c>
      <c r="L13" s="800" t="str">
        <f>IF($V$16="","",AP17)</f>
        <v/>
      </c>
      <c r="M13" s="800" t="str">
        <f>IF($W$16="","",AQ17)</f>
        <v/>
      </c>
      <c r="N13" s="800" t="str">
        <f>IF($X$16="","",AR17)</f>
        <v/>
      </c>
      <c r="O13" s="801"/>
      <c r="P13" s="802"/>
      <c r="Q13" s="801"/>
      <c r="R13" s="801"/>
      <c r="S13" s="1353"/>
      <c r="T13" s="305"/>
      <c r="U13" s="305"/>
      <c r="V13" s="305"/>
      <c r="W13" s="305"/>
      <c r="X13" s="244"/>
      <c r="Y13" s="244"/>
      <c r="Z13" s="244"/>
      <c r="AA13" s="244"/>
      <c r="AB13" s="244"/>
      <c r="AC13" s="288"/>
      <c r="AD13" s="296">
        <v>58.1</v>
      </c>
      <c r="AE13" s="297">
        <f t="shared" si="0"/>
        <v>1.1566666666666665</v>
      </c>
      <c r="AG13" s="182"/>
      <c r="AH13" s="174"/>
      <c r="AI13" s="177"/>
      <c r="AJ13" s="177"/>
      <c r="AK13" s="177"/>
      <c r="AL13" s="177"/>
      <c r="AM13" s="183"/>
      <c r="AN13" s="174"/>
      <c r="AO13" s="177"/>
      <c r="AP13" s="177"/>
      <c r="AQ13" s="177"/>
      <c r="AR13" s="177"/>
      <c r="AS13" s="183"/>
      <c r="AT13" s="174"/>
      <c r="AU13" s="177"/>
      <c r="AV13" s="177"/>
      <c r="AW13" s="177"/>
      <c r="AX13" s="177"/>
      <c r="AY13" s="184"/>
      <c r="AZ13" s="45"/>
      <c r="BA13" s="45"/>
      <c r="BB13" s="45"/>
      <c r="BC13" s="45"/>
    </row>
    <row r="14" spans="1:55" ht="17.100000000000001" customHeight="1" thickTop="1" x14ac:dyDescent="0.2">
      <c r="A14" s="799"/>
      <c r="B14" s="1142" t="s">
        <v>421</v>
      </c>
      <c r="C14" s="1142"/>
      <c r="D14" s="1142"/>
      <c r="E14" s="1142"/>
      <c r="F14" s="1142"/>
      <c r="G14" s="1142"/>
      <c r="H14" s="1142"/>
      <c r="I14" s="1306" t="s">
        <v>64</v>
      </c>
      <c r="J14" s="1306"/>
      <c r="K14" s="800" t="str">
        <f>IF($U$17="","",AU17)</f>
        <v/>
      </c>
      <c r="L14" s="800" t="str">
        <f>IF($V$17="","",AV17)</f>
        <v/>
      </c>
      <c r="M14" s="800" t="str">
        <f>IF($W$17="","",AW17)</f>
        <v/>
      </c>
      <c r="N14" s="800" t="str">
        <f>IF($X$17="","",AX17)</f>
        <v/>
      </c>
      <c r="O14" s="1335" t="s">
        <v>5</v>
      </c>
      <c r="P14" s="1336"/>
      <c r="Q14" s="828"/>
      <c r="R14" s="828"/>
      <c r="S14" s="1353"/>
      <c r="T14" s="674" t="s">
        <v>317</v>
      </c>
      <c r="U14" s="669">
        <v>1</v>
      </c>
      <c r="V14" s="669">
        <v>2</v>
      </c>
      <c r="W14" s="669">
        <v>3</v>
      </c>
      <c r="X14" s="670">
        <v>4</v>
      </c>
      <c r="Y14" s="305"/>
      <c r="Z14" s="305"/>
      <c r="AA14" s="448"/>
      <c r="AB14" s="448"/>
      <c r="AC14" s="289"/>
      <c r="AD14" s="296">
        <v>58.2</v>
      </c>
      <c r="AE14" s="297">
        <f t="shared" si="0"/>
        <v>1.1533333333333335</v>
      </c>
      <c r="AG14" s="168"/>
      <c r="AH14" s="174">
        <v>5</v>
      </c>
      <c r="AI14" s="177" t="e">
        <f>IF(AI12&gt;0,AI9+1,IF(AND(AI12=0,ISODD(AI7*10)),AI9+1,AI9))</f>
        <v>#VALUE!</v>
      </c>
      <c r="AJ14" s="177" t="e">
        <f>IF(AJ12&gt;0,AJ9+1,IF(AND(AJ12=0,ISODD(AJ7*10)),AJ9+1,AJ9))</f>
        <v>#VALUE!</v>
      </c>
      <c r="AK14" s="177" t="e">
        <f>IF(AK12&gt;0,AK9+1,IF(AND(AK12=0,ISODD(AK7*10)),AK9+1,AK9))</f>
        <v>#VALUE!</v>
      </c>
      <c r="AL14" s="177" t="e">
        <f>IF(AL12&gt;0,AL9+1,IF(AND(AL12=0,ISODD(AL7*10)),AL9+1,AL9))</f>
        <v>#VALUE!</v>
      </c>
      <c r="AM14" s="45"/>
      <c r="AN14" s="174">
        <v>5</v>
      </c>
      <c r="AO14" s="177" t="e">
        <f>IF(AO12&gt;0,AO9+1,IF(AND(AO12=0,ISODD(AO7*10)),AO9+1,AO9))</f>
        <v>#VALUE!</v>
      </c>
      <c r="AP14" s="177" t="e">
        <f>IF(AP12&gt;0,AP9+1,IF(AND(AP12=0,ISODD(AP7*10)),AP9+1,AP9))</f>
        <v>#VALUE!</v>
      </c>
      <c r="AQ14" s="177" t="e">
        <f>IF(AQ12&gt;0,AQ9+1,IF(AND(AQ12=0,ISODD(AQ7*10)),AQ9+1,AQ9))</f>
        <v>#VALUE!</v>
      </c>
      <c r="AR14" s="177" t="e">
        <f>IF(AR12&gt;0,AR9+1,IF(AND(AR12=0,ISODD(AR7*10)),AR9+1,AR9))</f>
        <v>#VALUE!</v>
      </c>
      <c r="AS14" s="45"/>
      <c r="AT14" s="174">
        <v>5</v>
      </c>
      <c r="AU14" s="177" t="e">
        <f>IF(AU12&gt;0,AU9+1,IF(AND(AU12=0,ISODD(AU7*10)),AU9+1,AU9))</f>
        <v>#VALUE!</v>
      </c>
      <c r="AV14" s="177" t="e">
        <f>IF(AV12&gt;0,AV9+1,IF(AND(AV12=0,ISODD(AV7*10)),AV9+1,AV9))</f>
        <v>#VALUE!</v>
      </c>
      <c r="AW14" s="177" t="e">
        <f>IF(AW12&gt;0,AW9+1,IF(AND(AW12=0,ISODD(AW7*10)),AW9+1,AW9))</f>
        <v>#VALUE!</v>
      </c>
      <c r="AX14" s="177" t="e">
        <f>IF(AX12&gt;0,AX9+1,IF(AND(AX12=0,ISODD(AX7*10)),AX9+1,AX9))</f>
        <v>#VALUE!</v>
      </c>
      <c r="AY14" s="185"/>
    </row>
    <row r="15" spans="1:55" ht="17.100000000000001" customHeight="1" x14ac:dyDescent="0.2">
      <c r="A15" s="799"/>
      <c r="B15" s="1286" t="s">
        <v>140</v>
      </c>
      <c r="C15" s="1286"/>
      <c r="D15" s="1286"/>
      <c r="E15" s="1286"/>
      <c r="F15" s="1286"/>
      <c r="G15" s="1286"/>
      <c r="H15" s="1286"/>
      <c r="I15" s="1343"/>
      <c r="J15" s="1343"/>
      <c r="K15" s="803" t="str">
        <f>IF(U19="","",'733 - 735'!J22)</f>
        <v/>
      </c>
      <c r="L15" s="803" t="str">
        <f>IF(V19="","",'733 - 735'!K22)</f>
        <v/>
      </c>
      <c r="M15" s="803" t="str">
        <f>IF(W19="","",'733 - 735'!L22)</f>
        <v/>
      </c>
      <c r="N15" s="803" t="str">
        <f>IF(X19="","",'733 - 735'!M22)</f>
        <v/>
      </c>
      <c r="O15" s="1295" t="str">
        <f>IF(K15="","",+AVERAGE(K15:N15))</f>
        <v/>
      </c>
      <c r="P15" s="1323"/>
      <c r="Q15" s="803"/>
      <c r="R15" s="803"/>
      <c r="S15" s="449"/>
      <c r="T15" s="303" t="s">
        <v>260</v>
      </c>
      <c r="U15" s="450"/>
      <c r="V15" s="450"/>
      <c r="W15" s="450"/>
      <c r="X15" s="451"/>
      <c r="Y15" s="305"/>
      <c r="Z15" s="305"/>
      <c r="AA15" s="452"/>
      <c r="AB15" s="452"/>
      <c r="AC15" s="45"/>
      <c r="AD15" s="296">
        <v>58.3</v>
      </c>
      <c r="AE15" s="297">
        <f t="shared" si="0"/>
        <v>1.1500000000000001</v>
      </c>
      <c r="AG15" s="168"/>
      <c r="AH15" s="174">
        <v>6</v>
      </c>
      <c r="AI15" s="177" t="e">
        <f>IF(AI7&lt;0.5,AI9,IF(AI7&gt;0.5,AI9+1,AI14))</f>
        <v>#VALUE!</v>
      </c>
      <c r="AJ15" s="177" t="e">
        <f>IF(AJ7&lt;0.5,AJ9,IF(AJ7&gt;0.5,AJ9+1,AJ14))</f>
        <v>#VALUE!</v>
      </c>
      <c r="AK15" s="177" t="e">
        <f>IF(AK7&lt;0.5,AK9,IF(AK7&gt;0.5,AK9+1,AK14))</f>
        <v>#VALUE!</v>
      </c>
      <c r="AL15" s="177" t="e">
        <f>IF(AL7&lt;0.5,AL9,IF(AL7&gt;0.5,AL9+1,AL14))</f>
        <v>#VALUE!</v>
      </c>
      <c r="AM15" s="45"/>
      <c r="AN15" s="174">
        <v>6</v>
      </c>
      <c r="AO15" s="177" t="e">
        <f>IF(AO7&lt;0.5,AO9,IF(AO7&gt;0.5,AO9+1,AO14))</f>
        <v>#VALUE!</v>
      </c>
      <c r="AP15" s="177" t="e">
        <f>IF(AP7&lt;0.5,AP9,IF(AP7&gt;0.5,AP9+1,AP14))</f>
        <v>#VALUE!</v>
      </c>
      <c r="AQ15" s="177" t="e">
        <f>IF(AQ7&lt;0.5,AQ9,IF(AQ7&gt;0.5,AQ9+1,AQ14))</f>
        <v>#VALUE!</v>
      </c>
      <c r="AR15" s="177" t="e">
        <f>IF(AR7&lt;0.5,AR9,IF(AR7&gt;0.5,AR9+1,AR14))</f>
        <v>#VALUE!</v>
      </c>
      <c r="AS15" s="45"/>
      <c r="AT15" s="174">
        <v>6</v>
      </c>
      <c r="AU15" s="177" t="e">
        <f>IF(AU7&lt;0.5,AU9,IF(AU7&gt;0.5,AU9+1,AU14))</f>
        <v>#VALUE!</v>
      </c>
      <c r="AV15" s="177" t="e">
        <f>IF(AV7&lt;0.5,AV9,IF(AV7&gt;0.5,AV9+1,AV14))</f>
        <v>#VALUE!</v>
      </c>
      <c r="AW15" s="177" t="e">
        <f>IF(AW7&lt;0.5,AW9,IF(AW7&gt;0.5,AW9+1,AW14))</f>
        <v>#VALUE!</v>
      </c>
      <c r="AX15" s="177" t="e">
        <f>IF(AX7&lt;0.5,AX9,IF(AX7&gt;0.5,AX9+1,AX14))</f>
        <v>#VALUE!</v>
      </c>
      <c r="AY15" s="185"/>
    </row>
    <row r="16" spans="1:55" ht="17.100000000000001" customHeight="1" x14ac:dyDescent="0.2">
      <c r="A16" s="799"/>
      <c r="B16" s="1287" t="s">
        <v>262</v>
      </c>
      <c r="C16" s="1287"/>
      <c r="D16" s="1287"/>
      <c r="E16" s="1287"/>
      <c r="F16" s="1287"/>
      <c r="G16" s="1287"/>
      <c r="H16" s="1287"/>
      <c r="I16" s="1316" t="s">
        <v>11</v>
      </c>
      <c r="J16" s="1316"/>
      <c r="K16" s="804" t="str">
        <f>IF($U$19="","",AI30)</f>
        <v/>
      </c>
      <c r="L16" s="804" t="str">
        <f>IF($V$19="","",AJ30)</f>
        <v/>
      </c>
      <c r="M16" s="804" t="str">
        <f>IF($W$19="","",AK30)</f>
        <v/>
      </c>
      <c r="N16" s="804" t="str">
        <f>IF($X$19="","",AL30)</f>
        <v/>
      </c>
      <c r="O16" s="801"/>
      <c r="P16" s="802"/>
      <c r="Q16" s="801"/>
      <c r="R16" s="801"/>
      <c r="S16" s="449"/>
      <c r="T16" s="453" t="s">
        <v>261</v>
      </c>
      <c r="U16" s="450"/>
      <c r="V16" s="450"/>
      <c r="W16" s="450"/>
      <c r="X16" s="451"/>
      <c r="Y16" s="305"/>
      <c r="Z16" s="305"/>
      <c r="AA16" s="452"/>
      <c r="AB16" s="452"/>
      <c r="AC16" s="45"/>
      <c r="AD16" s="296">
        <v>58.4</v>
      </c>
      <c r="AE16" s="297">
        <f t="shared" si="0"/>
        <v>1.1466666666666667</v>
      </c>
      <c r="AG16" s="168"/>
      <c r="AH16" s="174">
        <v>7</v>
      </c>
      <c r="AI16" s="177">
        <f>IF(ISERROR(AI7),AI9,AI15)</f>
        <v>0</v>
      </c>
      <c r="AJ16" s="177">
        <f>IF(ISERROR(AJ7),AJ9,AJ15)</f>
        <v>0</v>
      </c>
      <c r="AK16" s="177">
        <f>IF(ISERROR(AK7),AK9,AK15)</f>
        <v>0</v>
      </c>
      <c r="AL16" s="177">
        <f>IF(ISERROR(AL7),AL9,AL15)</f>
        <v>0</v>
      </c>
      <c r="AM16" s="45"/>
      <c r="AN16" s="174">
        <v>7</v>
      </c>
      <c r="AO16" s="177">
        <f>IF(ISERROR(AO7),AO9,AO15)</f>
        <v>0</v>
      </c>
      <c r="AP16" s="177">
        <f>IF(ISERROR(AP7),AP9,AP15)</f>
        <v>0</v>
      </c>
      <c r="AQ16" s="177">
        <f>IF(ISERROR(AQ7),AQ9,AQ15)</f>
        <v>0</v>
      </c>
      <c r="AR16" s="177">
        <f>IF(ISERROR(AR7),AR9,AR15)</f>
        <v>0</v>
      </c>
      <c r="AS16" s="45"/>
      <c r="AT16" s="174">
        <v>7</v>
      </c>
      <c r="AU16" s="177">
        <f>IF(ISERROR(AU7),AU9,AU15)</f>
        <v>0</v>
      </c>
      <c r="AV16" s="177">
        <f>IF(ISERROR(AV7),AV9,AV15)</f>
        <v>0</v>
      </c>
      <c r="AW16" s="177">
        <f>IF(ISERROR(AW7),AW9,AW15)</f>
        <v>0</v>
      </c>
      <c r="AX16" s="177">
        <f>IF(ISERROR(AX7),AX9,AX15)</f>
        <v>0</v>
      </c>
      <c r="AY16" s="185"/>
    </row>
    <row r="17" spans="1:60" ht="17.100000000000001" customHeight="1" thickBot="1" x14ac:dyDescent="0.25">
      <c r="A17" s="799"/>
      <c r="B17" s="1142" t="s">
        <v>263</v>
      </c>
      <c r="C17" s="1142"/>
      <c r="D17" s="1142"/>
      <c r="E17" s="1142"/>
      <c r="F17" s="1142"/>
      <c r="G17" s="1142"/>
      <c r="H17" s="1142"/>
      <c r="I17" s="1306" t="s">
        <v>264</v>
      </c>
      <c r="J17" s="1306"/>
      <c r="K17" s="805"/>
      <c r="L17" s="805"/>
      <c r="M17" s="805"/>
      <c r="N17" s="805"/>
      <c r="O17" s="801"/>
      <c r="P17" s="802"/>
      <c r="Q17" s="801"/>
      <c r="R17" s="801"/>
      <c r="S17" s="449"/>
      <c r="T17" s="454" t="s">
        <v>316</v>
      </c>
      <c r="U17" s="455"/>
      <c r="V17" s="455"/>
      <c r="W17" s="455"/>
      <c r="X17" s="456"/>
      <c r="Y17" s="305"/>
      <c r="Z17" s="305"/>
      <c r="AA17" s="452"/>
      <c r="AB17" s="452"/>
      <c r="AC17" s="45"/>
      <c r="AD17" s="296">
        <v>58.5</v>
      </c>
      <c r="AE17" s="297">
        <f t="shared" si="0"/>
        <v>1.1433333333333333</v>
      </c>
      <c r="AG17" s="168"/>
      <c r="AH17" s="174">
        <v>8</v>
      </c>
      <c r="AI17" s="174">
        <f>AI16*$AJ$4</f>
        <v>0</v>
      </c>
      <c r="AJ17" s="174">
        <f>AJ16*$AJ$4</f>
        <v>0</v>
      </c>
      <c r="AK17" s="174">
        <f>AK16*$AJ$4</f>
        <v>0</v>
      </c>
      <c r="AL17" s="174">
        <f>AL16*$AJ$4</f>
        <v>0</v>
      </c>
      <c r="AM17" s="45"/>
      <c r="AN17" s="174">
        <v>8</v>
      </c>
      <c r="AO17" s="174">
        <f>AO16*$AP$4</f>
        <v>0</v>
      </c>
      <c r="AP17" s="174">
        <f>AP16*$AP$4</f>
        <v>0</v>
      </c>
      <c r="AQ17" s="174">
        <f>AQ16*$AP$4</f>
        <v>0</v>
      </c>
      <c r="AR17" s="174">
        <f>AR16*$AP$4</f>
        <v>0</v>
      </c>
      <c r="AS17" s="45"/>
      <c r="AT17" s="174">
        <v>8</v>
      </c>
      <c r="AU17" s="174">
        <f>AU16*$AV$4</f>
        <v>0</v>
      </c>
      <c r="AV17" s="174">
        <f>AV16*$AV$4</f>
        <v>0</v>
      </c>
      <c r="AW17" s="174">
        <f>AW16*$AV$4</f>
        <v>0</v>
      </c>
      <c r="AX17" s="174">
        <f>AX16*$AV$4</f>
        <v>0</v>
      </c>
      <c r="AY17" s="185"/>
    </row>
    <row r="18" spans="1:60" ht="17.100000000000001" customHeight="1" thickTop="1" thickBot="1" x14ac:dyDescent="0.25">
      <c r="A18" s="799"/>
      <c r="B18" s="1142" t="s">
        <v>265</v>
      </c>
      <c r="C18" s="1142"/>
      <c r="D18" s="1142"/>
      <c r="E18" s="1142"/>
      <c r="F18" s="1142"/>
      <c r="G18" s="1142"/>
      <c r="H18" s="1142"/>
      <c r="I18" s="1322" t="s">
        <v>266</v>
      </c>
      <c r="J18" s="1322"/>
      <c r="K18" s="806" t="str">
        <f>+IF($K$17="","",VLOOKUP(U19,$AD$2:$AE$106,2))</f>
        <v/>
      </c>
      <c r="L18" s="806" t="str">
        <f>+IF($L$17="","",VLOOKUP(V19,$AD$2:$AE$106,2))</f>
        <v/>
      </c>
      <c r="M18" s="806" t="str">
        <f>+IF($M$17="","",VLOOKUP(W19,$AD$2:$AE$106,2))</f>
        <v/>
      </c>
      <c r="N18" s="806" t="str">
        <f>+IF($N$17="","",VLOOKUP(X19,$AD$2:$AE$106,2))</f>
        <v/>
      </c>
      <c r="O18" s="807"/>
      <c r="P18" s="808"/>
      <c r="Q18" s="807"/>
      <c r="R18" s="807"/>
      <c r="S18" s="457"/>
      <c r="T18" s="305"/>
      <c r="U18" s="673">
        <v>1</v>
      </c>
      <c r="V18" s="673">
        <v>2</v>
      </c>
      <c r="W18" s="673">
        <v>3</v>
      </c>
      <c r="X18" s="673">
        <v>4</v>
      </c>
      <c r="Y18" s="344"/>
      <c r="Z18" s="344"/>
      <c r="AA18" s="344"/>
      <c r="AB18" s="344"/>
      <c r="AC18" s="2"/>
      <c r="AD18" s="296">
        <v>58.6</v>
      </c>
      <c r="AE18" s="297">
        <f t="shared" si="0"/>
        <v>1.1399999999999999</v>
      </c>
      <c r="AG18" s="168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Y18" s="185"/>
      <c r="BH18" s="18"/>
    </row>
    <row r="19" spans="1:60" ht="15" hidden="1" customHeight="1" thickTop="1" thickBot="1" x14ac:dyDescent="0.25">
      <c r="A19" s="799"/>
      <c r="B19" s="1288" t="s">
        <v>267</v>
      </c>
      <c r="C19" s="1288"/>
      <c r="D19" s="1288"/>
      <c r="E19" s="1288"/>
      <c r="F19" s="1288"/>
      <c r="G19" s="1288"/>
      <c r="H19" s="1288"/>
      <c r="I19" s="1317" t="s">
        <v>179</v>
      </c>
      <c r="J19" s="1317"/>
      <c r="K19" s="809" t="str">
        <f>IF(OR(K17="",K18=""),"",+(K17*K18))</f>
        <v/>
      </c>
      <c r="L19" s="809" t="str">
        <f>IF(OR(L17="",L18=""),"",+(L17*L18))</f>
        <v/>
      </c>
      <c r="M19" s="809" t="str">
        <f>IF(OR(M17="",M18=""),"",+(M17*M18))</f>
        <v/>
      </c>
      <c r="N19" s="809" t="str">
        <f>IF(OR(N17="",N18=""),"",+(N17*N18))</f>
        <v/>
      </c>
      <c r="O19" s="1337" t="str">
        <f>+IF(K19="","",AVERAGE(K19:N19))</f>
        <v/>
      </c>
      <c r="P19" s="1338"/>
      <c r="Q19" s="829"/>
      <c r="R19" s="829"/>
      <c r="S19" s="449"/>
      <c r="T19" s="458" t="s">
        <v>414</v>
      </c>
      <c r="U19" s="459"/>
      <c r="V19" s="459"/>
      <c r="W19" s="459"/>
      <c r="X19" s="459"/>
      <c r="Y19" s="305"/>
      <c r="Z19" s="305"/>
      <c r="AA19" s="460"/>
      <c r="AB19" s="460"/>
      <c r="AC19" s="62"/>
      <c r="AD19" s="294">
        <v>58.7</v>
      </c>
      <c r="AE19" s="295">
        <v>1.1399999999999999</v>
      </c>
      <c r="AG19" s="168"/>
      <c r="AH19" s="238" t="s">
        <v>246</v>
      </c>
      <c r="AI19" s="238"/>
      <c r="AJ19" s="238"/>
      <c r="AK19" s="238"/>
      <c r="AL19" s="238"/>
      <c r="AM19" s="45"/>
      <c r="AN19" s="238" t="s">
        <v>247</v>
      </c>
      <c r="AO19" s="238"/>
      <c r="AP19" s="238"/>
      <c r="AQ19" s="238"/>
      <c r="AR19" s="238"/>
      <c r="AS19" s="45"/>
      <c r="AT19" s="45"/>
      <c r="AU19" s="45"/>
      <c r="AY19" s="185"/>
    </row>
    <row r="20" spans="1:60" ht="15" hidden="1" customHeight="1" thickTop="1" thickBot="1" x14ac:dyDescent="0.25">
      <c r="A20" s="799"/>
      <c r="B20" s="1288" t="s">
        <v>268</v>
      </c>
      <c r="C20" s="1288"/>
      <c r="D20" s="1288"/>
      <c r="E20" s="1288"/>
      <c r="F20" s="1288"/>
      <c r="G20" s="1288"/>
      <c r="H20" s="1288"/>
      <c r="I20" s="1317" t="s">
        <v>181</v>
      </c>
      <c r="J20" s="1317"/>
      <c r="K20" s="810" t="str">
        <f>IF(K19="","",K19*1000)</f>
        <v/>
      </c>
      <c r="L20" s="810" t="str">
        <f>IF(L19="","",L19*1000)</f>
        <v/>
      </c>
      <c r="M20" s="810" t="str">
        <f>IF(M19="","",M19*1000)</f>
        <v/>
      </c>
      <c r="N20" s="810" t="str">
        <f>IF(N19="","",N19*1000)</f>
        <v/>
      </c>
      <c r="O20" s="1318" t="str">
        <f>IF(K20="","",AVERAGE(K20:N20))</f>
        <v/>
      </c>
      <c r="P20" s="1319"/>
      <c r="Q20" s="830"/>
      <c r="R20" s="830"/>
      <c r="S20" s="449"/>
      <c r="T20" s="305"/>
      <c r="U20" s="305"/>
      <c r="V20" s="305"/>
      <c r="W20" s="305"/>
      <c r="X20" s="305"/>
      <c r="Y20" s="305"/>
      <c r="Z20" s="305"/>
      <c r="AA20" s="447"/>
      <c r="AB20" s="447"/>
      <c r="AC20" s="284"/>
      <c r="AD20" s="296">
        <v>58.8</v>
      </c>
      <c r="AE20" s="297">
        <f t="shared" ref="AE20:AE33" si="1">+$AE$19+((AD21-$AD$19)*(($AE$36-$AE$19)/($AD$36-$AD$19)))</f>
        <v>1.13375</v>
      </c>
      <c r="AG20" s="168"/>
      <c r="AH20" s="45"/>
      <c r="AI20" s="171" t="s">
        <v>241</v>
      </c>
      <c r="AJ20" s="172">
        <v>0.25</v>
      </c>
      <c r="AK20" s="173"/>
      <c r="AL20" s="173"/>
      <c r="AM20" s="45"/>
      <c r="AN20" s="45"/>
      <c r="AO20" s="171" t="s">
        <v>241</v>
      </c>
      <c r="AP20" s="172">
        <v>50</v>
      </c>
      <c r="AQ20" s="173"/>
      <c r="AR20" s="173"/>
      <c r="AS20" s="45"/>
      <c r="AT20" s="45"/>
      <c r="AU20" s="45"/>
      <c r="AY20" s="185"/>
    </row>
    <row r="21" spans="1:60" ht="17.100000000000001" customHeight="1" thickTop="1" x14ac:dyDescent="0.2">
      <c r="A21" s="799"/>
      <c r="B21" s="1287" t="s">
        <v>267</v>
      </c>
      <c r="C21" s="1287"/>
      <c r="D21" s="1287"/>
      <c r="E21" s="1287"/>
      <c r="F21" s="1287"/>
      <c r="G21" s="1287"/>
      <c r="H21" s="1287"/>
      <c r="I21" s="1316" t="s">
        <v>181</v>
      </c>
      <c r="J21" s="1316"/>
      <c r="K21" s="811" t="str">
        <f>+IF($F$8="","",AO29)</f>
        <v/>
      </c>
      <c r="L21" s="811" t="str">
        <f>+IF($F$8="","",AP29)</f>
        <v/>
      </c>
      <c r="M21" s="811" t="str">
        <f>+IF($F$8="","",AQ29)</f>
        <v/>
      </c>
      <c r="N21" s="811" t="str">
        <f>+IF($F$8="","",AR29)</f>
        <v/>
      </c>
      <c r="O21" s="1320" t="str">
        <f>+IF($F$8="","",AS29)</f>
        <v/>
      </c>
      <c r="P21" s="1321"/>
      <c r="Q21" s="811"/>
      <c r="R21" s="811"/>
      <c r="S21" s="449"/>
      <c r="T21" s="1332" t="s">
        <v>418</v>
      </c>
      <c r="U21" s="1333"/>
      <c r="V21" s="305"/>
      <c r="W21" s="305"/>
      <c r="X21" s="305"/>
      <c r="Y21" s="305"/>
      <c r="Z21" s="305"/>
      <c r="AA21" s="344"/>
      <c r="AB21" s="344"/>
      <c r="AC21" s="285"/>
      <c r="AD21" s="296">
        <v>58.9</v>
      </c>
      <c r="AE21" s="297">
        <f t="shared" si="1"/>
        <v>1.130625</v>
      </c>
      <c r="AG21" s="168"/>
      <c r="AH21" s="45"/>
      <c r="AI21" s="174" t="s">
        <v>242</v>
      </c>
      <c r="AJ21" s="174" t="s">
        <v>243</v>
      </c>
      <c r="AK21" s="174" t="s">
        <v>244</v>
      </c>
      <c r="AL21" s="174" t="s">
        <v>245</v>
      </c>
      <c r="AM21" s="45"/>
      <c r="AN21" s="45"/>
      <c r="AO21" s="174" t="s">
        <v>242</v>
      </c>
      <c r="AP21" s="174" t="s">
        <v>243</v>
      </c>
      <c r="AQ21" s="174" t="s">
        <v>244</v>
      </c>
      <c r="AR21" s="174" t="s">
        <v>245</v>
      </c>
      <c r="AS21" s="174" t="s">
        <v>248</v>
      </c>
      <c r="AT21" s="45"/>
      <c r="AU21" s="45"/>
      <c r="AY21" s="185"/>
    </row>
    <row r="22" spans="1:60" ht="17.100000000000001" customHeight="1" x14ac:dyDescent="0.2">
      <c r="A22" s="799"/>
      <c r="B22" s="1142" t="s">
        <v>267</v>
      </c>
      <c r="C22" s="1142"/>
      <c r="D22" s="1142"/>
      <c r="E22" s="1142"/>
      <c r="F22" s="1142"/>
      <c r="G22" s="1142"/>
      <c r="H22" s="1142"/>
      <c r="I22" s="1306" t="s">
        <v>269</v>
      </c>
      <c r="J22" s="1306"/>
      <c r="K22" s="811" t="str">
        <f>IF(K19="","",K19*101.972)</f>
        <v/>
      </c>
      <c r="L22" s="811" t="str">
        <f>IF(L19="","",L19*101.972)</f>
        <v/>
      </c>
      <c r="M22" s="811" t="str">
        <f>IF(M19="","",M19*101.972)</f>
        <v/>
      </c>
      <c r="N22" s="811" t="str">
        <f>IF(N19="","",N19*101.972)</f>
        <v/>
      </c>
      <c r="O22" s="1313" t="str">
        <f>+IF(K22="","",AVERAGE(K22:N22))</f>
        <v/>
      </c>
      <c r="P22" s="1314"/>
      <c r="Q22" s="831"/>
      <c r="R22" s="831"/>
      <c r="S22" s="449"/>
      <c r="T22" s="461" t="s">
        <v>82</v>
      </c>
      <c r="U22" s="462" t="str">
        <f>IF(Z29="","",+(Z28)*V37/(G34*100))</f>
        <v/>
      </c>
      <c r="V22" s="305"/>
      <c r="W22" s="305"/>
      <c r="X22" s="344"/>
      <c r="Y22" s="305"/>
      <c r="Z22" s="305"/>
      <c r="AA22" s="305"/>
      <c r="AB22" s="305"/>
      <c r="AC22" s="283"/>
      <c r="AD22" s="296">
        <v>59</v>
      </c>
      <c r="AE22" s="297">
        <f t="shared" si="1"/>
        <v>1.1274999999999999</v>
      </c>
      <c r="AG22" s="168"/>
      <c r="AH22" s="45"/>
      <c r="AI22" s="177">
        <f>U19/$AJ$20</f>
        <v>0</v>
      </c>
      <c r="AJ22" s="177">
        <f>V19/$AJ$20</f>
        <v>0</v>
      </c>
      <c r="AK22" s="177">
        <f>W19/$AJ$20</f>
        <v>0</v>
      </c>
      <c r="AL22" s="177">
        <f>X19/$AJ$20</f>
        <v>0</v>
      </c>
      <c r="AM22" s="45"/>
      <c r="AN22" s="45"/>
      <c r="AO22" s="181" t="e">
        <f>K20*2</f>
        <v>#VALUE!</v>
      </c>
      <c r="AP22" s="181" t="e">
        <f>L20*2</f>
        <v>#VALUE!</v>
      </c>
      <c r="AQ22" s="181" t="e">
        <f>M20*2</f>
        <v>#VALUE!</v>
      </c>
      <c r="AR22" s="181" t="e">
        <f>N20*2</f>
        <v>#VALUE!</v>
      </c>
      <c r="AS22" s="181" t="e">
        <f>O20*2</f>
        <v>#VALUE!</v>
      </c>
      <c r="AT22" s="45"/>
      <c r="AU22" s="45"/>
      <c r="AY22" s="185"/>
    </row>
    <row r="23" spans="1:60" ht="15" hidden="1" customHeight="1" x14ac:dyDescent="0.2">
      <c r="A23" s="799"/>
      <c r="B23" s="1289" t="s">
        <v>267</v>
      </c>
      <c r="C23" s="1289"/>
      <c r="D23" s="1289"/>
      <c r="E23" s="1289"/>
      <c r="F23" s="1289"/>
      <c r="G23" s="1289"/>
      <c r="H23" s="1289"/>
      <c r="I23" s="1315" t="s">
        <v>270</v>
      </c>
      <c r="J23" s="1315"/>
      <c r="K23" s="810" t="str">
        <f>+IF(E8="","",MROUND(K21*0.224809,10))</f>
        <v/>
      </c>
      <c r="L23" s="810" t="str">
        <f>+IF(E8="","",MROUND(L21*0.224809,10))</f>
        <v/>
      </c>
      <c r="M23" s="810" t="str">
        <f>+IF(E8="","",MROUND(M21*0.224809,10))</f>
        <v/>
      </c>
      <c r="N23" s="810" t="str">
        <f>+IF(E8="","",MROUND(N21*0.224809,10))</f>
        <v/>
      </c>
      <c r="O23" s="1318" t="str">
        <f>IF(K23="","",AVERAGE(K23:N23))</f>
        <v/>
      </c>
      <c r="P23" s="1319"/>
      <c r="Q23" s="830"/>
      <c r="R23" s="830"/>
      <c r="S23" s="449"/>
      <c r="T23" s="461" t="s">
        <v>83</v>
      </c>
      <c r="U23" s="462" t="e">
        <f>+Z33/O32</f>
        <v>#VALUE!</v>
      </c>
      <c r="V23" s="305"/>
      <c r="W23" s="305"/>
      <c r="X23" s="344"/>
      <c r="Y23" s="305"/>
      <c r="Z23" s="305"/>
      <c r="AA23" s="305"/>
      <c r="AB23" s="305"/>
      <c r="AC23" s="287"/>
      <c r="AD23" s="296">
        <v>59.1</v>
      </c>
      <c r="AE23" s="297">
        <f t="shared" si="1"/>
        <v>1.1243749999999999</v>
      </c>
      <c r="AG23" s="168"/>
      <c r="AH23" s="179">
        <v>1</v>
      </c>
      <c r="AI23" s="172" t="e">
        <f>ABS(MID(AI22,SEARCH(",",AI22,1),2))</f>
        <v>#VALUE!</v>
      </c>
      <c r="AJ23" s="172" t="e">
        <f>ABS(MID(AJ22,SEARCH(",",AJ22,1),2))</f>
        <v>#VALUE!</v>
      </c>
      <c r="AK23" s="172" t="e">
        <f>ABS(MID(AK22,SEARCH(",",AK22,1),2))</f>
        <v>#VALUE!</v>
      </c>
      <c r="AL23" s="172" t="e">
        <f>ABS(MID(AL22,SEARCH(",",AL22,1),2))</f>
        <v>#VALUE!</v>
      </c>
      <c r="AM23" s="45"/>
      <c r="AN23" s="179">
        <v>1</v>
      </c>
      <c r="AO23" s="186" t="e">
        <f>ABS(MID(AO22,SEARCH("",AO22,4),3))</f>
        <v>#VALUE!</v>
      </c>
      <c r="AP23" s="186" t="e">
        <f t="shared" ref="AP23:AS23" si="2">ABS(MID(AP22,SEARCH("",AP22,4),3))</f>
        <v>#VALUE!</v>
      </c>
      <c r="AQ23" s="186" t="e">
        <f t="shared" si="2"/>
        <v>#VALUE!</v>
      </c>
      <c r="AR23" s="186" t="e">
        <f t="shared" si="2"/>
        <v>#VALUE!</v>
      </c>
      <c r="AS23" s="186" t="e">
        <f t="shared" si="2"/>
        <v>#VALUE!</v>
      </c>
      <c r="AT23" s="45"/>
      <c r="AU23" s="45"/>
      <c r="AY23" s="185"/>
    </row>
    <row r="24" spans="1:60" ht="17.100000000000001" customHeight="1" thickBot="1" x14ac:dyDescent="0.25">
      <c r="A24" s="799"/>
      <c r="B24" s="1049" t="s">
        <v>271</v>
      </c>
      <c r="C24" s="1049"/>
      <c r="D24" s="1049"/>
      <c r="E24" s="1049"/>
      <c r="F24" s="1049"/>
      <c r="G24" s="1049"/>
      <c r="H24" s="1049"/>
      <c r="I24" s="1306" t="s">
        <v>272</v>
      </c>
      <c r="J24" s="1306"/>
      <c r="K24" s="800" t="str">
        <f>IF(K22="","",IF(K22&lt;(0.8*$O$22),"No Cumple","cumple"))</f>
        <v/>
      </c>
      <c r="L24" s="800" t="str">
        <f>IF(L22="","",IF(L22&lt;(0.8*$O$22),"No Cumple","cumple"))</f>
        <v/>
      </c>
      <c r="M24" s="800" t="str">
        <f>IF(M22="","",IF(M22&lt;(0.8*$O$22),"No Cumple","cumple"))</f>
        <v/>
      </c>
      <c r="N24" s="800" t="str">
        <f>IF(N22="","",IF(N22&lt;(0.8*$O$22),"No Cumple","cumple"))</f>
        <v/>
      </c>
      <c r="O24" s="1313" t="str">
        <f>IF(K24="","",IF(OR(T148&gt;1,U148&gt;0),"No cumple","Cumple"))</f>
        <v/>
      </c>
      <c r="P24" s="1334"/>
      <c r="Q24" s="832"/>
      <c r="R24" s="832"/>
      <c r="S24" s="449"/>
      <c r="T24" s="463" t="s">
        <v>319</v>
      </c>
      <c r="U24" s="464" t="str">
        <f>IF(F8="","",+U22/(U22+U23))</f>
        <v/>
      </c>
      <c r="V24" s="465"/>
      <c r="W24" s="466"/>
      <c r="X24" s="305"/>
      <c r="Y24" s="305"/>
      <c r="Z24" s="305"/>
      <c r="AA24" s="305"/>
      <c r="AB24" s="305"/>
      <c r="AC24" s="284"/>
      <c r="AD24" s="296">
        <v>59.2</v>
      </c>
      <c r="AE24" s="297">
        <f t="shared" si="1"/>
        <v>1.1212500000000001</v>
      </c>
      <c r="AG24" s="168"/>
      <c r="AH24" s="179">
        <v>2</v>
      </c>
      <c r="AI24" s="172" t="e">
        <f>ABS(MID(AI22,SEARCH(",",AI22,1),3))</f>
        <v>#VALUE!</v>
      </c>
      <c r="AJ24" s="172" t="e">
        <f>ABS(MID(AJ22,SEARCH(",",AJ22,1),3))</f>
        <v>#VALUE!</v>
      </c>
      <c r="AK24" s="172" t="e">
        <f>ABS(MID(AK22,SEARCH(",",AK22,1),3))</f>
        <v>#VALUE!</v>
      </c>
      <c r="AL24" s="172" t="e">
        <f>ABS(MID(AL22,SEARCH(",",AL22,1),3))</f>
        <v>#VALUE!</v>
      </c>
      <c r="AM24" s="45"/>
      <c r="AN24" s="179">
        <v>2</v>
      </c>
      <c r="AO24" s="172" t="e">
        <f>ABS(MID(AO22,SEARCH("",AO22,3),4))</f>
        <v>#VALUE!</v>
      </c>
      <c r="AP24" s="172" t="e">
        <f t="shared" ref="AP24:AS24" si="3">ABS(MID(AP22,SEARCH("",AP22,3),4))</f>
        <v>#VALUE!</v>
      </c>
      <c r="AQ24" s="172" t="e">
        <f t="shared" si="3"/>
        <v>#VALUE!</v>
      </c>
      <c r="AR24" s="172" t="e">
        <f t="shared" si="3"/>
        <v>#VALUE!</v>
      </c>
      <c r="AS24" s="172" t="e">
        <f t="shared" si="3"/>
        <v>#VALUE!</v>
      </c>
      <c r="AT24" s="45"/>
      <c r="AU24" s="45"/>
      <c r="AY24" s="185"/>
    </row>
    <row r="25" spans="1:60" ht="17.100000000000001" customHeight="1" thickTop="1" x14ac:dyDescent="0.2">
      <c r="A25" s="799"/>
      <c r="B25" s="1049"/>
      <c r="C25" s="1049"/>
      <c r="D25" s="1049"/>
      <c r="E25" s="1049"/>
      <c r="F25" s="1049"/>
      <c r="G25" s="1049"/>
      <c r="H25" s="1049"/>
      <c r="I25" s="1306" t="s">
        <v>406</v>
      </c>
      <c r="J25" s="1306"/>
      <c r="K25" s="800" t="str">
        <f>IF(K22="","",IF(K22&gt;(1.25*Resumen!$K$22),"No Cumple","cumple"))</f>
        <v/>
      </c>
      <c r="L25" s="800" t="str">
        <f>IF(L22="","",IF(L22&gt;(1.25*Resumen!$K$22),"No Cumple","cumple"))</f>
        <v/>
      </c>
      <c r="M25" s="800" t="str">
        <f>IF(M22="","",IF(M22&gt;(1.25*Resumen!$K$22),"No Cumple","cumple"))</f>
        <v/>
      </c>
      <c r="N25" s="800" t="str">
        <f>IF(N22="","",IF(N22&gt;(1.25*Resumen!$K$22),"No Cumple","cumple"))</f>
        <v/>
      </c>
      <c r="O25" s="1313"/>
      <c r="P25" s="1334"/>
      <c r="Q25" s="832"/>
      <c r="R25" s="832"/>
      <c r="S25" s="449"/>
      <c r="T25" s="465"/>
      <c r="U25" s="467"/>
      <c r="V25" s="465"/>
      <c r="W25" s="466"/>
      <c r="X25" s="305"/>
      <c r="Y25" s="305"/>
      <c r="Z25" s="305"/>
      <c r="AA25" s="305"/>
      <c r="AB25" s="305"/>
      <c r="AC25" s="287"/>
      <c r="AD25" s="296">
        <v>59.3</v>
      </c>
      <c r="AE25" s="297">
        <f t="shared" si="1"/>
        <v>1.118125</v>
      </c>
      <c r="AG25" s="168"/>
      <c r="AH25" s="174">
        <v>3</v>
      </c>
      <c r="AI25" s="181">
        <f>TRUNC(AI22,0)</f>
        <v>0</v>
      </c>
      <c r="AJ25" s="181">
        <f>TRUNC(AJ22,0)</f>
        <v>0</v>
      </c>
      <c r="AK25" s="181">
        <f>TRUNC(AK22,0)</f>
        <v>0</v>
      </c>
      <c r="AL25" s="181">
        <f>TRUNC(AL22,0)</f>
        <v>0</v>
      </c>
      <c r="AM25" s="45"/>
      <c r="AN25" s="174">
        <v>3</v>
      </c>
      <c r="AO25" s="187" t="e">
        <f>MID(AO22,1,5)</f>
        <v>#VALUE!</v>
      </c>
      <c r="AP25" s="187" t="e">
        <f t="shared" ref="AP25:AS25" si="4">MID(AP22,1,5)</f>
        <v>#VALUE!</v>
      </c>
      <c r="AQ25" s="187" t="e">
        <f t="shared" si="4"/>
        <v>#VALUE!</v>
      </c>
      <c r="AR25" s="187" t="e">
        <f t="shared" si="4"/>
        <v>#VALUE!</v>
      </c>
      <c r="AS25" s="187" t="e">
        <f t="shared" si="4"/>
        <v>#VALUE!</v>
      </c>
      <c r="AT25" s="45"/>
      <c r="AU25" s="45"/>
      <c r="AY25" s="185"/>
    </row>
    <row r="26" spans="1:60" ht="17.100000000000001" customHeight="1" thickBot="1" x14ac:dyDescent="0.25">
      <c r="A26" s="799"/>
      <c r="B26" s="1142" t="s">
        <v>422</v>
      </c>
      <c r="C26" s="1142"/>
      <c r="D26" s="1142"/>
      <c r="E26" s="1142"/>
      <c r="F26" s="1142"/>
      <c r="G26" s="1142"/>
      <c r="H26" s="1142"/>
      <c r="I26" s="1306" t="s">
        <v>273</v>
      </c>
      <c r="J26" s="1306"/>
      <c r="K26" s="805"/>
      <c r="L26" s="805"/>
      <c r="M26" s="805"/>
      <c r="N26" s="805"/>
      <c r="O26" s="1307" t="str">
        <f>+IF(K26="","",AVERAGE(K26:N26))</f>
        <v/>
      </c>
      <c r="P26" s="1308"/>
      <c r="Q26" s="833"/>
      <c r="R26" s="833"/>
      <c r="S26" s="449"/>
      <c r="T26" s="305"/>
      <c r="U26" s="305"/>
      <c r="V26" s="305"/>
      <c r="W26" s="305"/>
      <c r="X26" s="305"/>
      <c r="Y26" s="305"/>
      <c r="Z26" s="305"/>
      <c r="AA26" s="305"/>
      <c r="AB26" s="305"/>
      <c r="AC26" s="286"/>
      <c r="AD26" s="296">
        <v>59.4</v>
      </c>
      <c r="AE26" s="297">
        <f t="shared" si="1"/>
        <v>1.115</v>
      </c>
      <c r="AG26" s="168"/>
      <c r="AH26" s="174">
        <v>4</v>
      </c>
      <c r="AI26" s="177" t="e">
        <f>ABS(AI24-AI23)</f>
        <v>#VALUE!</v>
      </c>
      <c r="AJ26" s="177" t="e">
        <f>ABS(AJ24-AJ23)</f>
        <v>#VALUE!</v>
      </c>
      <c r="AK26" s="177" t="e">
        <f>ABS(AK24-AK23)</f>
        <v>#VALUE!</v>
      </c>
      <c r="AL26" s="177" t="e">
        <f>ABS(AL24-AL23)</f>
        <v>#VALUE!</v>
      </c>
      <c r="AM26" s="45"/>
      <c r="AN26" s="174">
        <v>4</v>
      </c>
      <c r="AO26" s="188" t="e">
        <f>AO24-AO23</f>
        <v>#VALUE!</v>
      </c>
      <c r="AP26" s="188" t="e">
        <f t="shared" ref="AP26:AS27" si="5">AP24-AP23</f>
        <v>#VALUE!</v>
      </c>
      <c r="AQ26" s="188" t="e">
        <f t="shared" si="5"/>
        <v>#VALUE!</v>
      </c>
      <c r="AR26" s="188" t="e">
        <f t="shared" si="5"/>
        <v>#VALUE!</v>
      </c>
      <c r="AS26" s="188" t="e">
        <f t="shared" si="5"/>
        <v>#VALUE!</v>
      </c>
      <c r="AT26" s="45"/>
      <c r="AU26" s="45"/>
      <c r="AY26" s="185"/>
    </row>
    <row r="27" spans="1:60" ht="17.100000000000001" customHeight="1" thickTop="1" thickBot="1" x14ac:dyDescent="0.25">
      <c r="A27" s="799"/>
      <c r="B27" s="1142" t="s">
        <v>274</v>
      </c>
      <c r="C27" s="1142"/>
      <c r="D27" s="1142"/>
      <c r="E27" s="1142"/>
      <c r="F27" s="1142"/>
      <c r="G27" s="1142"/>
      <c r="H27" s="1142"/>
      <c r="I27" s="1306" t="s">
        <v>52</v>
      </c>
      <c r="J27" s="1306"/>
      <c r="K27" s="811" t="str">
        <f>IF(K22="","",K22/K26)</f>
        <v/>
      </c>
      <c r="L27" s="811" t="str">
        <f>IF(L22="","",+L22/L26)</f>
        <v/>
      </c>
      <c r="M27" s="811" t="str">
        <f>IF(M22="","",+M22/M26)</f>
        <v/>
      </c>
      <c r="N27" s="811" t="str">
        <f>IF(N22="","",+N22/N26)</f>
        <v/>
      </c>
      <c r="O27" s="1313" t="str">
        <f>+IF(K27="","",AVERAGE(K27:N27))</f>
        <v/>
      </c>
      <c r="P27" s="1314"/>
      <c r="Q27" s="831"/>
      <c r="R27" s="831"/>
      <c r="S27" s="449"/>
      <c r="T27" s="1340" t="s">
        <v>36</v>
      </c>
      <c r="U27" s="1341"/>
      <c r="V27" s="1341"/>
      <c r="W27" s="1341"/>
      <c r="X27" s="1341"/>
      <c r="Y27" s="1341"/>
      <c r="Z27" s="1342"/>
      <c r="AA27" s="344"/>
      <c r="AB27" s="344"/>
      <c r="AC27" s="286"/>
      <c r="AD27" s="296">
        <v>59.5</v>
      </c>
      <c r="AE27" s="297">
        <f t="shared" si="1"/>
        <v>1.1118749999999999</v>
      </c>
      <c r="AG27" s="168"/>
      <c r="AH27" s="174">
        <v>5</v>
      </c>
      <c r="AI27" s="177" t="e">
        <f>IF(AI26&gt;0,AI25+1,IF(AND(AI26=0,ISODD(AI23*10)),AI25+1,AI25))</f>
        <v>#VALUE!</v>
      </c>
      <c r="AJ27" s="177" t="e">
        <f>IF(AJ26&gt;0,AJ25+1,IF(AND(AJ26=0,ISODD(AJ23*10)),AJ25+1,AJ25))</f>
        <v>#VALUE!</v>
      </c>
      <c r="AK27" s="177" t="e">
        <f>IF(AK26&gt;0,AK25+1,IF(AND(AK26=0,ISODD(AK23*10)),AK25+1,AK25))</f>
        <v>#VALUE!</v>
      </c>
      <c r="AL27" s="177" t="e">
        <f>IF(AL26&gt;0,AL25+1,IF(AND(AL26=0,ISODD(AL23*10)),AL25+1,AL25))</f>
        <v>#VALUE!</v>
      </c>
      <c r="AM27" s="45"/>
      <c r="AN27" s="174">
        <v>5</v>
      </c>
      <c r="AO27" s="181" t="e">
        <f>AO25-AO24</f>
        <v>#VALUE!</v>
      </c>
      <c r="AP27" s="181" t="e">
        <f t="shared" si="5"/>
        <v>#VALUE!</v>
      </c>
      <c r="AQ27" s="181" t="e">
        <f t="shared" si="5"/>
        <v>#VALUE!</v>
      </c>
      <c r="AR27" s="181" t="e">
        <f t="shared" si="5"/>
        <v>#VALUE!</v>
      </c>
      <c r="AS27" s="181" t="e">
        <f t="shared" si="5"/>
        <v>#VALUE!</v>
      </c>
      <c r="AT27" s="45"/>
      <c r="AU27" s="45"/>
      <c r="AY27" s="185"/>
    </row>
    <row r="28" spans="1:60" ht="17.100000000000001" customHeight="1" thickTop="1" x14ac:dyDescent="0.2">
      <c r="A28" s="799"/>
      <c r="B28" s="1328" t="s">
        <v>407</v>
      </c>
      <c r="C28" s="1328"/>
      <c r="D28" s="1328"/>
      <c r="E28" s="1328"/>
      <c r="F28" s="1328"/>
      <c r="G28" s="1328"/>
      <c r="H28" s="1328"/>
      <c r="I28" s="1322" t="s">
        <v>275</v>
      </c>
      <c r="J28" s="1322"/>
      <c r="K28" s="800" t="str">
        <f>IF(OR('733 - 735'!$J$22="",'733 - 735'!$G$30=""),"",+(1-('733 - 735'!J22/'733 - 735'!$G$30))*100)</f>
        <v/>
      </c>
      <c r="L28" s="800" t="str">
        <f>IF(OR('733 - 735'!$J$22="",'733 - 735'!$G$30=""),"",+(1-('733 - 735'!K22/'733 - 735'!$G$30))*100)</f>
        <v/>
      </c>
      <c r="M28" s="800" t="str">
        <f>IF(OR('733 - 735'!$J$22="",'733 - 735'!$G$30=""),"",+(1-('733 - 735'!L22/'733 - 735'!$G$30))*100)</f>
        <v/>
      </c>
      <c r="N28" s="800" t="str">
        <f>IF(OR('733 - 735'!$J$22="",'733 - 735'!$G$30=""),"",+(1-('733 - 735'!M22/'733 - 735'!$G$30))*100)</f>
        <v/>
      </c>
      <c r="O28" s="1307" t="str">
        <f>+IF(K28="","",AVERAGE(K28:N28))</f>
        <v/>
      </c>
      <c r="P28" s="1308"/>
      <c r="Q28" s="833"/>
      <c r="R28" s="833"/>
      <c r="S28" s="449"/>
      <c r="T28" s="468"/>
      <c r="U28" s="469" t="s">
        <v>37</v>
      </c>
      <c r="V28" s="469" t="s">
        <v>299</v>
      </c>
      <c r="W28" s="469" t="s">
        <v>298</v>
      </c>
      <c r="X28" s="469" t="s">
        <v>300</v>
      </c>
      <c r="Y28" s="762" t="s">
        <v>318</v>
      </c>
      <c r="Z28" s="470" t="str">
        <f>IF(Z29="","",100-Z29)</f>
        <v/>
      </c>
      <c r="AA28" s="344"/>
      <c r="AB28" s="344"/>
      <c r="AC28" s="286"/>
      <c r="AD28" s="296">
        <v>59.6</v>
      </c>
      <c r="AE28" s="297">
        <f t="shared" si="1"/>
        <v>1.1087499999999999</v>
      </c>
      <c r="AG28" s="168"/>
      <c r="AH28" s="174">
        <v>6</v>
      </c>
      <c r="AI28" s="177" t="e">
        <f>IF(AI23&lt;0.5,AI25,IF(AI23&gt;0.5,AI25+1,AI27))</f>
        <v>#VALUE!</v>
      </c>
      <c r="AJ28" s="177" t="e">
        <f>IF(AJ23&lt;0.5,AJ25,IF(AJ23&gt;0.5,AJ25+1,AJ27))</f>
        <v>#VALUE!</v>
      </c>
      <c r="AK28" s="177" t="e">
        <f>IF(AK23&lt;0.5,AK25,IF(AK23&gt;0.5,AK25+1,AK27))</f>
        <v>#VALUE!</v>
      </c>
      <c r="AL28" s="177" t="e">
        <f>IF(AL23&lt;0.5,AL25,IF(AL23&gt;0.5,AL25+1,AL27))</f>
        <v>#VALUE!</v>
      </c>
      <c r="AM28" s="45"/>
      <c r="AN28" s="174">
        <v>6</v>
      </c>
      <c r="AO28" s="177" t="e">
        <f>IF(AO23&lt;55,AO27+AO26,IF(AO23&gt;=55,AO27+AO26+100,"Prueba"))</f>
        <v>#VALUE!</v>
      </c>
      <c r="AP28" s="177" t="e">
        <f t="shared" ref="AP28:AS28" si="6">IF(AP23&lt;55,AP27+AP26,IF(AP23&gt;=55,AP27+AP26+100,"Prueba"))</f>
        <v>#VALUE!</v>
      </c>
      <c r="AQ28" s="177" t="e">
        <f t="shared" si="6"/>
        <v>#VALUE!</v>
      </c>
      <c r="AR28" s="177" t="e">
        <f t="shared" si="6"/>
        <v>#VALUE!</v>
      </c>
      <c r="AS28" s="177" t="e">
        <f t="shared" si="6"/>
        <v>#VALUE!</v>
      </c>
      <c r="AT28" s="45"/>
      <c r="AU28" s="45"/>
      <c r="AY28" s="185"/>
    </row>
    <row r="29" spans="1:60" ht="17.100000000000001" customHeight="1" x14ac:dyDescent="0.2">
      <c r="A29" s="799"/>
      <c r="B29" s="1328" t="s">
        <v>419</v>
      </c>
      <c r="C29" s="1328"/>
      <c r="D29" s="1328"/>
      <c r="E29" s="1328"/>
      <c r="F29" s="1328"/>
      <c r="G29" s="1328"/>
      <c r="H29" s="1328"/>
      <c r="I29" s="1322" t="s">
        <v>275</v>
      </c>
      <c r="J29" s="1322"/>
      <c r="K29" s="800" t="str">
        <f>+IF(K28="","",(100-(K15*$Z$28)/$O$33))</f>
        <v/>
      </c>
      <c r="L29" s="800" t="str">
        <f>+IF(L28="","",(100-(L15*$Z$28)/$O$33))</f>
        <v/>
      </c>
      <c r="M29" s="800" t="str">
        <f>+IF(M28="","",(100-(M15*$Z$28)/$O$33))</f>
        <v/>
      </c>
      <c r="N29" s="800" t="str">
        <f>+IF(N28="","",(100-(N15*$Z$28)/$O$33))</f>
        <v/>
      </c>
      <c r="O29" s="1307" t="str">
        <f t="shared" ref="O29:O30" si="7">+IF(K29="","",AVERAGE(K29:N29))</f>
        <v/>
      </c>
      <c r="P29" s="1308"/>
      <c r="Q29" s="833"/>
      <c r="R29" s="833"/>
      <c r="S29" s="449"/>
      <c r="T29" s="471"/>
      <c r="U29" s="472">
        <v>1</v>
      </c>
      <c r="V29" s="473">
        <v>1</v>
      </c>
      <c r="W29" s="473">
        <v>0.41</v>
      </c>
      <c r="X29" s="643">
        <f>+W29*V29</f>
        <v>0.41</v>
      </c>
      <c r="Y29" s="475" t="s">
        <v>301</v>
      </c>
      <c r="Z29" s="476" t="str">
        <f>+'732'!M18</f>
        <v/>
      </c>
      <c r="AA29" s="344"/>
      <c r="AB29" s="344"/>
      <c r="AC29" s="286"/>
      <c r="AD29" s="296">
        <v>59.7</v>
      </c>
      <c r="AE29" s="297">
        <f t="shared" si="1"/>
        <v>1.1056250000000001</v>
      </c>
      <c r="AG29" s="168"/>
      <c r="AH29" s="174">
        <v>7</v>
      </c>
      <c r="AI29" s="177">
        <f>IF(ISERROR(AI23),AI25,AI28)</f>
        <v>0</v>
      </c>
      <c r="AJ29" s="177">
        <f>IF(ISERROR(AJ23),AJ25,AJ28)</f>
        <v>0</v>
      </c>
      <c r="AK29" s="177">
        <f>IF(ISERROR(AK23),AK25,AK28)</f>
        <v>0</v>
      </c>
      <c r="AL29" s="177">
        <f>IF(ISERROR(AL23),AL25,AL28)</f>
        <v>0</v>
      </c>
      <c r="AM29" s="45"/>
      <c r="AN29" s="174">
        <v>7</v>
      </c>
      <c r="AO29" s="179" t="e">
        <f>AO28/2</f>
        <v>#VALUE!</v>
      </c>
      <c r="AP29" s="179" t="e">
        <f t="shared" ref="AP29:AS29" si="8">AP28/2</f>
        <v>#VALUE!</v>
      </c>
      <c r="AQ29" s="179" t="e">
        <f t="shared" si="8"/>
        <v>#VALUE!</v>
      </c>
      <c r="AR29" s="179" t="e">
        <f t="shared" si="8"/>
        <v>#VALUE!</v>
      </c>
      <c r="AS29" s="179" t="e">
        <f t="shared" si="8"/>
        <v>#VALUE!</v>
      </c>
      <c r="AT29" s="45"/>
      <c r="AU29" s="45"/>
      <c r="AY29" s="185"/>
    </row>
    <row r="30" spans="1:60" ht="17.100000000000001" customHeight="1" x14ac:dyDescent="0.2">
      <c r="A30" s="799"/>
      <c r="B30" s="1328" t="s">
        <v>51</v>
      </c>
      <c r="C30" s="1328"/>
      <c r="D30" s="1328"/>
      <c r="E30" s="1328"/>
      <c r="F30" s="1328"/>
      <c r="G30" s="1328"/>
      <c r="H30" s="1328"/>
      <c r="I30" s="1322" t="s">
        <v>275</v>
      </c>
      <c r="J30" s="1322"/>
      <c r="K30" s="800" t="str">
        <f>+IF(K28="","",(100*(K29-K28)/K29))</f>
        <v/>
      </c>
      <c r="L30" s="800" t="str">
        <f t="shared" ref="L30:N30" si="9">+IF(L28="","",(100*(L29-L28)/L29))</f>
        <v/>
      </c>
      <c r="M30" s="800" t="str">
        <f t="shared" si="9"/>
        <v/>
      </c>
      <c r="N30" s="800" t="str">
        <f t="shared" si="9"/>
        <v/>
      </c>
      <c r="O30" s="1307" t="str">
        <f t="shared" si="7"/>
        <v/>
      </c>
      <c r="P30" s="1308"/>
      <c r="Q30" s="833"/>
      <c r="R30" s="833"/>
      <c r="S30" s="449"/>
      <c r="T30" s="477" t="s">
        <v>291</v>
      </c>
      <c r="U30" s="478">
        <v>4.75</v>
      </c>
      <c r="V30" s="479" t="str">
        <f>+'782'!I27</f>
        <v/>
      </c>
      <c r="W30" s="473">
        <v>4.1000000000000003E-3</v>
      </c>
      <c r="X30" s="643" t="str">
        <f t="shared" ref="X30:X37" si="10">IF(V30="","",+W30*V30)</f>
        <v/>
      </c>
      <c r="Y30" s="480" t="s">
        <v>302</v>
      </c>
      <c r="Z30" s="481" t="str">
        <f>+O32</f>
        <v/>
      </c>
      <c r="AA30" s="344"/>
      <c r="AB30" s="344"/>
      <c r="AC30" s="285"/>
      <c r="AD30" s="296">
        <v>59.8</v>
      </c>
      <c r="AE30" s="297">
        <f t="shared" si="1"/>
        <v>1.1025</v>
      </c>
      <c r="AG30" s="168"/>
      <c r="AH30" s="174">
        <v>8</v>
      </c>
      <c r="AI30" s="304">
        <f>+AI29*AJ20</f>
        <v>0</v>
      </c>
      <c r="AJ30" s="304">
        <f>AJ29*$AJ$20</f>
        <v>0</v>
      </c>
      <c r="AK30" s="304">
        <f>AK29*$AJ$20</f>
        <v>0</v>
      </c>
      <c r="AL30" s="304">
        <f>AL29*$AJ$20</f>
        <v>0</v>
      </c>
      <c r="AM30" s="45"/>
      <c r="AN30" s="105"/>
      <c r="AO30" s="189"/>
      <c r="AP30" s="105"/>
      <c r="AQ30" s="105"/>
      <c r="AR30" s="105"/>
      <c r="AS30" s="45"/>
      <c r="AT30" s="45"/>
      <c r="AU30" s="45"/>
      <c r="AY30" s="185"/>
    </row>
    <row r="31" spans="1:60" ht="20.100000000000001" customHeight="1" x14ac:dyDescent="0.2">
      <c r="A31" s="1324" t="s">
        <v>415</v>
      </c>
      <c r="B31" s="1325"/>
      <c r="C31" s="1325"/>
      <c r="D31" s="1325"/>
      <c r="E31" s="1325"/>
      <c r="F31" s="1325"/>
      <c r="G31" s="1325"/>
      <c r="H31" s="1325"/>
      <c r="I31" s="1325"/>
      <c r="J31" s="1325"/>
      <c r="K31" s="1325"/>
      <c r="L31" s="1325"/>
      <c r="M31" s="1325"/>
      <c r="N31" s="1325"/>
      <c r="O31" s="1325"/>
      <c r="P31" s="1326"/>
      <c r="Q31" s="790"/>
      <c r="R31" s="790"/>
      <c r="S31" s="482"/>
      <c r="T31" s="477" t="s">
        <v>292</v>
      </c>
      <c r="U31" s="483">
        <v>2.36</v>
      </c>
      <c r="V31" s="267" t="str">
        <f>IF($V$30="","",$V$30+(((U31-$U$30)/($U$37-$U$30))*($V$37-$V$30)))</f>
        <v/>
      </c>
      <c r="W31" s="473">
        <v>8.2000000000000007E-3</v>
      </c>
      <c r="X31" s="643" t="str">
        <f>IF(V31="","",+W31*V31)</f>
        <v/>
      </c>
      <c r="Y31" s="480" t="s">
        <v>303</v>
      </c>
      <c r="Z31" s="484" t="str">
        <f>IF(Z29="","",+Z29/Z30)</f>
        <v/>
      </c>
      <c r="AA31" s="305"/>
      <c r="AB31" s="305"/>
      <c r="AC31" s="283"/>
      <c r="AD31" s="296">
        <v>59.9</v>
      </c>
      <c r="AE31" s="297">
        <f t="shared" si="1"/>
        <v>1.099375</v>
      </c>
      <c r="AG31" s="168"/>
      <c r="AH31" s="45"/>
      <c r="AI31" s="45"/>
      <c r="AJ31" s="45"/>
      <c r="AK31" s="45"/>
      <c r="AL31" s="45"/>
      <c r="AM31" s="45"/>
      <c r="AN31" s="45"/>
      <c r="AO31" s="62"/>
      <c r="AP31" s="45"/>
      <c r="AQ31" s="45"/>
      <c r="AR31" s="45"/>
      <c r="AS31" s="45"/>
      <c r="AT31" s="45"/>
      <c r="AU31" s="45"/>
      <c r="AY31" s="185"/>
    </row>
    <row r="32" spans="1:60" ht="17.100000000000001" customHeight="1" thickBot="1" x14ac:dyDescent="0.25">
      <c r="A32" s="799"/>
      <c r="B32" s="813" t="s">
        <v>120</v>
      </c>
      <c r="C32" s="1294" t="s">
        <v>107</v>
      </c>
      <c r="D32" s="1294"/>
      <c r="E32" s="814" t="str">
        <f>IF('733 - 735'!E8="","",(SUM('782'!E23:I23)/'782'!M17)*100)</f>
        <v/>
      </c>
      <c r="F32" s="815" t="s">
        <v>39</v>
      </c>
      <c r="G32" s="1327" t="str">
        <f>+IF(F8="","",HLOOKUP('733 - 735'!$E$8,$U$3:$AB$10,U5,0))</f>
        <v/>
      </c>
      <c r="H32" s="1327"/>
      <c r="I32" s="816" t="s">
        <v>72</v>
      </c>
      <c r="J32" s="1296" t="s">
        <v>75</v>
      </c>
      <c r="K32" s="1296"/>
      <c r="L32" s="1296"/>
      <c r="M32" s="1296"/>
      <c r="N32" s="1296"/>
      <c r="O32" s="1301" t="str">
        <f>+IF(F8="","",HLOOKUP(F8,$U$3:$AB$10,U9,0))</f>
        <v/>
      </c>
      <c r="P32" s="1302"/>
      <c r="Q32" s="834"/>
      <c r="R32" s="834"/>
      <c r="S32" s="482"/>
      <c r="T32" s="477" t="s">
        <v>293</v>
      </c>
      <c r="U32" s="485">
        <v>1.18</v>
      </c>
      <c r="V32" s="267" t="str">
        <f>IF($V$30="","",$V$30+(((U32-$U$30)/($U$37-$U$30))*($V$37-$V$30)))</f>
        <v/>
      </c>
      <c r="W32" s="473">
        <v>1.6400000000000001E-2</v>
      </c>
      <c r="X32" s="643" t="str">
        <f t="shared" si="10"/>
        <v/>
      </c>
      <c r="Y32" s="305" t="s">
        <v>305</v>
      </c>
      <c r="Z32" s="484" t="str">
        <f>IF(O32="","",100*(O32*((O34-O33)/(O33*O34))))</f>
        <v/>
      </c>
      <c r="AA32" s="305"/>
      <c r="AB32" s="305"/>
      <c r="AC32" s="283"/>
      <c r="AD32" s="296">
        <v>60</v>
      </c>
      <c r="AE32" s="297">
        <f t="shared" si="1"/>
        <v>1.0962499999999999</v>
      </c>
      <c r="AG32" s="190"/>
      <c r="AH32" s="191"/>
      <c r="AI32" s="191"/>
      <c r="AJ32" s="191"/>
      <c r="AK32" s="191"/>
      <c r="AL32" s="191"/>
      <c r="AM32" s="191"/>
      <c r="AN32" s="191"/>
      <c r="AO32" s="192"/>
      <c r="AP32" s="191"/>
      <c r="AQ32" s="191"/>
      <c r="AR32" s="191"/>
      <c r="AS32" s="191"/>
      <c r="AT32" s="191"/>
      <c r="AU32" s="191"/>
      <c r="AV32" s="193"/>
      <c r="AW32" s="193"/>
      <c r="AX32" s="193"/>
      <c r="AY32" s="194"/>
    </row>
    <row r="33" spans="1:60" ht="17.100000000000001" customHeight="1" x14ac:dyDescent="0.2">
      <c r="A33" s="799"/>
      <c r="B33" s="813" t="s">
        <v>121</v>
      </c>
      <c r="C33" s="1294" t="s">
        <v>108</v>
      </c>
      <c r="D33" s="1294"/>
      <c r="E33" s="817" t="str">
        <f>IF('733 - 735'!E8="","",((SUM('782'!J23:M23)/'782'!M17)*100))</f>
        <v/>
      </c>
      <c r="F33" s="815" t="s">
        <v>39</v>
      </c>
      <c r="G33" s="1303" t="str">
        <f>+IF(F8="","",HLOOKUP('733 - 735'!$E$8,$U$3:$AB$10,4,0))</f>
        <v/>
      </c>
      <c r="H33" s="1303"/>
      <c r="I33" s="818" t="s">
        <v>71</v>
      </c>
      <c r="J33" s="1304" t="s">
        <v>74</v>
      </c>
      <c r="K33" s="1304"/>
      <c r="L33" s="1304"/>
      <c r="M33" s="1304"/>
      <c r="N33" s="787"/>
      <c r="O33" s="1301" t="str">
        <f>+IF(E32="","",(E32+E33+E34)/((E32/G32)+(E33/G33)+(E34/G34)))</f>
        <v/>
      </c>
      <c r="P33" s="1302"/>
      <c r="Q33" s="834"/>
      <c r="R33" s="834"/>
      <c r="S33" s="482"/>
      <c r="T33" s="477" t="s">
        <v>294</v>
      </c>
      <c r="U33" s="486">
        <v>0.6</v>
      </c>
      <c r="V33" s="267" t="str">
        <f>IF($V$30="","",$V$30+(((U33-$U$30)/($U$37-$U$30))*($V$37-$V$30)))</f>
        <v/>
      </c>
      <c r="W33" s="473">
        <v>2.87E-2</v>
      </c>
      <c r="X33" s="643" t="str">
        <f t="shared" si="10"/>
        <v/>
      </c>
      <c r="Y33" s="305" t="s">
        <v>306</v>
      </c>
      <c r="Z33" s="484" t="e">
        <f>+(Z29)-((Z32*(100-Z29))/(100))</f>
        <v>#VALUE!</v>
      </c>
      <c r="AA33" s="305"/>
      <c r="AB33" s="305"/>
      <c r="AC33" s="283"/>
      <c r="AD33" s="296">
        <v>60.1</v>
      </c>
      <c r="AE33" s="297">
        <f t="shared" si="1"/>
        <v>1.0931249999999999</v>
      </c>
    </row>
    <row r="34" spans="1:60" ht="17.100000000000001" customHeight="1" x14ac:dyDescent="0.2">
      <c r="A34" s="799"/>
      <c r="B34" s="813" t="s">
        <v>122</v>
      </c>
      <c r="C34" s="1294" t="s">
        <v>221</v>
      </c>
      <c r="D34" s="1294"/>
      <c r="E34" s="819" t="str">
        <f>IF('733 - 735'!E8="","",(('782'!O23+'782'!R23)/'782'!M17)*100)</f>
        <v/>
      </c>
      <c r="F34" s="815" t="s">
        <v>39</v>
      </c>
      <c r="G34" s="1295" t="str">
        <f>+IF(F8="","",HLOOKUP('733 - 735'!$E$8,$U$3:$AB$10,6,0))</f>
        <v/>
      </c>
      <c r="H34" s="1295"/>
      <c r="I34" s="818" t="s">
        <v>70</v>
      </c>
      <c r="J34" s="820" t="s">
        <v>73</v>
      </c>
      <c r="K34" s="787"/>
      <c r="L34" s="787"/>
      <c r="M34" s="787"/>
      <c r="N34" s="787"/>
      <c r="O34" s="1301" t="str">
        <f>IF(O32="","",+(100-'732'!M18)/((100/'733 - 735'!G30)-('732'!M18/O32)))</f>
        <v/>
      </c>
      <c r="P34" s="1302"/>
      <c r="Q34" s="834"/>
      <c r="R34" s="834"/>
      <c r="S34" s="457"/>
      <c r="T34" s="477" t="s">
        <v>295</v>
      </c>
      <c r="U34" s="487">
        <v>0.3</v>
      </c>
      <c r="V34" s="267" t="str">
        <f>IF($V$30="","",$V$30+(((U34-$U$30)/($U$37-$U$30))*($V$37-$V$30)))</f>
        <v/>
      </c>
      <c r="W34" s="473">
        <v>6.1400000000000003E-2</v>
      </c>
      <c r="X34" s="643" t="str">
        <f t="shared" si="10"/>
        <v/>
      </c>
      <c r="Y34" s="305" t="s">
        <v>307</v>
      </c>
      <c r="Z34" s="484" t="e">
        <f>1-(Z29/100)</f>
        <v>#VALUE!</v>
      </c>
      <c r="AA34" s="305"/>
      <c r="AB34" s="305"/>
      <c r="AC34" s="2"/>
      <c r="AD34" s="296">
        <v>60.2</v>
      </c>
      <c r="AE34" s="297">
        <f>+$AE$19+((AD36-$AD$19)*(($AE$36-$AE$19)/($AD$36-$AD$19)))</f>
        <v>1.0900000000000001</v>
      </c>
      <c r="BH34" s="18"/>
    </row>
    <row r="35" spans="1:60" ht="17.100000000000001" customHeight="1" x14ac:dyDescent="0.2">
      <c r="A35" s="812"/>
      <c r="B35" s="843"/>
      <c r="C35" s="842"/>
      <c r="D35" s="842"/>
      <c r="E35" s="844"/>
      <c r="F35" s="845"/>
      <c r="G35" s="855"/>
      <c r="H35" s="855"/>
      <c r="I35" s="846"/>
      <c r="J35" s="847"/>
      <c r="K35" s="824"/>
      <c r="L35" s="824"/>
      <c r="M35" s="824"/>
      <c r="N35" s="824"/>
      <c r="O35" s="856"/>
      <c r="P35" s="857"/>
      <c r="Q35" s="834"/>
      <c r="R35" s="834"/>
      <c r="S35" s="457"/>
      <c r="T35" s="477"/>
      <c r="U35" s="487"/>
      <c r="V35" s="267"/>
      <c r="W35" s="473"/>
      <c r="X35" s="643"/>
      <c r="Y35" s="305"/>
      <c r="Z35" s="484"/>
      <c r="AA35" s="305"/>
      <c r="AB35" s="305"/>
      <c r="AC35" s="2"/>
      <c r="AD35" s="296"/>
      <c r="AE35" s="297"/>
      <c r="BH35" s="18"/>
    </row>
    <row r="36" spans="1:60" ht="15" customHeight="1" x14ac:dyDescent="0.2">
      <c r="A36" s="525"/>
      <c r="B36" s="241"/>
      <c r="C36" s="850"/>
      <c r="D36" s="850"/>
      <c r="E36" s="58"/>
      <c r="F36" s="851"/>
      <c r="G36" s="852"/>
      <c r="H36" s="852"/>
      <c r="I36" s="853"/>
      <c r="J36" s="76"/>
      <c r="K36" s="57"/>
      <c r="L36" s="57"/>
      <c r="M36" s="57"/>
      <c r="N36" s="57"/>
      <c r="O36" s="240"/>
      <c r="P36" s="854"/>
      <c r="Q36" s="240"/>
      <c r="R36" s="240"/>
      <c r="S36" s="457"/>
      <c r="T36" s="477" t="s">
        <v>296</v>
      </c>
      <c r="U36" s="488">
        <v>0.15</v>
      </c>
      <c r="V36" s="267" t="str">
        <f>IF($V$30="","",$V$30+(((U36-$U$30)/($U$37-$U$30))*($V$37-$V$30)))</f>
        <v/>
      </c>
      <c r="W36" s="473">
        <v>0.1229</v>
      </c>
      <c r="X36" s="643" t="str">
        <f t="shared" si="10"/>
        <v/>
      </c>
      <c r="Y36" s="305" t="s">
        <v>304</v>
      </c>
      <c r="Z36" s="484" t="e">
        <f>+Z32*Z34</f>
        <v>#VALUE!</v>
      </c>
      <c r="AA36" s="305"/>
      <c r="AB36" s="305"/>
      <c r="AC36" s="2"/>
      <c r="AD36" s="294">
        <v>60.3</v>
      </c>
      <c r="AE36" s="298">
        <v>1.0900000000000001</v>
      </c>
      <c r="BH36" s="18"/>
    </row>
    <row r="37" spans="1:60" ht="15" customHeight="1" x14ac:dyDescent="0.2">
      <c r="A37" s="792"/>
      <c r="B37" s="1300" t="s">
        <v>405</v>
      </c>
      <c r="C37" s="1300"/>
      <c r="D37" s="1300"/>
      <c r="E37" s="791"/>
      <c r="F37" s="791"/>
      <c r="G37" s="791"/>
      <c r="H37" s="791"/>
      <c r="I37" s="791"/>
      <c r="J37" s="791"/>
      <c r="K37" s="791"/>
      <c r="L37" s="791"/>
      <c r="M37" s="791"/>
      <c r="N37" s="791"/>
      <c r="O37" s="791"/>
      <c r="P37" s="793"/>
      <c r="Q37" s="791"/>
      <c r="R37" s="791"/>
      <c r="S37" s="489"/>
      <c r="T37" s="477" t="s">
        <v>297</v>
      </c>
      <c r="U37" s="490">
        <v>7.4999999999999997E-2</v>
      </c>
      <c r="V37" s="474" t="str">
        <f>IF(F8=AB3,'782'!K27,'782'!M27)</f>
        <v/>
      </c>
      <c r="W37" s="473">
        <v>0.32769999999999999</v>
      </c>
      <c r="X37" s="643" t="str">
        <f t="shared" si="10"/>
        <v/>
      </c>
      <c r="Y37" s="305" t="s">
        <v>308</v>
      </c>
      <c r="Z37" s="484" t="e">
        <f>+Z36*Z30</f>
        <v>#VALUE!</v>
      </c>
      <c r="AA37" s="305"/>
      <c r="AB37" s="305"/>
      <c r="AC37" s="2"/>
      <c r="AD37" s="296">
        <v>60.4</v>
      </c>
      <c r="AE37" s="297">
        <f>+$AE$36+((AD38-$AD$36)*(($AE$53-$AE$36)/($AD$53-$AD$36)))</f>
        <v>1.08375</v>
      </c>
      <c r="BH37" s="18"/>
    </row>
    <row r="38" spans="1:60" ht="15" customHeight="1" x14ac:dyDescent="0.2">
      <c r="A38" s="784"/>
      <c r="B38" s="785"/>
      <c r="C38" s="785"/>
      <c r="D38" s="785"/>
      <c r="E38" s="785"/>
      <c r="F38" s="785"/>
      <c r="G38" s="785"/>
      <c r="H38" s="785"/>
      <c r="I38" s="785"/>
      <c r="J38" s="785"/>
      <c r="K38" s="785"/>
      <c r="L38" s="785"/>
      <c r="M38" s="785"/>
      <c r="N38" s="785"/>
      <c r="O38" s="785"/>
      <c r="P38" s="786"/>
      <c r="Q38" s="791"/>
      <c r="R38" s="791"/>
      <c r="S38" s="457"/>
      <c r="T38" s="1311" t="s">
        <v>321</v>
      </c>
      <c r="U38" s="1312"/>
      <c r="V38" s="1312"/>
      <c r="W38" s="1312"/>
      <c r="X38" s="644">
        <f>+SUM(X29:X37)</f>
        <v>0.41</v>
      </c>
      <c r="Y38" s="491" t="s">
        <v>309</v>
      </c>
      <c r="Z38" s="484" t="e">
        <f>+Z31-Z37</f>
        <v>#VALUE!</v>
      </c>
      <c r="AA38" s="305"/>
      <c r="AB38" s="305"/>
      <c r="AC38" s="2"/>
      <c r="AD38" s="296">
        <v>60.5</v>
      </c>
      <c r="AE38" s="297">
        <f>+$AE$36+((AD39-$AD$36)*(($AE$53-$AE$36)/($AD$53-$AD$36)))</f>
        <v>1.0806249999999999</v>
      </c>
      <c r="BH38" s="18"/>
    </row>
    <row r="39" spans="1:60" ht="15" customHeight="1" thickBot="1" x14ac:dyDescent="0.25">
      <c r="A39" s="781"/>
      <c r="B39" s="1290" t="s">
        <v>3</v>
      </c>
      <c r="C39" s="1290"/>
      <c r="D39" s="1290"/>
      <c r="E39" s="1291"/>
      <c r="F39" s="1291"/>
      <c r="G39" s="1291"/>
      <c r="H39" s="1291"/>
      <c r="I39" s="1291"/>
      <c r="J39" s="1291"/>
      <c r="K39" s="1291"/>
      <c r="L39" s="1291"/>
      <c r="M39" s="1291"/>
      <c r="N39" s="1291"/>
      <c r="O39" s="1291"/>
      <c r="P39" s="780"/>
      <c r="Q39" s="791"/>
      <c r="R39" s="791"/>
      <c r="S39" s="305"/>
      <c r="T39" s="1309" t="s">
        <v>420</v>
      </c>
      <c r="U39" s="1310"/>
      <c r="V39" s="1310"/>
      <c r="W39" s="1310"/>
      <c r="X39" s="1310"/>
      <c r="Y39" s="1310"/>
      <c r="Z39" s="492" t="e">
        <f>+(Z38/(X38*Z34))*10</f>
        <v>#VALUE!</v>
      </c>
      <c r="AA39" s="305"/>
      <c r="AB39" s="305"/>
      <c r="AC39" s="2"/>
      <c r="AD39" s="296">
        <v>60.6</v>
      </c>
      <c r="AE39" s="297">
        <f>+$AE$36+((AD40-$AD$36)*(($AE$53-$AE$36)/($AD$53-$AD$36)))</f>
        <v>1.0774999999999999</v>
      </c>
      <c r="BH39" s="18"/>
    </row>
    <row r="40" spans="1:60" ht="15" customHeight="1" thickTop="1" x14ac:dyDescent="0.2">
      <c r="A40" s="794"/>
      <c r="B40" s="1270"/>
      <c r="C40" s="1270"/>
      <c r="D40" s="1270"/>
      <c r="E40" s="1270"/>
      <c r="F40" s="1270"/>
      <c r="G40" s="1270"/>
      <c r="H40" s="1270"/>
      <c r="I40" s="1270"/>
      <c r="J40" s="1270"/>
      <c r="K40" s="1270"/>
      <c r="L40" s="1270"/>
      <c r="M40" s="1270"/>
      <c r="N40" s="1270"/>
      <c r="O40" s="1270"/>
      <c r="P40" s="793"/>
      <c r="Q40" s="791"/>
      <c r="R40" s="791"/>
      <c r="S40" s="305"/>
      <c r="T40" s="305"/>
      <c r="U40" s="305"/>
      <c r="V40" s="305"/>
      <c r="W40" s="305"/>
      <c r="X40" s="305"/>
      <c r="Y40" s="305"/>
      <c r="Z40" s="305"/>
      <c r="AA40" s="305"/>
      <c r="AB40" s="305"/>
      <c r="AD40" s="296">
        <v>60.7</v>
      </c>
      <c r="AE40" s="297">
        <f>+$AE$36+((AD41-$AD$36)*(($AE$53-$AE$36)/($AD$53-$AD$36)))</f>
        <v>1.0743750000000001</v>
      </c>
    </row>
    <row r="41" spans="1:60" ht="15" customHeight="1" x14ac:dyDescent="0.2">
      <c r="A41" s="794"/>
      <c r="B41" s="1270"/>
      <c r="C41" s="1270"/>
      <c r="D41" s="1270"/>
      <c r="E41" s="1270"/>
      <c r="F41" s="1270"/>
      <c r="G41" s="1270"/>
      <c r="H41" s="1270"/>
      <c r="I41" s="1270"/>
      <c r="J41" s="1270"/>
      <c r="K41" s="1270"/>
      <c r="L41" s="1270"/>
      <c r="M41" s="1270"/>
      <c r="N41" s="1270"/>
      <c r="O41" s="1270"/>
      <c r="P41" s="793"/>
      <c r="Q41" s="791"/>
      <c r="R41" s="791"/>
      <c r="S41" s="493"/>
      <c r="T41" s="305"/>
      <c r="U41" s="305"/>
      <c r="V41" s="305"/>
      <c r="W41" s="305"/>
      <c r="X41" s="305"/>
      <c r="Y41" s="305"/>
      <c r="Z41" s="305"/>
      <c r="AA41" s="305"/>
      <c r="AB41" s="305"/>
      <c r="AC41" s="45"/>
      <c r="AD41" s="296">
        <v>60.8</v>
      </c>
      <c r="AE41" s="297">
        <f>+$AE$36+((AD42-$AD$36)*(($AE$53-$AE$36)/($AD$53-$AD$36)))</f>
        <v>1.07125</v>
      </c>
      <c r="AF41" s="45"/>
    </row>
    <row r="42" spans="1:60" ht="15" customHeight="1" x14ac:dyDescent="0.2">
      <c r="A42" s="794"/>
      <c r="B42" s="1270"/>
      <c r="C42" s="1270"/>
      <c r="D42" s="1270"/>
      <c r="E42" s="1270"/>
      <c r="F42" s="1270"/>
      <c r="G42" s="1270"/>
      <c r="H42" s="1270"/>
      <c r="I42" s="1270"/>
      <c r="J42" s="1270"/>
      <c r="K42" s="1270"/>
      <c r="L42" s="1270"/>
      <c r="M42" s="1270"/>
      <c r="N42" s="1270"/>
      <c r="O42" s="1270"/>
      <c r="P42" s="793"/>
      <c r="Q42" s="791"/>
      <c r="R42" s="791"/>
      <c r="S42" s="494"/>
      <c r="T42" s="305"/>
      <c r="U42" s="305"/>
      <c r="V42" s="305"/>
      <c r="W42" s="305"/>
      <c r="X42" s="305"/>
      <c r="Y42" s="305"/>
      <c r="Z42" s="305"/>
      <c r="AA42" s="305"/>
      <c r="AB42" s="305"/>
      <c r="AC42" s="45"/>
      <c r="AD42" s="296">
        <v>60.9</v>
      </c>
      <c r="AE42" s="297" t="e">
        <f>+$AE$36+((#REF!-$AD$36)*(($AE$53-$AE$36)/($AD$53-$AD$36)))</f>
        <v>#REF!</v>
      </c>
      <c r="AF42" s="45"/>
    </row>
    <row r="43" spans="1:60" ht="15" customHeight="1" thickBot="1" x14ac:dyDescent="0.25">
      <c r="A43" s="525"/>
      <c r="B43" s="1271"/>
      <c r="C43" s="1271"/>
      <c r="D43" s="1271"/>
      <c r="E43" s="1271"/>
      <c r="F43" s="1271"/>
      <c r="G43" s="1271"/>
      <c r="H43" s="1271"/>
      <c r="I43" s="1271"/>
      <c r="J43" s="1271"/>
      <c r="K43" s="1271"/>
      <c r="L43" s="1271"/>
      <c r="M43" s="1271"/>
      <c r="N43" s="1271"/>
      <c r="O43" s="1271"/>
      <c r="P43" s="342"/>
      <c r="S43" s="494"/>
      <c r="T43" s="305"/>
      <c r="U43" s="305"/>
      <c r="V43" s="305"/>
      <c r="W43" s="305"/>
      <c r="X43" s="305"/>
      <c r="Y43" s="305"/>
      <c r="Z43" s="305"/>
      <c r="AA43" s="305"/>
      <c r="AB43" s="305"/>
      <c r="AC43" s="45"/>
      <c r="AD43" s="296"/>
      <c r="AE43" s="297"/>
      <c r="AF43" s="45"/>
    </row>
    <row r="44" spans="1:60" ht="15" customHeight="1" thickTop="1" thickBot="1" x14ac:dyDescent="0.25">
      <c r="A44" s="1360" t="s">
        <v>156</v>
      </c>
      <c r="B44" s="1360"/>
      <c r="C44" s="1360"/>
      <c r="D44" s="1360"/>
      <c r="E44" s="1360"/>
      <c r="F44" s="1360"/>
      <c r="G44" s="1360"/>
      <c r="H44" s="1360"/>
      <c r="I44" s="1360"/>
      <c r="J44" s="1360"/>
      <c r="K44" s="1360"/>
      <c r="L44" s="1360"/>
      <c r="M44" s="1360"/>
      <c r="N44" s="1360"/>
      <c r="O44" s="1360"/>
      <c r="P44" s="1360"/>
      <c r="Q44" s="835"/>
      <c r="R44" s="835"/>
      <c r="S44" s="494"/>
      <c r="T44" s="305"/>
      <c r="U44" s="305"/>
      <c r="V44" s="305"/>
      <c r="W44" s="305"/>
      <c r="X44" s="305"/>
      <c r="Y44" s="305"/>
      <c r="Z44" s="305"/>
      <c r="AA44" s="305"/>
      <c r="AB44" s="305"/>
      <c r="AC44" s="45"/>
      <c r="AD44" s="296"/>
      <c r="AE44" s="297"/>
      <c r="AF44" s="45"/>
    </row>
    <row r="45" spans="1:60" ht="15" customHeight="1" thickTop="1" x14ac:dyDescent="0.2">
      <c r="A45" s="696"/>
      <c r="B45" s="696"/>
      <c r="C45" s="696"/>
      <c r="D45" s="696"/>
      <c r="E45" s="696"/>
      <c r="F45" s="696"/>
      <c r="G45" s="696"/>
      <c r="H45" s="696"/>
      <c r="I45" s="696"/>
      <c r="J45" s="696"/>
      <c r="K45" s="696"/>
      <c r="L45" s="696"/>
      <c r="M45" s="696"/>
      <c r="N45" s="696"/>
      <c r="O45" s="696"/>
      <c r="P45" s="696"/>
      <c r="Q45" s="696"/>
      <c r="R45" s="696"/>
      <c r="S45" s="345"/>
      <c r="T45" s="305"/>
      <c r="U45" s="305"/>
      <c r="V45" s="305"/>
      <c r="W45" s="305"/>
      <c r="X45" s="305"/>
      <c r="Y45" s="305"/>
      <c r="Z45" s="305"/>
      <c r="AA45" s="305"/>
      <c r="AB45" s="305"/>
      <c r="AC45" s="45"/>
      <c r="AD45" s="296">
        <v>61.1</v>
      </c>
      <c r="AE45" s="297">
        <f t="shared" ref="AE45:AE52" si="11">+$AE$36+((AD46-$AD$36)*(($AE$53-$AE$36)/($AD$53-$AD$36)))</f>
        <v>1.0618749999999999</v>
      </c>
      <c r="AF45" s="45"/>
    </row>
    <row r="46" spans="1:60" ht="15" customHeight="1" x14ac:dyDescent="0.2">
      <c r="A46" s="1361" t="s">
        <v>234</v>
      </c>
      <c r="B46" s="1361"/>
      <c r="C46" s="1361"/>
      <c r="D46" s="1361"/>
      <c r="E46" s="1361"/>
      <c r="F46" s="1361"/>
      <c r="G46" s="1361"/>
      <c r="H46" s="1361"/>
      <c r="I46" s="1361"/>
      <c r="J46" s="1361"/>
      <c r="K46" s="1361"/>
      <c r="L46" s="1361"/>
      <c r="M46" s="1361"/>
      <c r="N46" s="1361"/>
      <c r="O46" s="1361"/>
      <c r="P46" s="1361"/>
      <c r="Q46" s="836"/>
      <c r="R46" s="836"/>
      <c r="S46" s="495"/>
      <c r="T46" s="305"/>
      <c r="U46" s="305"/>
      <c r="V46" s="305"/>
      <c r="W46" s="305"/>
      <c r="X46" s="305"/>
      <c r="Y46" s="305"/>
      <c r="Z46" s="305"/>
      <c r="AA46" s="344"/>
      <c r="AB46" s="344"/>
      <c r="AC46" s="45"/>
      <c r="AD46" s="296">
        <v>61.2</v>
      </c>
      <c r="AE46" s="297">
        <f t="shared" si="11"/>
        <v>1.0587500000000001</v>
      </c>
      <c r="AF46" s="45"/>
    </row>
    <row r="47" spans="1:60" ht="15" customHeight="1" x14ac:dyDescent="0.2">
      <c r="A47" s="1361"/>
      <c r="B47" s="1361"/>
      <c r="C47" s="1361"/>
      <c r="D47" s="1361"/>
      <c r="E47" s="1361"/>
      <c r="F47" s="1361"/>
      <c r="G47" s="1361"/>
      <c r="H47" s="1361"/>
      <c r="I47" s="1361"/>
      <c r="J47" s="1361"/>
      <c r="K47" s="1361"/>
      <c r="L47" s="1361"/>
      <c r="M47" s="1361"/>
      <c r="N47" s="1361"/>
      <c r="O47" s="1361"/>
      <c r="P47" s="1361"/>
      <c r="Q47" s="836"/>
      <c r="R47" s="836"/>
      <c r="S47" s="346"/>
      <c r="T47" s="305" t="s">
        <v>390</v>
      </c>
      <c r="U47" s="305"/>
      <c r="V47" s="305"/>
      <c r="W47" s="305"/>
      <c r="X47" s="305"/>
      <c r="Y47" s="305"/>
      <c r="Z47" s="305"/>
      <c r="AA47" s="344"/>
      <c r="AB47" s="344"/>
      <c r="AC47" s="45"/>
      <c r="AD47" s="296">
        <v>61.3</v>
      </c>
      <c r="AE47" s="297">
        <f t="shared" si="11"/>
        <v>1.055625</v>
      </c>
      <c r="AF47" s="45"/>
    </row>
    <row r="48" spans="1:60" ht="21.75" customHeight="1" x14ac:dyDescent="0.2">
      <c r="A48" s="992"/>
      <c r="B48" s="993"/>
      <c r="C48" s="993"/>
      <c r="D48" s="993"/>
      <c r="E48" s="62"/>
      <c r="I48" s="1112"/>
      <c r="J48" s="1112"/>
      <c r="K48" s="1112"/>
      <c r="L48" s="1112"/>
      <c r="M48" s="1112"/>
      <c r="N48" s="1112"/>
      <c r="O48" s="1112"/>
      <c r="P48" s="1112"/>
      <c r="Q48" s="276"/>
      <c r="R48" s="276"/>
      <c r="S48" s="346"/>
      <c r="T48" s="305"/>
      <c r="U48" s="305"/>
      <c r="V48" s="305"/>
      <c r="W48" s="305"/>
      <c r="X48" s="305"/>
      <c r="Y48" s="305"/>
      <c r="Z48" s="305"/>
      <c r="AA48" s="344"/>
      <c r="AB48" s="344"/>
      <c r="AC48" s="45"/>
      <c r="AD48" s="296">
        <v>61.4</v>
      </c>
      <c r="AE48" s="297">
        <f t="shared" si="11"/>
        <v>1.0525</v>
      </c>
      <c r="AF48" s="45"/>
    </row>
    <row r="49" spans="1:55" ht="33.75" customHeight="1" x14ac:dyDescent="0.2">
      <c r="A49" s="992"/>
      <c r="B49" s="993"/>
      <c r="C49" s="993"/>
      <c r="D49" s="993"/>
      <c r="E49" s="993"/>
      <c r="F49" s="993"/>
      <c r="G49" s="993"/>
      <c r="H49" s="993"/>
      <c r="S49" s="496"/>
      <c r="T49" s="305"/>
      <c r="U49" s="305"/>
      <c r="V49" s="305"/>
      <c r="W49" s="305"/>
      <c r="X49" s="305"/>
      <c r="Y49" s="305"/>
      <c r="Z49" s="305"/>
      <c r="AA49" s="344"/>
      <c r="AB49" s="344"/>
      <c r="AC49" s="45"/>
      <c r="AD49" s="296">
        <v>61.5</v>
      </c>
      <c r="AE49" s="297">
        <f t="shared" si="11"/>
        <v>1.0493749999999999</v>
      </c>
      <c r="AF49" s="45"/>
    </row>
    <row r="50" spans="1:55" ht="12.95" customHeight="1" x14ac:dyDescent="0.2">
      <c r="A50" s="992"/>
      <c r="B50" s="993"/>
      <c r="C50" s="993"/>
      <c r="D50" s="993"/>
      <c r="E50" s="993"/>
      <c r="F50" s="993"/>
      <c r="G50" s="993"/>
      <c r="H50" s="993"/>
      <c r="S50" s="496"/>
      <c r="T50" s="305"/>
      <c r="U50" s="305"/>
      <c r="V50" s="305"/>
      <c r="W50" s="305"/>
      <c r="X50" s="305"/>
      <c r="Y50" s="305"/>
      <c r="Z50" s="305"/>
      <c r="AA50" s="344"/>
      <c r="AB50" s="344"/>
      <c r="AC50" s="45"/>
      <c r="AD50" s="296">
        <v>61.6</v>
      </c>
      <c r="AE50" s="297">
        <f t="shared" si="11"/>
        <v>1.0462499999999999</v>
      </c>
      <c r="AF50" s="45"/>
      <c r="AZ50" s="45"/>
      <c r="BA50" s="45"/>
      <c r="BB50" s="45"/>
      <c r="BC50" s="45"/>
    </row>
    <row r="51" spans="1:55" ht="12.95" customHeight="1" x14ac:dyDescent="0.2">
      <c r="A51" s="992"/>
      <c r="B51" s="993"/>
      <c r="C51" s="993"/>
      <c r="D51" s="993"/>
      <c r="E51" s="62"/>
      <c r="S51" s="365"/>
      <c r="T51" s="305"/>
      <c r="U51" s="305"/>
      <c r="V51" s="305"/>
      <c r="W51" s="305"/>
      <c r="X51" s="305"/>
      <c r="Y51" s="305"/>
      <c r="Z51" s="305"/>
      <c r="AA51" s="344"/>
      <c r="AB51" s="344"/>
      <c r="AC51" s="45"/>
      <c r="AD51" s="296">
        <v>61.7</v>
      </c>
      <c r="AE51" s="297">
        <f t="shared" si="11"/>
        <v>1.0431250000000001</v>
      </c>
      <c r="AF51" s="45"/>
      <c r="AZ51" s="45"/>
      <c r="BA51" s="45"/>
      <c r="BB51" s="45"/>
      <c r="BC51" s="45"/>
    </row>
    <row r="52" spans="1:55" ht="12.95" customHeight="1" x14ac:dyDescent="0.2">
      <c r="A52" s="992"/>
      <c r="B52" s="993"/>
      <c r="C52" s="993"/>
      <c r="D52" s="993"/>
      <c r="E52" s="62"/>
      <c r="S52" s="365"/>
      <c r="T52" s="305"/>
      <c r="U52" s="305"/>
      <c r="V52" s="305"/>
      <c r="W52" s="305"/>
      <c r="X52" s="305"/>
      <c r="Y52" s="305"/>
      <c r="Z52" s="305"/>
      <c r="AA52" s="344"/>
      <c r="AB52" s="344"/>
      <c r="AC52" s="45"/>
      <c r="AD52" s="296">
        <v>61.8</v>
      </c>
      <c r="AE52" s="297">
        <f t="shared" si="11"/>
        <v>1.04</v>
      </c>
      <c r="AF52" s="45"/>
      <c r="AZ52" s="45"/>
      <c r="BA52" s="45"/>
      <c r="BB52" s="45"/>
      <c r="BC52" s="45"/>
    </row>
    <row r="53" spans="1:55" ht="12.95" customHeight="1" x14ac:dyDescent="0.2">
      <c r="A53" s="992"/>
      <c r="B53" s="993"/>
      <c r="C53" s="993"/>
      <c r="D53" s="993"/>
      <c r="S53" s="365"/>
      <c r="T53" s="305"/>
      <c r="U53" s="305"/>
      <c r="V53" s="305"/>
      <c r="W53" s="305"/>
      <c r="X53" s="305"/>
      <c r="Y53" s="305"/>
      <c r="Z53" s="305"/>
      <c r="AA53" s="344"/>
      <c r="AB53" s="344"/>
      <c r="AC53" s="45"/>
      <c r="AD53" s="294">
        <v>61.9</v>
      </c>
      <c r="AE53" s="295">
        <v>1.04</v>
      </c>
      <c r="AF53" s="288"/>
      <c r="AZ53" s="45"/>
      <c r="BA53" s="45"/>
      <c r="BB53" s="45"/>
      <c r="BC53" s="45"/>
    </row>
    <row r="54" spans="1:55" ht="15.75" customHeight="1" x14ac:dyDescent="0.3">
      <c r="A54" s="992"/>
      <c r="B54" s="993"/>
      <c r="C54" s="993"/>
      <c r="D54" s="993"/>
      <c r="S54" s="366"/>
      <c r="T54" s="305"/>
      <c r="U54" s="305"/>
      <c r="V54" s="305"/>
      <c r="W54" s="305"/>
      <c r="X54" s="305"/>
      <c r="Y54" s="305"/>
      <c r="Z54" s="305"/>
      <c r="AA54" s="344"/>
      <c r="AB54" s="344"/>
      <c r="AC54" s="45"/>
      <c r="AD54" s="296">
        <v>62</v>
      </c>
      <c r="AE54" s="297">
        <f t="shared" ref="AE54:AE68" si="12">+$AE$53+((AD54-$AD$53)*(($AE$69-$AE$53)/($AD$69-$AD$53)))</f>
        <v>1.0375000000000001</v>
      </c>
      <c r="AF54" s="335"/>
      <c r="AZ54" s="45"/>
      <c r="BA54" s="45"/>
      <c r="BB54" s="45"/>
      <c r="BC54" s="45"/>
    </row>
    <row r="55" spans="1:55" ht="17.25" customHeight="1" x14ac:dyDescent="0.2">
      <c r="A55" s="992"/>
      <c r="B55" s="993"/>
      <c r="C55" s="993"/>
      <c r="D55" s="993"/>
      <c r="S55" s="497"/>
      <c r="T55" s="344"/>
      <c r="U55" s="344"/>
      <c r="V55" s="344"/>
      <c r="W55" s="344"/>
      <c r="X55" s="344"/>
      <c r="Y55" s="344"/>
      <c r="Z55" s="344"/>
      <c r="AA55" s="344"/>
      <c r="AB55" s="344"/>
      <c r="AC55" s="45"/>
      <c r="AD55" s="296">
        <v>62.1</v>
      </c>
      <c r="AE55" s="297">
        <f t="shared" si="12"/>
        <v>1.0349999999999999</v>
      </c>
      <c r="AZ55" s="45"/>
      <c r="BA55" s="45"/>
      <c r="BB55" s="45"/>
      <c r="BC55" s="45"/>
    </row>
    <row r="56" spans="1:55" ht="14.25" customHeight="1" x14ac:dyDescent="0.2">
      <c r="A56" s="992"/>
      <c r="B56" s="993"/>
      <c r="C56" s="993"/>
      <c r="D56" s="993"/>
      <c r="S56" s="498"/>
      <c r="T56" s="344"/>
      <c r="U56" s="344"/>
      <c r="V56" s="344"/>
      <c r="W56" s="344"/>
      <c r="X56" s="344"/>
      <c r="Y56" s="344"/>
      <c r="Z56" s="344"/>
      <c r="AA56" s="344"/>
      <c r="AB56" s="344"/>
      <c r="AC56" s="45"/>
      <c r="AD56" s="296">
        <v>62.2</v>
      </c>
      <c r="AE56" s="297">
        <f t="shared" si="12"/>
        <v>1.0325</v>
      </c>
      <c r="AZ56" s="45"/>
      <c r="BA56" s="45"/>
      <c r="BB56" s="45"/>
      <c r="BC56" s="45"/>
    </row>
    <row r="57" spans="1:55" ht="13.5" customHeight="1" x14ac:dyDescent="0.2">
      <c r="A57" s="992"/>
      <c r="B57" s="993"/>
      <c r="C57" s="993"/>
      <c r="D57" s="993"/>
      <c r="S57" s="498"/>
      <c r="T57" s="344"/>
      <c r="U57" s="344"/>
      <c r="V57" s="344"/>
      <c r="W57" s="344"/>
      <c r="X57" s="344"/>
      <c r="Y57" s="344"/>
      <c r="Z57" s="344"/>
      <c r="AA57" s="344"/>
      <c r="AB57" s="344"/>
      <c r="AC57" s="45"/>
      <c r="AD57" s="296">
        <v>62.3</v>
      </c>
      <c r="AE57" s="297">
        <f t="shared" si="12"/>
        <v>1.03</v>
      </c>
      <c r="AZ57" s="45"/>
      <c r="BA57" s="45"/>
      <c r="BB57" s="45"/>
      <c r="BC57" s="45"/>
    </row>
    <row r="58" spans="1:55" ht="12" customHeight="1" x14ac:dyDescent="0.2">
      <c r="A58" s="992"/>
      <c r="B58" s="993"/>
      <c r="C58" s="993"/>
      <c r="D58" s="993"/>
      <c r="S58" s="499"/>
      <c r="T58" s="344"/>
      <c r="U58" s="290"/>
      <c r="V58" s="344"/>
      <c r="W58" s="344"/>
      <c r="X58" s="344"/>
      <c r="Y58" s="344"/>
      <c r="Z58" s="344"/>
      <c r="AA58" s="344"/>
      <c r="AB58" s="344"/>
      <c r="AC58" s="45"/>
      <c r="AD58" s="296">
        <v>62.4</v>
      </c>
      <c r="AE58" s="297">
        <f t="shared" si="12"/>
        <v>1.0275000000000001</v>
      </c>
      <c r="AZ58" s="45"/>
      <c r="BA58" s="45"/>
      <c r="BB58" s="45"/>
      <c r="BC58" s="45"/>
    </row>
    <row r="59" spans="1:55" ht="12" customHeight="1" x14ac:dyDescent="0.2">
      <c r="A59" s="992"/>
      <c r="B59" s="993"/>
      <c r="C59" s="993"/>
      <c r="D59" s="993"/>
      <c r="S59" s="499"/>
      <c r="T59" s="344"/>
      <c r="U59" s="290"/>
      <c r="V59" s="344"/>
      <c r="W59" s="344"/>
      <c r="X59" s="344"/>
      <c r="Y59" s="344"/>
      <c r="Z59" s="344"/>
      <c r="AA59" s="344"/>
      <c r="AB59" s="344"/>
      <c r="AC59" s="45"/>
      <c r="AD59" s="296">
        <v>62.5</v>
      </c>
      <c r="AE59" s="297">
        <f t="shared" si="12"/>
        <v>1.0249999999999999</v>
      </c>
      <c r="AZ59" s="45"/>
      <c r="BA59" s="45"/>
      <c r="BB59" s="45"/>
      <c r="BC59" s="45"/>
    </row>
    <row r="60" spans="1:55" ht="12" customHeight="1" x14ac:dyDescent="0.2">
      <c r="A60" s="992"/>
      <c r="B60" s="993"/>
      <c r="C60" s="993"/>
      <c r="D60" s="993"/>
      <c r="S60" s="499"/>
      <c r="T60" s="344"/>
      <c r="U60" s="344"/>
      <c r="V60" s="344"/>
      <c r="W60" s="344"/>
      <c r="X60" s="344"/>
      <c r="Y60" s="344"/>
      <c r="Z60" s="344"/>
      <c r="AA60" s="344"/>
      <c r="AB60" s="344"/>
      <c r="AC60" s="45"/>
      <c r="AD60" s="296">
        <v>62.6</v>
      </c>
      <c r="AE60" s="297">
        <f t="shared" si="12"/>
        <v>1.0225</v>
      </c>
      <c r="AZ60" s="45"/>
      <c r="BA60" s="45"/>
      <c r="BB60" s="45"/>
      <c r="BC60" s="45"/>
    </row>
    <row r="61" spans="1:55" ht="12" customHeight="1" x14ac:dyDescent="0.2">
      <c r="A61" s="992"/>
      <c r="B61" s="993"/>
      <c r="C61" s="993"/>
      <c r="D61" s="993"/>
      <c r="S61" s="500"/>
      <c r="T61" s="344"/>
      <c r="U61" s="344"/>
      <c r="V61" s="344"/>
      <c r="W61" s="344"/>
      <c r="X61" s="344"/>
      <c r="Y61" s="344"/>
      <c r="Z61" s="344"/>
      <c r="AA61" s="344"/>
      <c r="AB61" s="344"/>
      <c r="AC61" s="45"/>
      <c r="AD61" s="296">
        <v>62.7</v>
      </c>
      <c r="AE61" s="297">
        <f t="shared" si="12"/>
        <v>1.02</v>
      </c>
      <c r="AZ61" s="45"/>
      <c r="BA61" s="45"/>
      <c r="BB61" s="45"/>
      <c r="BC61" s="45"/>
    </row>
    <row r="62" spans="1:55" ht="12.95" customHeight="1" x14ac:dyDescent="0.2">
      <c r="A62" s="992"/>
      <c r="B62" s="993"/>
      <c r="C62" s="993"/>
      <c r="D62" s="993"/>
      <c r="S62" s="499"/>
      <c r="T62" s="501"/>
      <c r="U62" s="501"/>
      <c r="V62" s="344"/>
      <c r="W62" s="344"/>
      <c r="X62" s="344"/>
      <c r="Y62" s="344"/>
      <c r="Z62" s="344"/>
      <c r="AA62" s="344"/>
      <c r="AB62" s="344"/>
      <c r="AC62" s="45"/>
      <c r="AD62" s="296">
        <v>62.8</v>
      </c>
      <c r="AE62" s="297">
        <f t="shared" si="12"/>
        <v>1.0175000000000001</v>
      </c>
      <c r="AZ62" s="45"/>
      <c r="BA62" s="45"/>
      <c r="BB62" s="45"/>
      <c r="BC62" s="45"/>
    </row>
    <row r="63" spans="1:55" ht="12.95" customHeight="1" x14ac:dyDescent="0.2">
      <c r="A63" s="992"/>
      <c r="B63" s="993"/>
      <c r="C63" s="993"/>
      <c r="D63" s="993"/>
      <c r="S63" s="497"/>
      <c r="T63" s="344"/>
      <c r="U63" s="344"/>
      <c r="V63" s="344"/>
      <c r="W63" s="344"/>
      <c r="X63" s="344"/>
      <c r="Y63" s="344"/>
      <c r="Z63" s="344"/>
      <c r="AA63" s="344"/>
      <c r="AB63" s="344"/>
      <c r="AC63" s="45"/>
      <c r="AD63" s="296">
        <v>62.9</v>
      </c>
      <c r="AE63" s="297">
        <f t="shared" si="12"/>
        <v>1.0150000000000001</v>
      </c>
      <c r="AZ63" s="45"/>
      <c r="BA63" s="45"/>
      <c r="BB63" s="45"/>
      <c r="BC63" s="45"/>
    </row>
    <row r="64" spans="1:55" ht="24" customHeight="1" x14ac:dyDescent="0.2">
      <c r="A64" s="992"/>
      <c r="B64" s="993"/>
      <c r="C64" s="993"/>
      <c r="D64" s="993"/>
      <c r="S64" s="498"/>
      <c r="T64" s="344"/>
      <c r="U64" s="502"/>
      <c r="V64" s="344"/>
      <c r="W64" s="344"/>
      <c r="X64" s="344"/>
      <c r="Y64" s="344"/>
      <c r="Z64" s="344"/>
      <c r="AA64" s="344"/>
      <c r="AB64" s="344"/>
      <c r="AC64" s="45"/>
      <c r="AD64" s="296">
        <v>63</v>
      </c>
      <c r="AE64" s="297">
        <f t="shared" si="12"/>
        <v>1.0125</v>
      </c>
      <c r="AZ64" s="45"/>
      <c r="BA64" s="45"/>
      <c r="BB64" s="45"/>
      <c r="BC64" s="45"/>
    </row>
    <row r="65" spans="1:55" ht="12.95" customHeight="1" x14ac:dyDescent="0.2">
      <c r="A65" s="992"/>
      <c r="B65" s="993"/>
      <c r="C65" s="993"/>
      <c r="D65" s="993"/>
      <c r="S65" s="109"/>
      <c r="T65" s="344"/>
      <c r="U65" s="503"/>
      <c r="V65" s="344"/>
      <c r="W65" s="344"/>
      <c r="X65" s="344"/>
      <c r="Y65" s="344"/>
      <c r="Z65" s="344"/>
      <c r="AA65" s="344"/>
      <c r="AB65" s="344"/>
      <c r="AC65" s="45"/>
      <c r="AD65" s="296">
        <v>63.1</v>
      </c>
      <c r="AE65" s="297">
        <f t="shared" si="12"/>
        <v>1.01</v>
      </c>
      <c r="AZ65" s="45"/>
      <c r="BA65" s="45"/>
      <c r="BB65" s="45"/>
      <c r="BC65" s="45"/>
    </row>
    <row r="66" spans="1:55" ht="12.95" customHeight="1" x14ac:dyDescent="0.2">
      <c r="A66" s="992"/>
      <c r="B66" s="993"/>
      <c r="C66" s="993"/>
      <c r="D66" s="993"/>
      <c r="S66" s="109"/>
      <c r="T66" s="344"/>
      <c r="U66" s="503"/>
      <c r="V66" s="344"/>
      <c r="W66" s="344"/>
      <c r="X66" s="344"/>
      <c r="Y66" s="344"/>
      <c r="Z66" s="344"/>
      <c r="AA66" s="398"/>
      <c r="AB66" s="398"/>
      <c r="AC66" s="68"/>
      <c r="AD66" s="296">
        <v>63.2</v>
      </c>
      <c r="AE66" s="297">
        <f t="shared" si="12"/>
        <v>1.0074999999999998</v>
      </c>
      <c r="AZ66" s="45"/>
      <c r="BA66" s="45"/>
      <c r="BB66" s="45"/>
      <c r="BC66" s="45"/>
    </row>
    <row r="67" spans="1:55" ht="12.95" customHeight="1" x14ac:dyDescent="0.2">
      <c r="S67" s="109"/>
      <c r="T67" s="344"/>
      <c r="U67" s="503"/>
      <c r="V67" s="344"/>
      <c r="W67" s="344"/>
      <c r="X67" s="344"/>
      <c r="Y67" s="344"/>
      <c r="Z67" s="344"/>
      <c r="AA67" s="398"/>
      <c r="AB67" s="398"/>
      <c r="AC67" s="68"/>
      <c r="AD67" s="296">
        <v>63.3</v>
      </c>
      <c r="AE67" s="297">
        <f t="shared" si="12"/>
        <v>1.0050000000000001</v>
      </c>
      <c r="AZ67" s="45"/>
      <c r="BA67" s="45"/>
      <c r="BB67" s="45"/>
      <c r="BC67" s="45"/>
    </row>
    <row r="68" spans="1:55" ht="12.95" customHeight="1" x14ac:dyDescent="0.2">
      <c r="S68" s="109"/>
      <c r="T68" s="344"/>
      <c r="U68" s="503"/>
      <c r="V68" s="344"/>
      <c r="W68" s="499"/>
      <c r="X68" s="499"/>
      <c r="Y68" s="499"/>
      <c r="Z68" s="499"/>
      <c r="AA68" s="499"/>
      <c r="AB68" s="499"/>
      <c r="AC68" s="129"/>
      <c r="AD68" s="296">
        <v>63.4</v>
      </c>
      <c r="AE68" s="297">
        <f t="shared" si="12"/>
        <v>1.0024999999999999</v>
      </c>
      <c r="AZ68" s="45"/>
      <c r="BA68" s="45"/>
      <c r="BB68" s="45"/>
      <c r="BC68" s="45"/>
    </row>
    <row r="69" spans="1:55" ht="12.95" customHeight="1" x14ac:dyDescent="0.2">
      <c r="S69" s="504"/>
      <c r="T69" s="344"/>
      <c r="U69" s="499"/>
      <c r="V69" s="344"/>
      <c r="W69" s="505"/>
      <c r="X69" s="506"/>
      <c r="Y69" s="506"/>
      <c r="Z69" s="399"/>
      <c r="AA69" s="399"/>
      <c r="AB69" s="399"/>
      <c r="AC69" s="291"/>
      <c r="AD69" s="294">
        <v>63.5</v>
      </c>
      <c r="AE69" s="295">
        <v>1</v>
      </c>
      <c r="AZ69" s="45"/>
      <c r="BA69" s="45"/>
      <c r="BB69" s="45"/>
      <c r="BC69" s="45"/>
    </row>
    <row r="70" spans="1:55" ht="12.95" customHeight="1" x14ac:dyDescent="0.2">
      <c r="S70" s="504"/>
      <c r="T70" s="344"/>
      <c r="U70" s="344"/>
      <c r="V70" s="344"/>
      <c r="W70" s="507"/>
      <c r="X70" s="508"/>
      <c r="Y70" s="399"/>
      <c r="Z70" s="399"/>
      <c r="AA70" s="399"/>
      <c r="AB70" s="399"/>
      <c r="AC70" s="291"/>
      <c r="AD70" s="296">
        <v>63.6</v>
      </c>
      <c r="AE70" s="297">
        <f t="shared" ref="AE70:AE84" si="13">+$AE$69+((AD70-$AD$69)*(($AE$85-$AE$69)/($AD$85-$AD$69)))</f>
        <v>0.99749999999999994</v>
      </c>
      <c r="AZ70" s="45"/>
      <c r="BA70" s="45"/>
      <c r="BB70" s="45"/>
      <c r="BC70" s="45"/>
    </row>
    <row r="71" spans="1:55" ht="12.95" customHeight="1" x14ac:dyDescent="0.2">
      <c r="S71" s="509"/>
      <c r="T71" s="510"/>
      <c r="U71" s="510"/>
      <c r="V71" s="1357"/>
      <c r="W71" s="507"/>
      <c r="X71" s="511"/>
      <c r="Y71" s="511"/>
      <c r="Z71" s="511"/>
      <c r="AA71" s="511"/>
      <c r="AB71" s="511"/>
      <c r="AC71" s="54"/>
      <c r="AD71" s="296">
        <v>63.7</v>
      </c>
      <c r="AE71" s="297">
        <f t="shared" si="13"/>
        <v>0.99499999999999988</v>
      </c>
      <c r="AZ71" s="45"/>
      <c r="BA71" s="45"/>
      <c r="BB71" s="45"/>
      <c r="BC71" s="45"/>
    </row>
    <row r="72" spans="1:55" ht="12.95" customHeight="1" x14ac:dyDescent="0.2">
      <c r="S72" s="509"/>
      <c r="T72" s="510"/>
      <c r="U72" s="510"/>
      <c r="V72" s="1357"/>
      <c r="W72" s="344"/>
      <c r="X72" s="511"/>
      <c r="Y72" s="511"/>
      <c r="Z72" s="511"/>
      <c r="AA72" s="511"/>
      <c r="AB72" s="511"/>
      <c r="AC72" s="54"/>
      <c r="AD72" s="296">
        <v>63.8</v>
      </c>
      <c r="AE72" s="297">
        <f t="shared" si="13"/>
        <v>0.99250000000000005</v>
      </c>
      <c r="AZ72" s="45"/>
      <c r="BA72" s="45"/>
      <c r="BB72" s="45"/>
      <c r="BC72" s="45"/>
    </row>
    <row r="73" spans="1:55" ht="12.95" customHeight="1" x14ac:dyDescent="0.2">
      <c r="S73" s="509"/>
      <c r="T73" s="510"/>
      <c r="U73" s="510"/>
      <c r="V73" s="1357"/>
      <c r="W73" s="344"/>
      <c r="X73" s="511"/>
      <c r="Y73" s="511"/>
      <c r="Z73" s="511"/>
      <c r="AA73" s="511"/>
      <c r="AB73" s="511"/>
      <c r="AC73" s="54"/>
      <c r="AD73" s="296">
        <v>63.9</v>
      </c>
      <c r="AE73" s="297">
        <f t="shared" si="13"/>
        <v>0.99</v>
      </c>
      <c r="AZ73" s="45"/>
      <c r="BA73" s="45"/>
      <c r="BB73" s="45"/>
      <c r="BC73" s="45"/>
    </row>
    <row r="74" spans="1:55" ht="12.95" customHeight="1" x14ac:dyDescent="0.2">
      <c r="S74" s="512"/>
      <c r="T74" s="510"/>
      <c r="U74" s="510"/>
      <c r="V74" s="1357"/>
      <c r="W74" s="344"/>
      <c r="X74" s="511"/>
      <c r="Y74" s="511"/>
      <c r="Z74" s="511"/>
      <c r="AA74" s="511"/>
      <c r="AB74" s="511"/>
      <c r="AC74" s="54"/>
      <c r="AD74" s="296">
        <v>64</v>
      </c>
      <c r="AE74" s="297">
        <f t="shared" si="13"/>
        <v>0.98749999999999993</v>
      </c>
      <c r="AZ74" s="45"/>
      <c r="BA74" s="45"/>
      <c r="BB74" s="45"/>
      <c r="BC74" s="45"/>
    </row>
    <row r="75" spans="1:55" ht="12.95" customHeight="1" x14ac:dyDescent="0.2">
      <c r="S75" s="513"/>
      <c r="T75" s="344"/>
      <c r="U75" s="344"/>
      <c r="V75" s="1357"/>
      <c r="W75" s="344"/>
      <c r="X75" s="511"/>
      <c r="Y75" s="511"/>
      <c r="Z75" s="511"/>
      <c r="AA75" s="511"/>
      <c r="AB75" s="511"/>
      <c r="AC75" s="54"/>
      <c r="AD75" s="296">
        <v>64.100000000000094</v>
      </c>
      <c r="AE75" s="297">
        <f t="shared" si="13"/>
        <v>0.98499999999999754</v>
      </c>
      <c r="AZ75" s="45"/>
      <c r="BA75" s="45"/>
      <c r="BB75" s="45"/>
      <c r="BC75" s="45"/>
    </row>
    <row r="76" spans="1:55" ht="12.95" customHeight="1" x14ac:dyDescent="0.2">
      <c r="S76" s="513"/>
      <c r="T76" s="510"/>
      <c r="U76" s="344"/>
      <c r="V76" s="1357"/>
      <c r="W76" s="507"/>
      <c r="X76" s="511"/>
      <c r="Y76" s="511"/>
      <c r="Z76" s="511"/>
      <c r="AA76" s="511"/>
      <c r="AB76" s="511"/>
      <c r="AC76" s="54"/>
      <c r="AD76" s="296">
        <v>64.200000000000102</v>
      </c>
      <c r="AE76" s="297">
        <f t="shared" si="13"/>
        <v>0.98249999999999738</v>
      </c>
      <c r="AZ76" s="45"/>
      <c r="BA76" s="45"/>
      <c r="BB76" s="45"/>
      <c r="BC76" s="45"/>
    </row>
    <row r="77" spans="1:55" ht="12.95" customHeight="1" x14ac:dyDescent="0.2">
      <c r="S77" s="513"/>
      <c r="T77" s="344"/>
      <c r="U77" s="344"/>
      <c r="V77" s="1357"/>
      <c r="W77" s="344"/>
      <c r="X77" s="511"/>
      <c r="Y77" s="511"/>
      <c r="Z77" s="511"/>
      <c r="AA77" s="511"/>
      <c r="AB77" s="511"/>
      <c r="AC77" s="54"/>
      <c r="AD77" s="296">
        <v>64.300000000000097</v>
      </c>
      <c r="AE77" s="297">
        <f t="shared" si="13"/>
        <v>0.97999999999999754</v>
      </c>
      <c r="AZ77" s="45"/>
      <c r="BA77" s="45"/>
      <c r="BB77" s="45"/>
      <c r="BC77" s="45"/>
    </row>
    <row r="78" spans="1:55" ht="12.95" customHeight="1" x14ac:dyDescent="0.2">
      <c r="E78" s="17"/>
      <c r="F78" s="17"/>
      <c r="S78" s="513"/>
      <c r="T78" s="344"/>
      <c r="U78" s="344"/>
      <c r="V78" s="1357"/>
      <c r="W78" s="344"/>
      <c r="X78" s="511"/>
      <c r="Y78" s="511"/>
      <c r="Z78" s="511"/>
      <c r="AA78" s="511"/>
      <c r="AB78" s="511"/>
      <c r="AC78" s="54"/>
      <c r="AD78" s="296">
        <v>64.400000000000006</v>
      </c>
      <c r="AE78" s="297">
        <f t="shared" si="13"/>
        <v>0.97749999999999981</v>
      </c>
      <c r="AZ78" s="45"/>
      <c r="BA78" s="45"/>
      <c r="BB78" s="45"/>
      <c r="BC78" s="45"/>
    </row>
    <row r="79" spans="1:55" ht="12.95" customHeight="1" x14ac:dyDescent="0.2">
      <c r="E79" s="17"/>
      <c r="F79" s="17"/>
      <c r="S79" s="513"/>
      <c r="T79" s="344"/>
      <c r="U79" s="344"/>
      <c r="V79" s="1357"/>
      <c r="W79" s="344"/>
      <c r="X79" s="511"/>
      <c r="Y79" s="511"/>
      <c r="Z79" s="511"/>
      <c r="AA79" s="511"/>
      <c r="AB79" s="511"/>
      <c r="AC79" s="54"/>
      <c r="AD79" s="296">
        <v>64.5</v>
      </c>
      <c r="AE79" s="297">
        <f t="shared" si="13"/>
        <v>0.97499999999999987</v>
      </c>
      <c r="AZ79" s="45"/>
      <c r="BA79" s="45"/>
      <c r="BB79" s="45"/>
      <c r="BC79" s="45"/>
    </row>
    <row r="80" spans="1:55" s="17" customFormat="1" ht="12.95" customHeight="1" x14ac:dyDescent="0.2">
      <c r="A80" s="11"/>
      <c r="B80" s="11"/>
      <c r="C80" s="11"/>
      <c r="D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513"/>
      <c r="T80" s="398"/>
      <c r="U80" s="398"/>
      <c r="V80" s="398"/>
      <c r="W80" s="344"/>
      <c r="X80" s="511"/>
      <c r="Y80" s="511"/>
      <c r="Z80" s="511"/>
      <c r="AA80" s="511"/>
      <c r="AB80" s="511"/>
      <c r="AC80" s="54"/>
      <c r="AD80" s="296">
        <v>64.599999999999994</v>
      </c>
      <c r="AE80" s="297">
        <f t="shared" si="13"/>
        <v>0.97250000000000003</v>
      </c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68"/>
      <c r="BA80" s="68"/>
      <c r="BB80" s="68"/>
      <c r="BC80" s="68"/>
    </row>
    <row r="81" spans="1:55" s="17" customFormat="1" ht="12.95" customHeight="1" x14ac:dyDescent="0.2">
      <c r="A81" s="11"/>
      <c r="B81" s="11"/>
      <c r="C81" s="11"/>
      <c r="D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513"/>
      <c r="T81" s="398"/>
      <c r="U81" s="398"/>
      <c r="V81" s="398"/>
      <c r="W81" s="507"/>
      <c r="X81" s="511"/>
      <c r="Y81" s="511"/>
      <c r="Z81" s="511"/>
      <c r="AA81" s="511"/>
      <c r="AB81" s="511"/>
      <c r="AC81" s="54"/>
      <c r="AD81" s="296">
        <v>64.7</v>
      </c>
      <c r="AE81" s="297">
        <f t="shared" si="13"/>
        <v>0.96999999999999975</v>
      </c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68"/>
      <c r="BA81" s="68"/>
      <c r="BB81" s="68"/>
      <c r="BC81" s="68"/>
    </row>
    <row r="82" spans="1:55" s="17" customFormat="1" ht="12.95" customHeight="1" x14ac:dyDescent="0.2">
      <c r="A82" s="11"/>
      <c r="B82" s="11"/>
      <c r="C82" s="11"/>
      <c r="D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513"/>
      <c r="T82" s="398"/>
      <c r="U82" s="398"/>
      <c r="V82" s="1358"/>
      <c r="W82" s="344"/>
      <c r="X82" s="511"/>
      <c r="Y82" s="511"/>
      <c r="Z82" s="511"/>
      <c r="AA82" s="511"/>
      <c r="AB82" s="511"/>
      <c r="AC82" s="54"/>
      <c r="AD82" s="296">
        <v>64.8</v>
      </c>
      <c r="AE82" s="297">
        <f t="shared" si="13"/>
        <v>0.96749999999999992</v>
      </c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68"/>
      <c r="BA82" s="68"/>
      <c r="BB82" s="68"/>
      <c r="BC82" s="68"/>
    </row>
    <row r="83" spans="1:55" s="17" customFormat="1" ht="12.95" customHeight="1" x14ac:dyDescent="0.2">
      <c r="A83" s="11"/>
      <c r="B83" s="11"/>
      <c r="C83" s="11"/>
      <c r="D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513"/>
      <c r="T83" s="398"/>
      <c r="U83" s="398"/>
      <c r="V83" s="1358"/>
      <c r="W83" s="344"/>
      <c r="X83" s="511"/>
      <c r="Y83" s="511"/>
      <c r="Z83" s="511"/>
      <c r="AA83" s="511"/>
      <c r="AB83" s="511"/>
      <c r="AC83" s="54"/>
      <c r="AD83" s="296">
        <v>64.900000000000006</v>
      </c>
      <c r="AE83" s="297">
        <f t="shared" si="13"/>
        <v>0.96499999999999975</v>
      </c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68"/>
      <c r="BA83" s="68"/>
      <c r="BB83" s="68"/>
      <c r="BC83" s="68"/>
    </row>
    <row r="84" spans="1:55" s="17" customFormat="1" ht="11.1" customHeight="1" x14ac:dyDescent="0.2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344"/>
      <c r="T84" s="398"/>
      <c r="U84" s="398"/>
      <c r="V84" s="1358"/>
      <c r="W84" s="344"/>
      <c r="X84" s="511"/>
      <c r="Y84" s="511"/>
      <c r="Z84" s="511"/>
      <c r="AA84" s="511"/>
      <c r="AB84" s="511"/>
      <c r="AC84" s="54"/>
      <c r="AD84" s="296">
        <v>65</v>
      </c>
      <c r="AE84" s="297">
        <f t="shared" si="13"/>
        <v>0.9624999999999998</v>
      </c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68"/>
      <c r="BA84" s="68"/>
      <c r="BB84" s="68"/>
      <c r="BC84" s="68"/>
    </row>
    <row r="85" spans="1:55" s="17" customFormat="1" ht="11.1" customHeight="1" x14ac:dyDescent="0.2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344"/>
      <c r="T85" s="398"/>
      <c r="U85" s="398"/>
      <c r="V85" s="398"/>
      <c r="W85" s="344"/>
      <c r="X85" s="511"/>
      <c r="Y85" s="511"/>
      <c r="Z85" s="511"/>
      <c r="AA85" s="511"/>
      <c r="AB85" s="511"/>
      <c r="AC85" s="54"/>
      <c r="AD85" s="294">
        <v>65.099999999999994</v>
      </c>
      <c r="AE85" s="295">
        <v>0.96</v>
      </c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68"/>
      <c r="BA85" s="68"/>
      <c r="BB85" s="68"/>
      <c r="BC85" s="68"/>
    </row>
    <row r="86" spans="1:55" ht="11.1" customHeight="1" x14ac:dyDescent="0.2">
      <c r="S86" s="344"/>
      <c r="T86" s="344"/>
      <c r="U86" s="344"/>
      <c r="V86" s="344"/>
      <c r="W86" s="398"/>
      <c r="X86" s="398"/>
      <c r="Y86" s="398"/>
      <c r="Z86" s="398"/>
      <c r="AA86" s="344"/>
      <c r="AB86" s="344"/>
      <c r="AC86" s="45"/>
      <c r="AD86" s="296">
        <v>65.2</v>
      </c>
      <c r="AE86" s="297">
        <f t="shared" ref="AE86:AE100" si="14">+$AE$85+((AD86-$AD$85)*(($AE$101-$AE$85)/($AD$101-$AD$85)))</f>
        <v>0.95812499999999978</v>
      </c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</row>
    <row r="87" spans="1:55" ht="11.1" customHeight="1" x14ac:dyDescent="0.2">
      <c r="S87" s="344"/>
      <c r="T87" s="344"/>
      <c r="U87" s="344"/>
      <c r="V87" s="344"/>
      <c r="W87" s="398"/>
      <c r="X87" s="398"/>
      <c r="Y87" s="398"/>
      <c r="Z87" s="398"/>
      <c r="AA87" s="344"/>
      <c r="AB87" s="344"/>
      <c r="AC87" s="45"/>
      <c r="AD87" s="296">
        <v>65.3</v>
      </c>
      <c r="AE87" s="297">
        <f t="shared" si="14"/>
        <v>0.95624999999999993</v>
      </c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</row>
    <row r="88" spans="1:55" ht="11.1" customHeight="1" x14ac:dyDescent="0.2">
      <c r="S88" s="344"/>
      <c r="T88" s="344"/>
      <c r="U88" s="344"/>
      <c r="V88" s="344"/>
      <c r="W88" s="398"/>
      <c r="X88" s="398"/>
      <c r="Y88" s="398"/>
      <c r="Z88" s="398"/>
      <c r="AA88" s="406"/>
      <c r="AB88" s="406"/>
      <c r="AC88" s="57"/>
      <c r="AD88" s="296">
        <v>65.400000000000006</v>
      </c>
      <c r="AE88" s="297">
        <f t="shared" si="14"/>
        <v>0.95437499999999975</v>
      </c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</row>
    <row r="89" spans="1:55" ht="11.1" customHeight="1" x14ac:dyDescent="0.2">
      <c r="S89" s="344"/>
      <c r="T89" s="344"/>
      <c r="U89" s="344"/>
      <c r="V89" s="344"/>
      <c r="W89" s="398"/>
      <c r="X89" s="398"/>
      <c r="Y89" s="398"/>
      <c r="Z89" s="398"/>
      <c r="AA89" s="406"/>
      <c r="AB89" s="406"/>
      <c r="AC89" s="57"/>
      <c r="AD89" s="296">
        <v>65.5</v>
      </c>
      <c r="AE89" s="297">
        <f t="shared" si="14"/>
        <v>0.9524999999999999</v>
      </c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</row>
    <row r="90" spans="1:55" ht="11.1" customHeight="1" x14ac:dyDescent="0.2">
      <c r="S90" s="344"/>
      <c r="T90" s="344"/>
      <c r="U90" s="344"/>
      <c r="V90" s="344"/>
      <c r="W90" s="398"/>
      <c r="X90" s="398"/>
      <c r="Y90" s="398"/>
      <c r="Z90" s="398"/>
      <c r="AA90" s="406"/>
      <c r="AB90" s="406"/>
      <c r="AC90" s="57"/>
      <c r="AD90" s="296">
        <v>65.599999999999994</v>
      </c>
      <c r="AE90" s="297">
        <f t="shared" si="14"/>
        <v>0.95062500000000005</v>
      </c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</row>
    <row r="91" spans="1:55" ht="11.1" customHeight="1" x14ac:dyDescent="0.2">
      <c r="S91" s="344"/>
      <c r="T91" s="344"/>
      <c r="U91" s="344"/>
      <c r="V91" s="344"/>
      <c r="W91" s="398"/>
      <c r="X91" s="398"/>
      <c r="Y91" s="398"/>
      <c r="Z91" s="398"/>
      <c r="AA91" s="406"/>
      <c r="AB91" s="406"/>
      <c r="AC91" s="282"/>
      <c r="AD91" s="296">
        <v>65.7</v>
      </c>
      <c r="AE91" s="297">
        <f t="shared" si="14"/>
        <v>0.94874999999999987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</row>
    <row r="92" spans="1:55" ht="11.1" customHeight="1" x14ac:dyDescent="0.2">
      <c r="S92" s="344"/>
      <c r="T92" s="344"/>
      <c r="U92" s="344"/>
      <c r="V92" s="344"/>
      <c r="W92" s="344"/>
      <c r="X92" s="344"/>
      <c r="Y92" s="344"/>
      <c r="Z92" s="344"/>
      <c r="AA92" s="406"/>
      <c r="AB92" s="406"/>
      <c r="AC92" s="241"/>
      <c r="AD92" s="296">
        <v>65.8</v>
      </c>
      <c r="AE92" s="297">
        <f t="shared" si="14"/>
        <v>0.94687500000000002</v>
      </c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</row>
    <row r="93" spans="1:55" ht="11.1" customHeight="1" x14ac:dyDescent="0.2">
      <c r="S93" s="344"/>
      <c r="T93" s="344"/>
      <c r="U93" s="344"/>
      <c r="V93" s="344"/>
      <c r="W93" s="344"/>
      <c r="X93" s="344"/>
      <c r="Y93" s="344"/>
      <c r="Z93" s="344"/>
      <c r="AA93" s="514"/>
      <c r="AB93" s="514"/>
      <c r="AC93" s="306"/>
      <c r="AD93" s="296">
        <v>65.900000000000006</v>
      </c>
      <c r="AE93" s="297">
        <f t="shared" si="14"/>
        <v>0.94499999999999984</v>
      </c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</row>
    <row r="94" spans="1:55" ht="11.1" customHeight="1" x14ac:dyDescent="0.2">
      <c r="E94" s="18"/>
      <c r="F94" s="18"/>
      <c r="S94" s="344"/>
      <c r="T94" s="344"/>
      <c r="U94" s="344"/>
      <c r="V94" s="344"/>
      <c r="W94" s="344"/>
      <c r="X94" s="344"/>
      <c r="Y94" s="344"/>
      <c r="Z94" s="344"/>
      <c r="AA94" s="417"/>
      <c r="AB94" s="417"/>
      <c r="AC94" s="241"/>
      <c r="AD94" s="296">
        <v>66</v>
      </c>
      <c r="AE94" s="297">
        <f t="shared" si="14"/>
        <v>0.94312499999999999</v>
      </c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</row>
    <row r="95" spans="1:55" ht="11.1" customHeight="1" x14ac:dyDescent="0.2">
      <c r="E95" s="18"/>
      <c r="F95" s="18"/>
      <c r="S95" s="344"/>
      <c r="T95" s="344"/>
      <c r="U95" s="344"/>
      <c r="V95" s="344"/>
      <c r="W95" s="344"/>
      <c r="X95" s="344"/>
      <c r="Y95" s="344"/>
      <c r="Z95" s="344"/>
      <c r="AA95" s="406"/>
      <c r="AB95" s="406"/>
      <c r="AC95" s="241"/>
      <c r="AD95" s="296">
        <v>66.099999999999994</v>
      </c>
      <c r="AE95" s="297">
        <f t="shared" si="14"/>
        <v>0.94125000000000014</v>
      </c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</row>
    <row r="96" spans="1:55" s="18" customFormat="1" ht="11.1" customHeight="1" x14ac:dyDescent="0.2">
      <c r="A96" s="11"/>
      <c r="B96" s="11"/>
      <c r="C96" s="11"/>
      <c r="D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344"/>
      <c r="T96" s="417"/>
      <c r="U96" s="419"/>
      <c r="V96" s="417"/>
      <c r="W96" s="344"/>
      <c r="X96" s="344"/>
      <c r="Y96" s="344"/>
      <c r="Z96" s="344"/>
      <c r="AA96" s="417"/>
      <c r="AB96" s="417"/>
      <c r="AC96" s="71"/>
      <c r="AD96" s="296">
        <v>66.2</v>
      </c>
      <c r="AE96" s="297">
        <f t="shared" si="14"/>
        <v>0.93937499999999996</v>
      </c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57"/>
      <c r="BA96" s="57"/>
      <c r="BB96" s="57"/>
      <c r="BC96" s="57"/>
    </row>
    <row r="97" spans="1:55" s="18" customFormat="1" ht="11.1" customHeight="1" x14ac:dyDescent="0.2">
      <c r="A97" s="11"/>
      <c r="B97" s="11"/>
      <c r="C97" s="11"/>
      <c r="D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344"/>
      <c r="T97" s="417"/>
      <c r="U97" s="419"/>
      <c r="V97" s="417"/>
      <c r="W97" s="344"/>
      <c r="X97" s="344"/>
      <c r="Y97" s="344"/>
      <c r="Z97" s="344"/>
      <c r="AA97" s="417"/>
      <c r="AB97" s="417"/>
      <c r="AC97" s="71"/>
      <c r="AD97" s="296">
        <v>66.300000000000097</v>
      </c>
      <c r="AE97" s="297">
        <f t="shared" si="14"/>
        <v>0.93749999999999822</v>
      </c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57"/>
      <c r="BA97" s="57"/>
      <c r="BB97" s="57"/>
      <c r="BC97" s="57"/>
    </row>
    <row r="98" spans="1:55" s="18" customFormat="1" ht="11.1" customHeight="1" x14ac:dyDescent="0.2">
      <c r="A98" s="11"/>
      <c r="B98" s="11"/>
      <c r="C98" s="11"/>
      <c r="D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344"/>
      <c r="T98" s="406"/>
      <c r="U98" s="406"/>
      <c r="V98" s="406"/>
      <c r="W98" s="344"/>
      <c r="X98" s="344"/>
      <c r="Y98" s="344"/>
      <c r="Z98" s="344"/>
      <c r="AA98" s="417"/>
      <c r="AB98" s="417"/>
      <c r="AC98" s="336"/>
      <c r="AD98" s="296">
        <v>66.400000000000006</v>
      </c>
      <c r="AE98" s="297">
        <f t="shared" si="14"/>
        <v>0.93562499999999993</v>
      </c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57"/>
      <c r="BA98" s="57"/>
      <c r="BB98" s="57"/>
      <c r="BC98" s="57"/>
    </row>
    <row r="99" spans="1:55" s="18" customFormat="1" ht="11.1" customHeight="1" x14ac:dyDescent="0.2">
      <c r="A99" s="11"/>
      <c r="B99" s="11"/>
      <c r="C99" s="11"/>
      <c r="D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344"/>
      <c r="T99" s="406"/>
      <c r="U99" s="406"/>
      <c r="V99" s="406"/>
      <c r="W99" s="344"/>
      <c r="X99" s="344"/>
      <c r="Y99" s="344"/>
      <c r="Z99" s="344"/>
      <c r="AA99" s="417"/>
      <c r="AB99" s="417"/>
      <c r="AC99" s="336"/>
      <c r="AD99" s="296">
        <v>66.500000000000099</v>
      </c>
      <c r="AE99" s="297">
        <f t="shared" si="14"/>
        <v>0.93374999999999819</v>
      </c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57"/>
      <c r="BA99" s="57"/>
      <c r="BB99" s="57"/>
      <c r="BC99" s="57"/>
    </row>
    <row r="100" spans="1:55" s="18" customFormat="1" ht="11.1" customHeight="1" x14ac:dyDescent="0.2">
      <c r="A100" s="11"/>
      <c r="B100" s="11"/>
      <c r="C100" s="11"/>
      <c r="D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515"/>
      <c r="T100" s="516"/>
      <c r="U100" s="516"/>
      <c r="V100" s="516"/>
      <c r="W100" s="344"/>
      <c r="X100" s="344"/>
      <c r="Y100" s="344"/>
      <c r="Z100" s="344"/>
      <c r="AA100" s="417"/>
      <c r="AB100" s="417"/>
      <c r="AC100" s="337"/>
      <c r="AD100" s="296">
        <v>66.600000000000094</v>
      </c>
      <c r="AE100" s="297">
        <f t="shared" si="14"/>
        <v>0.93187499999999834</v>
      </c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57"/>
      <c r="BA100" s="57"/>
      <c r="BB100" s="57"/>
      <c r="BC100" s="57"/>
    </row>
    <row r="101" spans="1:55" s="18" customFormat="1" ht="11.1" customHeight="1" x14ac:dyDescent="0.2">
      <c r="A101" s="11"/>
      <c r="B101" s="11"/>
      <c r="C101" s="11"/>
      <c r="D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493"/>
      <c r="T101" s="514"/>
      <c r="U101" s="514"/>
      <c r="V101" s="514"/>
      <c r="W101" s="344"/>
      <c r="X101" s="344"/>
      <c r="Y101" s="344"/>
      <c r="Z101" s="344"/>
      <c r="AA101" s="417"/>
      <c r="AB101" s="417"/>
      <c r="AC101" s="337"/>
      <c r="AD101" s="294">
        <v>66.7</v>
      </c>
      <c r="AE101" s="295">
        <v>0.93</v>
      </c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57"/>
      <c r="BA101" s="57"/>
      <c r="BB101" s="57"/>
      <c r="BC101" s="57"/>
    </row>
    <row r="102" spans="1:55" s="18" customFormat="1" ht="10.5" customHeight="1" x14ac:dyDescent="0.2">
      <c r="A102" s="11"/>
      <c r="B102" s="11"/>
      <c r="C102" s="11"/>
      <c r="D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517"/>
      <c r="T102" s="417"/>
      <c r="U102" s="419"/>
      <c r="V102" s="417"/>
      <c r="W102" s="516"/>
      <c r="X102" s="516"/>
      <c r="Y102" s="516"/>
      <c r="Z102" s="516"/>
      <c r="AA102" s="417"/>
      <c r="AB102" s="417"/>
      <c r="AC102" s="308"/>
      <c r="AD102" s="296">
        <v>66.8</v>
      </c>
      <c r="AE102" s="297">
        <f t="shared" ref="AE102:AE116" si="15">+$AE$101+((AD102-$AD$101)*(($AE$117-$AE$101)/($AD$117-$AD$101)))</f>
        <v>0.92750000000000032</v>
      </c>
      <c r="AF102" s="68"/>
      <c r="AG102" s="68"/>
      <c r="AH102" s="68"/>
      <c r="AI102" s="68"/>
      <c r="AJ102" s="68"/>
      <c r="AK102" s="68"/>
      <c r="AL102" s="68"/>
      <c r="AM102" s="68"/>
      <c r="AN102" s="68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57"/>
      <c r="BA102" s="57"/>
      <c r="BB102" s="57"/>
      <c r="BC102" s="57"/>
    </row>
    <row r="103" spans="1:55" s="18" customFormat="1" ht="18" customHeight="1" x14ac:dyDescent="0.2">
      <c r="A103" s="11"/>
      <c r="B103" s="11"/>
      <c r="C103" s="11"/>
      <c r="D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518"/>
      <c r="T103" s="417"/>
      <c r="U103" s="419"/>
      <c r="V103" s="417"/>
      <c r="W103" s="516"/>
      <c r="X103" s="516"/>
      <c r="Y103" s="516"/>
      <c r="Z103" s="516"/>
      <c r="AA103" s="417"/>
      <c r="AB103" s="417"/>
      <c r="AC103" s="308"/>
      <c r="AD103" s="296">
        <v>66.900000000000006</v>
      </c>
      <c r="AE103" s="297">
        <f t="shared" si="15"/>
        <v>0.92500000000000027</v>
      </c>
      <c r="AF103" s="68"/>
      <c r="AG103" s="68"/>
      <c r="AH103" s="68"/>
      <c r="AI103" s="68"/>
      <c r="AJ103" s="68"/>
      <c r="AK103" s="68"/>
      <c r="AL103" s="68"/>
      <c r="AM103" s="68"/>
      <c r="AN103" s="68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57"/>
      <c r="BA103" s="57"/>
      <c r="BB103" s="57"/>
      <c r="BC103" s="57"/>
    </row>
    <row r="104" spans="1:55" s="18" customFormat="1" ht="27.95" customHeight="1" x14ac:dyDescent="0.2">
      <c r="A104" s="11"/>
      <c r="B104" s="11"/>
      <c r="C104" s="11"/>
      <c r="D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494"/>
      <c r="T104" s="417"/>
      <c r="U104" s="419"/>
      <c r="V104" s="417"/>
      <c r="W104" s="406"/>
      <c r="X104" s="406"/>
      <c r="Y104" s="406"/>
      <c r="Z104" s="406"/>
      <c r="AA104" s="417"/>
      <c r="AB104" s="417"/>
      <c r="AC104" s="311"/>
      <c r="AD104" s="296">
        <v>67</v>
      </c>
      <c r="AE104" s="297">
        <f t="shared" si="15"/>
        <v>0.92250000000000054</v>
      </c>
      <c r="AF104" s="129"/>
      <c r="AG104" s="129"/>
      <c r="AH104" s="129"/>
      <c r="AI104" s="45"/>
      <c r="AJ104" s="45"/>
      <c r="AK104" s="45"/>
      <c r="AL104" s="68"/>
      <c r="AM104" s="68"/>
      <c r="AN104" s="68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57"/>
      <c r="BA104" s="57"/>
      <c r="BB104" s="57"/>
      <c r="BC104" s="57"/>
    </row>
    <row r="105" spans="1:55" s="18" customFormat="1" ht="9.75" customHeight="1" x14ac:dyDescent="0.2">
      <c r="A105" s="11"/>
      <c r="B105" s="11"/>
      <c r="C105" s="11"/>
      <c r="D105" s="11"/>
      <c r="G105" s="11"/>
      <c r="H105" s="11"/>
      <c r="I105" s="11"/>
      <c r="J105" s="11"/>
      <c r="K105" s="1"/>
      <c r="L105" s="1"/>
      <c r="M105" s="11"/>
      <c r="N105" s="11"/>
      <c r="O105" s="11"/>
      <c r="P105" s="11"/>
      <c r="Q105" s="11"/>
      <c r="R105" s="11"/>
      <c r="S105" s="494"/>
      <c r="T105" s="417"/>
      <c r="U105" s="419"/>
      <c r="V105" s="417"/>
      <c r="W105" s="406"/>
      <c r="X105" s="406"/>
      <c r="Y105" s="406"/>
      <c r="Z105" s="406"/>
      <c r="AA105" s="417"/>
      <c r="AB105" s="417"/>
      <c r="AC105" s="338"/>
      <c r="AD105" s="296">
        <v>67.099999999999994</v>
      </c>
      <c r="AE105" s="297">
        <f t="shared" si="15"/>
        <v>0.92000000000000082</v>
      </c>
      <c r="AF105" s="291"/>
      <c r="AG105" s="291"/>
      <c r="AH105" s="291"/>
      <c r="AI105" s="291"/>
      <c r="AJ105" s="291"/>
      <c r="AK105" s="45"/>
      <c r="AL105" s="234"/>
      <c r="AM105" s="339"/>
      <c r="AN105" s="68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57"/>
      <c r="BA105" s="57"/>
      <c r="BB105" s="57"/>
      <c r="BC105" s="57"/>
    </row>
    <row r="106" spans="1:55" s="18" customFormat="1" ht="14.1" customHeight="1" x14ac:dyDescent="0.2">
      <c r="A106" s="11"/>
      <c r="B106" s="11"/>
      <c r="C106" s="11"/>
      <c r="D106" s="11"/>
      <c r="G106" s="11"/>
      <c r="H106" s="11"/>
      <c r="I106" s="11"/>
      <c r="J106" s="11"/>
      <c r="M106" s="11"/>
      <c r="N106" s="11"/>
      <c r="O106" s="11"/>
      <c r="P106" s="11"/>
      <c r="Q106" s="11"/>
      <c r="R106" s="11"/>
      <c r="S106" s="343"/>
      <c r="T106" s="417"/>
      <c r="U106" s="419"/>
      <c r="V106" s="417"/>
      <c r="W106" s="519"/>
      <c r="X106" s="519"/>
      <c r="Y106" s="516"/>
      <c r="Z106" s="516"/>
      <c r="AA106" s="417"/>
      <c r="AB106" s="417"/>
      <c r="AC106" s="313"/>
      <c r="AD106" s="296">
        <v>67.2</v>
      </c>
      <c r="AE106" s="297">
        <f t="shared" si="15"/>
        <v>0.91750000000000076</v>
      </c>
      <c r="AF106" s="291"/>
      <c r="AG106" s="291"/>
      <c r="AH106" s="291"/>
      <c r="AI106" s="291"/>
      <c r="AJ106" s="291"/>
      <c r="AK106" s="45"/>
      <c r="AL106" s="234"/>
      <c r="AM106" s="339"/>
      <c r="AN106" s="68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57"/>
      <c r="BA106" s="57"/>
      <c r="BB106" s="57"/>
      <c r="BC106" s="57"/>
    </row>
    <row r="107" spans="1:55" s="18" customFormat="1" ht="14.1" customHeight="1" x14ac:dyDescent="0.2">
      <c r="A107" s="11"/>
      <c r="B107" s="11"/>
      <c r="C107" s="11"/>
      <c r="D107" s="11"/>
      <c r="G107" s="11"/>
      <c r="H107" s="11"/>
      <c r="I107" s="11"/>
      <c r="J107" s="11"/>
      <c r="M107" s="11"/>
      <c r="N107" s="11"/>
      <c r="O107" s="11"/>
      <c r="P107" s="11"/>
      <c r="Q107" s="11"/>
      <c r="R107" s="11"/>
      <c r="S107" s="345"/>
      <c r="T107" s="417"/>
      <c r="U107" s="419"/>
      <c r="V107" s="417"/>
      <c r="W107" s="519"/>
      <c r="X107" s="519"/>
      <c r="Y107" s="519"/>
      <c r="Z107" s="514"/>
      <c r="AA107" s="417"/>
      <c r="AB107" s="417"/>
      <c r="AC107" s="314"/>
      <c r="AD107" s="296">
        <v>67.3</v>
      </c>
      <c r="AE107" s="297">
        <f t="shared" si="15"/>
        <v>0.91500000000000103</v>
      </c>
      <c r="AF107" s="54"/>
      <c r="AG107" s="54"/>
      <c r="AH107" s="54"/>
      <c r="AI107" s="54"/>
      <c r="AJ107" s="54"/>
      <c r="AK107" s="45"/>
      <c r="AL107" s="68"/>
      <c r="AM107" s="68"/>
      <c r="AN107" s="68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57"/>
      <c r="BA107" s="57"/>
      <c r="BB107" s="57"/>
      <c r="BC107" s="57"/>
    </row>
    <row r="108" spans="1:55" s="18" customFormat="1" ht="14.1" customHeight="1" x14ac:dyDescent="0.2">
      <c r="A108" s="11"/>
      <c r="B108" s="11"/>
      <c r="C108" s="11"/>
      <c r="D108" s="11"/>
      <c r="G108" s="11"/>
      <c r="H108" s="11"/>
      <c r="I108" s="11"/>
      <c r="J108" s="11"/>
      <c r="M108" s="11"/>
      <c r="N108" s="11"/>
      <c r="O108" s="11"/>
      <c r="P108" s="11"/>
      <c r="Q108" s="11"/>
      <c r="R108" s="11"/>
      <c r="S108" s="345"/>
      <c r="T108" s="417"/>
      <c r="U108" s="419"/>
      <c r="V108" s="417"/>
      <c r="W108" s="519"/>
      <c r="X108" s="519"/>
      <c r="Y108" s="519"/>
      <c r="Z108" s="419"/>
      <c r="AA108" s="417"/>
      <c r="AB108" s="417"/>
      <c r="AC108" s="313"/>
      <c r="AD108" s="296">
        <v>67.400000000000006</v>
      </c>
      <c r="AE108" s="297">
        <f t="shared" si="15"/>
        <v>0.91250000000000098</v>
      </c>
      <c r="AF108" s="54"/>
      <c r="AG108" s="54"/>
      <c r="AH108" s="54"/>
      <c r="AI108" s="54"/>
      <c r="AJ108" s="54"/>
      <c r="AK108" s="45"/>
      <c r="AL108" s="68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57"/>
      <c r="BA108" s="57"/>
      <c r="BB108" s="57"/>
      <c r="BC108" s="57"/>
    </row>
    <row r="109" spans="1:55" s="18" customFormat="1" ht="12" customHeight="1" x14ac:dyDescent="0.2">
      <c r="A109" s="11"/>
      <c r="B109" s="11"/>
      <c r="C109" s="11"/>
      <c r="D109" s="11"/>
      <c r="G109" s="11"/>
      <c r="H109" s="11"/>
      <c r="I109" s="11"/>
      <c r="J109" s="11"/>
      <c r="M109" s="11"/>
      <c r="N109" s="11"/>
      <c r="O109" s="11"/>
      <c r="P109" s="11"/>
      <c r="Q109" s="11"/>
      <c r="R109" s="11"/>
      <c r="S109" s="346"/>
      <c r="T109" s="417"/>
      <c r="U109" s="419"/>
      <c r="V109" s="417"/>
      <c r="W109" s="519"/>
      <c r="X109" s="519"/>
      <c r="Y109" s="519"/>
      <c r="Z109" s="406"/>
      <c r="AA109" s="417"/>
      <c r="AB109" s="417"/>
      <c r="AC109" s="318"/>
      <c r="AD109" s="296">
        <v>67.500000000000099</v>
      </c>
      <c r="AE109" s="297">
        <f t="shared" si="15"/>
        <v>0.90999999999999881</v>
      </c>
      <c r="AF109" s="54"/>
      <c r="AG109" s="54"/>
      <c r="AH109" s="54"/>
      <c r="AI109" s="54"/>
      <c r="AJ109" s="54"/>
      <c r="AK109" s="45"/>
      <c r="AL109" s="68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57"/>
      <c r="BA109" s="57"/>
      <c r="BB109" s="57"/>
      <c r="BC109" s="57"/>
    </row>
    <row r="110" spans="1:55" s="18" customFormat="1" ht="12" customHeight="1" x14ac:dyDescent="0.2">
      <c r="A110" s="11"/>
      <c r="B110" s="11"/>
      <c r="C110" s="11"/>
      <c r="D110" s="11"/>
      <c r="G110" s="11"/>
      <c r="H110" s="11"/>
      <c r="I110" s="11"/>
      <c r="J110" s="11"/>
      <c r="M110" s="11"/>
      <c r="N110" s="11"/>
      <c r="O110" s="11"/>
      <c r="P110" s="11"/>
      <c r="Q110" s="11"/>
      <c r="R110" s="11"/>
      <c r="S110" s="346"/>
      <c r="T110" s="417"/>
      <c r="U110" s="419"/>
      <c r="V110" s="417"/>
      <c r="W110" s="519"/>
      <c r="X110" s="519"/>
      <c r="Y110" s="519"/>
      <c r="Z110" s="419"/>
      <c r="AA110" s="417"/>
      <c r="AB110" s="417"/>
      <c r="AC110" s="318"/>
      <c r="AD110" s="296">
        <v>67.600000000000094</v>
      </c>
      <c r="AE110" s="297">
        <f t="shared" si="15"/>
        <v>0.90749999999999909</v>
      </c>
      <c r="AF110" s="54"/>
      <c r="AG110" s="54"/>
      <c r="AH110" s="54"/>
      <c r="AI110" s="54"/>
      <c r="AJ110" s="54"/>
      <c r="AK110" s="45"/>
      <c r="AL110" s="68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57"/>
      <c r="BA110" s="57"/>
      <c r="BB110" s="57"/>
      <c r="BC110" s="57"/>
    </row>
    <row r="111" spans="1:55" s="18" customFormat="1" ht="14.1" customHeight="1" x14ac:dyDescent="0.2">
      <c r="A111" s="11"/>
      <c r="B111" s="11"/>
      <c r="C111" s="11"/>
      <c r="D111" s="11"/>
      <c r="G111" s="11"/>
      <c r="H111" s="11"/>
      <c r="I111" s="11"/>
      <c r="J111" s="11"/>
      <c r="M111" s="11"/>
      <c r="N111" s="11"/>
      <c r="O111" s="11"/>
      <c r="P111" s="11"/>
      <c r="Q111" s="11"/>
      <c r="R111" s="11"/>
      <c r="S111" s="496"/>
      <c r="T111" s="417"/>
      <c r="U111" s="419"/>
      <c r="V111" s="417"/>
      <c r="W111" s="519"/>
      <c r="X111" s="519"/>
      <c r="Y111" s="519"/>
      <c r="Z111" s="419"/>
      <c r="AA111" s="417"/>
      <c r="AB111" s="417"/>
      <c r="AC111" s="323"/>
      <c r="AD111" s="296">
        <v>67.700000000000102</v>
      </c>
      <c r="AE111" s="297">
        <f t="shared" si="15"/>
        <v>0.90499999999999903</v>
      </c>
      <c r="AF111" s="54"/>
      <c r="AG111" s="54"/>
      <c r="AH111" s="54"/>
      <c r="AI111" s="54"/>
      <c r="AJ111" s="54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57"/>
      <c r="BA111" s="57"/>
      <c r="BB111" s="57"/>
      <c r="BC111" s="57"/>
    </row>
    <row r="112" spans="1:55" s="18" customFormat="1" ht="14.1" customHeight="1" x14ac:dyDescent="0.2">
      <c r="A112" s="11"/>
      <c r="B112" s="11"/>
      <c r="C112" s="11"/>
      <c r="D112" s="11"/>
      <c r="G112" s="11"/>
      <c r="H112" s="11"/>
      <c r="I112" s="11"/>
      <c r="J112" s="11"/>
      <c r="M112" s="11"/>
      <c r="N112" s="11"/>
      <c r="O112" s="11"/>
      <c r="P112" s="11"/>
      <c r="Q112" s="11"/>
      <c r="R112" s="11"/>
      <c r="S112" s="496"/>
      <c r="T112" s="417"/>
      <c r="U112" s="419"/>
      <c r="V112" s="417"/>
      <c r="W112" s="519"/>
      <c r="X112" s="519"/>
      <c r="Y112" s="519"/>
      <c r="Z112" s="419"/>
      <c r="AA112" s="417"/>
      <c r="AB112" s="417"/>
      <c r="AC112" s="124"/>
      <c r="AD112" s="296">
        <v>67.800000000000097</v>
      </c>
      <c r="AE112" s="297">
        <f t="shared" si="15"/>
        <v>0.9024999999999993</v>
      </c>
      <c r="AF112" s="54"/>
      <c r="AG112" s="54"/>
      <c r="AH112" s="54"/>
      <c r="AI112" s="54"/>
      <c r="AJ112" s="54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57"/>
      <c r="BA112" s="57"/>
      <c r="BB112" s="57"/>
      <c r="BC112" s="57"/>
    </row>
    <row r="113" spans="1:55" s="18" customFormat="1" ht="14.1" customHeight="1" x14ac:dyDescent="0.2">
      <c r="A113" s="11"/>
      <c r="B113" s="11"/>
      <c r="C113" s="11"/>
      <c r="D113" s="11"/>
      <c r="G113" s="11"/>
      <c r="H113" s="11"/>
      <c r="I113" s="11"/>
      <c r="J113" s="11"/>
      <c r="M113" s="11"/>
      <c r="N113" s="11"/>
      <c r="O113" s="11"/>
      <c r="P113" s="11"/>
      <c r="Q113" s="11"/>
      <c r="R113" s="11"/>
      <c r="S113" s="365"/>
      <c r="T113" s="417"/>
      <c r="U113" s="419"/>
      <c r="V113" s="417"/>
      <c r="W113" s="519"/>
      <c r="X113" s="519"/>
      <c r="Y113" s="519"/>
      <c r="Z113" s="419"/>
      <c r="AA113" s="417"/>
      <c r="AB113" s="417"/>
      <c r="AC113" s="124"/>
      <c r="AD113" s="296">
        <v>67.900000000000105</v>
      </c>
      <c r="AE113" s="297">
        <f t="shared" si="15"/>
        <v>0.89999999999999925</v>
      </c>
      <c r="AF113" s="54"/>
      <c r="AG113" s="54"/>
      <c r="AH113" s="54"/>
      <c r="AI113" s="54"/>
      <c r="AJ113" s="54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57"/>
      <c r="BA113" s="57"/>
      <c r="BB113" s="57"/>
      <c r="BC113" s="57"/>
    </row>
    <row r="114" spans="1:55" s="18" customFormat="1" ht="14.1" customHeight="1" x14ac:dyDescent="0.2">
      <c r="A114" s="11"/>
      <c r="B114" s="11"/>
      <c r="C114" s="11"/>
      <c r="D114" s="11"/>
      <c r="G114" s="11"/>
      <c r="H114" s="11"/>
      <c r="I114" s="11"/>
      <c r="J114" s="11"/>
      <c r="M114" s="11"/>
      <c r="N114" s="11"/>
      <c r="O114" s="11"/>
      <c r="P114" s="11"/>
      <c r="Q114" s="11"/>
      <c r="R114" s="11"/>
      <c r="S114" s="365"/>
      <c r="T114" s="417"/>
      <c r="U114" s="419"/>
      <c r="V114" s="417"/>
      <c r="W114" s="519"/>
      <c r="X114" s="519"/>
      <c r="Y114" s="519"/>
      <c r="Z114" s="419"/>
      <c r="AA114" s="417"/>
      <c r="AB114" s="417"/>
      <c r="AC114" s="124"/>
      <c r="AD114" s="296">
        <v>68.000000000000099</v>
      </c>
      <c r="AE114" s="297">
        <f t="shared" si="15"/>
        <v>0.89749999999999952</v>
      </c>
      <c r="AF114" s="54"/>
      <c r="AG114" s="54"/>
      <c r="AH114" s="54"/>
      <c r="AI114" s="54"/>
      <c r="AJ114" s="54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57"/>
      <c r="BA114" s="57"/>
      <c r="BB114" s="57"/>
      <c r="BC114" s="57"/>
    </row>
    <row r="115" spans="1:55" s="18" customFormat="1" ht="13.5" customHeight="1" x14ac:dyDescent="0.2">
      <c r="A115" s="11"/>
      <c r="B115" s="11"/>
      <c r="C115" s="11"/>
      <c r="D115" s="11"/>
      <c r="G115" s="11"/>
      <c r="H115" s="11"/>
      <c r="I115" s="11"/>
      <c r="J115" s="11"/>
      <c r="M115" s="11"/>
      <c r="N115" s="11"/>
      <c r="O115" s="11"/>
      <c r="P115" s="11"/>
      <c r="Q115" s="11"/>
      <c r="R115" s="11"/>
      <c r="S115" s="365"/>
      <c r="T115" s="417"/>
      <c r="U115" s="419"/>
      <c r="V115" s="417"/>
      <c r="W115" s="519"/>
      <c r="X115" s="519"/>
      <c r="Y115" s="519"/>
      <c r="Z115" s="419"/>
      <c r="AA115" s="417"/>
      <c r="AB115" s="417"/>
      <c r="AC115" s="124"/>
      <c r="AD115" s="296">
        <v>68.100000000000094</v>
      </c>
      <c r="AE115" s="297">
        <f t="shared" si="15"/>
        <v>0.8949999999999998</v>
      </c>
      <c r="AF115" s="54"/>
      <c r="AG115" s="54"/>
      <c r="AH115" s="54"/>
      <c r="AI115" s="292"/>
      <c r="AJ115" s="292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57"/>
      <c r="BA115" s="57"/>
      <c r="BB115" s="57"/>
      <c r="BC115" s="57"/>
    </row>
    <row r="116" spans="1:55" s="18" customFormat="1" ht="15" customHeight="1" x14ac:dyDescent="0.2">
      <c r="A116" s="11"/>
      <c r="B116" s="11"/>
      <c r="C116" s="11"/>
      <c r="D116" s="11"/>
      <c r="G116" s="11"/>
      <c r="H116" s="11"/>
      <c r="I116" s="11"/>
      <c r="J116" s="11"/>
      <c r="M116" s="11"/>
      <c r="N116" s="11"/>
      <c r="O116" s="11"/>
      <c r="P116" s="11"/>
      <c r="Q116" s="11"/>
      <c r="R116" s="11"/>
      <c r="S116" s="366"/>
      <c r="T116" s="417"/>
      <c r="U116" s="419"/>
      <c r="V116" s="417"/>
      <c r="W116" s="519"/>
      <c r="X116" s="519"/>
      <c r="Y116" s="519"/>
      <c r="Z116" s="419"/>
      <c r="AA116" s="417"/>
      <c r="AB116" s="417"/>
      <c r="AC116" s="124"/>
      <c r="AD116" s="296">
        <v>68.200000000000102</v>
      </c>
      <c r="AE116" s="297">
        <f t="shared" si="15"/>
        <v>0.89249999999999974</v>
      </c>
      <c r="AF116" s="54"/>
      <c r="AG116" s="54"/>
      <c r="AH116" s="54"/>
      <c r="AI116" s="292"/>
      <c r="AJ116" s="292"/>
      <c r="AK116" s="68"/>
      <c r="AL116" s="45"/>
      <c r="AM116" s="45"/>
      <c r="AN116" s="45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57"/>
      <c r="BA116" s="57"/>
      <c r="BB116" s="57"/>
      <c r="BC116" s="57"/>
    </row>
    <row r="117" spans="1:55" s="18" customFormat="1" ht="20.100000000000001" customHeight="1" thickBot="1" x14ac:dyDescent="0.25">
      <c r="A117" s="11"/>
      <c r="B117" s="11"/>
      <c r="C117" s="11"/>
      <c r="D117" s="11"/>
      <c r="G117" s="11"/>
      <c r="H117" s="11"/>
      <c r="I117" s="11"/>
      <c r="J117" s="11"/>
      <c r="M117" s="11"/>
      <c r="N117" s="11"/>
      <c r="O117" s="11"/>
      <c r="P117" s="11"/>
      <c r="Q117" s="11"/>
      <c r="R117" s="11"/>
      <c r="S117" s="520"/>
      <c r="T117" s="417"/>
      <c r="U117" s="419"/>
      <c r="V117" s="417"/>
      <c r="W117" s="519"/>
      <c r="X117" s="519"/>
      <c r="Y117" s="519"/>
      <c r="Z117" s="419"/>
      <c r="AA117" s="417"/>
      <c r="AB117" s="417"/>
      <c r="AC117" s="124"/>
      <c r="AD117" s="299">
        <v>68.300000000000097</v>
      </c>
      <c r="AE117" s="300">
        <v>0.89</v>
      </c>
      <c r="AF117" s="54"/>
      <c r="AG117" s="54"/>
      <c r="AH117" s="292"/>
      <c r="AI117" s="292"/>
      <c r="AJ117" s="292"/>
      <c r="AK117" s="68"/>
      <c r="AL117" s="45"/>
      <c r="AM117" s="45"/>
      <c r="AN117" s="45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57"/>
      <c r="BA117" s="57"/>
      <c r="BB117" s="57"/>
      <c r="BC117" s="57"/>
    </row>
    <row r="118" spans="1:55" s="18" customFormat="1" ht="15" customHeight="1" thickTop="1" x14ac:dyDescent="0.2">
      <c r="A118" s="11"/>
      <c r="B118" s="11"/>
      <c r="C118" s="11"/>
      <c r="D118" s="11"/>
      <c r="G118" s="11"/>
      <c r="H118" s="11"/>
      <c r="I118" s="11"/>
      <c r="J118" s="11"/>
      <c r="M118" s="11"/>
      <c r="N118" s="11"/>
      <c r="O118" s="11"/>
      <c r="P118" s="11"/>
      <c r="Q118" s="11"/>
      <c r="R118" s="11"/>
      <c r="S118" s="1355"/>
      <c r="T118" s="1355"/>
      <c r="U118" s="1356"/>
      <c r="V118" s="1356"/>
      <c r="W118" s="519"/>
      <c r="X118" s="519"/>
      <c r="Y118" s="519"/>
      <c r="Z118" s="419"/>
      <c r="AA118" s="417"/>
      <c r="AB118" s="417"/>
      <c r="AC118" s="124"/>
      <c r="AF118" s="54"/>
      <c r="AG118" s="54"/>
      <c r="AH118" s="292"/>
      <c r="AI118" s="292"/>
      <c r="AJ118" s="292"/>
      <c r="AK118" s="68"/>
      <c r="AL118" s="45"/>
      <c r="AM118" s="45"/>
      <c r="AN118" s="57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57"/>
      <c r="BA118" s="57"/>
      <c r="BB118" s="57"/>
      <c r="BC118" s="57"/>
    </row>
    <row r="119" spans="1:55" s="18" customFormat="1" ht="15" customHeight="1" x14ac:dyDescent="0.2">
      <c r="A119" s="11"/>
      <c r="B119" s="11"/>
      <c r="C119" s="11"/>
      <c r="D119" s="11"/>
      <c r="G119" s="11"/>
      <c r="H119" s="11"/>
      <c r="I119" s="11"/>
      <c r="J119" s="11"/>
      <c r="M119" s="11"/>
      <c r="N119" s="11"/>
      <c r="O119" s="11"/>
      <c r="P119" s="11"/>
      <c r="Q119" s="11"/>
      <c r="R119" s="11"/>
      <c r="S119" s="416"/>
      <c r="T119" s="417"/>
      <c r="U119" s="1356"/>
      <c r="V119" s="1356"/>
      <c r="W119" s="519"/>
      <c r="X119" s="519"/>
      <c r="Y119" s="519"/>
      <c r="Z119" s="419"/>
      <c r="AA119" s="417"/>
      <c r="AB119" s="417"/>
      <c r="AC119" s="124"/>
      <c r="AF119" s="54"/>
      <c r="AG119" s="54"/>
      <c r="AH119" s="292"/>
      <c r="AI119" s="45"/>
      <c r="AJ119" s="45"/>
      <c r="AK119" s="45"/>
      <c r="AL119" s="57"/>
      <c r="AM119" s="57"/>
      <c r="AN119" s="57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57"/>
      <c r="BA119" s="57"/>
      <c r="BB119" s="57"/>
      <c r="BC119" s="57"/>
    </row>
    <row r="120" spans="1:55" s="18" customFormat="1" ht="15" customHeight="1" x14ac:dyDescent="0.2">
      <c r="A120" s="11"/>
      <c r="B120" s="11"/>
      <c r="C120" s="11"/>
      <c r="D120" s="11"/>
      <c r="G120" s="11"/>
      <c r="H120" s="11"/>
      <c r="I120" s="11"/>
      <c r="J120" s="11"/>
      <c r="M120" s="11"/>
      <c r="N120" s="11"/>
      <c r="O120" s="11"/>
      <c r="P120" s="11"/>
      <c r="Q120" s="11"/>
      <c r="R120" s="11"/>
      <c r="S120" s="416"/>
      <c r="T120" s="417"/>
      <c r="U120" s="419"/>
      <c r="V120" s="417"/>
      <c r="W120" s="519"/>
      <c r="X120" s="519"/>
      <c r="Y120" s="519"/>
      <c r="Z120" s="419"/>
      <c r="AA120" s="417"/>
      <c r="AB120" s="417"/>
      <c r="AC120" s="124"/>
      <c r="AF120" s="54"/>
      <c r="AG120" s="54"/>
      <c r="AH120" s="292"/>
      <c r="AI120" s="45"/>
      <c r="AJ120" s="45"/>
      <c r="AK120" s="45"/>
      <c r="AL120" s="57"/>
      <c r="AM120" s="57"/>
      <c r="AN120" s="57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57"/>
      <c r="BA120" s="57"/>
      <c r="BB120" s="57"/>
      <c r="BC120" s="57"/>
    </row>
    <row r="121" spans="1:55" s="18" customFormat="1" ht="15" customHeight="1" x14ac:dyDescent="0.2">
      <c r="A121" s="11"/>
      <c r="B121" s="11"/>
      <c r="C121" s="11"/>
      <c r="D121" s="11"/>
      <c r="G121" s="11"/>
      <c r="H121" s="11"/>
      <c r="I121" s="11"/>
      <c r="J121" s="11"/>
      <c r="M121" s="11"/>
      <c r="N121" s="11"/>
      <c r="O121" s="11"/>
      <c r="P121" s="11"/>
      <c r="Q121" s="11"/>
      <c r="R121" s="11"/>
      <c r="S121" s="1359"/>
      <c r="T121" s="1359"/>
      <c r="U121" s="1359"/>
      <c r="V121" s="1359"/>
      <c r="W121" s="519"/>
      <c r="X121" s="519"/>
      <c r="Y121" s="519"/>
      <c r="Z121" s="419"/>
      <c r="AA121" s="417"/>
      <c r="AB121" s="417"/>
      <c r="AC121" s="124"/>
      <c r="AF121" s="54"/>
      <c r="AG121" s="54"/>
      <c r="AH121" s="292"/>
      <c r="AI121" s="57"/>
      <c r="AJ121" s="57"/>
      <c r="AK121" s="57"/>
      <c r="AL121" s="57"/>
      <c r="AM121" s="57"/>
      <c r="AN121" s="57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57"/>
      <c r="BA121" s="57"/>
      <c r="BB121" s="57"/>
      <c r="BC121" s="57"/>
    </row>
    <row r="122" spans="1:55" s="18" customFormat="1" ht="20.100000000000001" customHeight="1" x14ac:dyDescent="0.2">
      <c r="A122" s="11"/>
      <c r="B122" s="11"/>
      <c r="C122" s="11"/>
      <c r="D122" s="11"/>
      <c r="G122" s="11"/>
      <c r="H122" s="11"/>
      <c r="I122" s="11"/>
      <c r="J122" s="11"/>
      <c r="M122" s="11"/>
      <c r="N122" s="11"/>
      <c r="O122" s="11"/>
      <c r="P122" s="11"/>
      <c r="Q122" s="11"/>
      <c r="R122" s="11"/>
      <c r="S122" s="1359"/>
      <c r="T122" s="1359"/>
      <c r="U122" s="1359"/>
      <c r="V122" s="1359"/>
      <c r="W122" s="519"/>
      <c r="X122" s="519"/>
      <c r="Y122" s="519"/>
      <c r="Z122" s="419"/>
      <c r="AA122" s="417"/>
      <c r="AB122" s="417"/>
      <c r="AC122" s="124"/>
      <c r="AF122" s="45"/>
      <c r="AG122" s="45"/>
      <c r="AH122" s="45"/>
      <c r="AI122" s="57"/>
      <c r="AJ122" s="57"/>
      <c r="AK122" s="57"/>
      <c r="AL122" s="57"/>
      <c r="AM122" s="57"/>
      <c r="AN122" s="57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57"/>
      <c r="BA122" s="57"/>
      <c r="BB122" s="57"/>
      <c r="BC122" s="57"/>
    </row>
    <row r="123" spans="1:55" s="18" customFormat="1" ht="20.100000000000001" customHeight="1" x14ac:dyDescent="0.2">
      <c r="A123" s="11"/>
      <c r="B123" s="11"/>
      <c r="C123" s="11"/>
      <c r="D123" s="11"/>
      <c r="G123" s="11"/>
      <c r="H123" s="11"/>
      <c r="I123" s="11"/>
      <c r="J123" s="11"/>
      <c r="M123" s="11"/>
      <c r="N123" s="11"/>
      <c r="O123" s="11"/>
      <c r="P123" s="11"/>
      <c r="Q123" s="11"/>
      <c r="R123" s="11"/>
      <c r="S123" s="2"/>
      <c r="T123" s="279"/>
      <c r="U123" s="1354"/>
      <c r="V123" s="1354"/>
      <c r="Z123" s="125"/>
      <c r="AA123" s="2"/>
      <c r="AB123" s="2"/>
      <c r="AC123" s="124"/>
      <c r="AF123" s="45"/>
      <c r="AG123" s="45"/>
      <c r="AH123" s="45"/>
      <c r="AI123" s="57"/>
      <c r="AJ123" s="57"/>
      <c r="AK123" s="57"/>
      <c r="AL123" s="57"/>
      <c r="AM123" s="57"/>
      <c r="AN123" s="57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57"/>
      <c r="BA123" s="57"/>
      <c r="BB123" s="57"/>
      <c r="BC123" s="57"/>
    </row>
    <row r="124" spans="1:55" s="18" customFormat="1" ht="21" customHeight="1" x14ac:dyDescent="0.2">
      <c r="A124" s="11"/>
      <c r="B124" s="11"/>
      <c r="C124" s="11"/>
      <c r="D124" s="11"/>
      <c r="G124" s="11"/>
      <c r="H124" s="11"/>
      <c r="I124" s="11"/>
      <c r="J124" s="11"/>
      <c r="M124" s="11"/>
      <c r="N124" s="11"/>
      <c r="O124" s="11"/>
      <c r="P124" s="11"/>
      <c r="Q124" s="11"/>
      <c r="R124" s="11"/>
      <c r="S124" s="243"/>
      <c r="T124" s="2"/>
      <c r="U124" s="122"/>
      <c r="V124" s="123"/>
      <c r="Z124" s="125"/>
      <c r="AA124" s="64"/>
      <c r="AB124" s="64"/>
      <c r="AC124" s="124"/>
      <c r="AF124" s="57"/>
      <c r="AG124" s="57"/>
      <c r="AH124" s="57"/>
      <c r="AI124" s="57"/>
      <c r="AJ124" s="57"/>
      <c r="AK124" s="57"/>
      <c r="AL124" s="57"/>
      <c r="AM124" s="57"/>
      <c r="AN124" s="57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57"/>
      <c r="BA124" s="57"/>
      <c r="BB124" s="57"/>
      <c r="BC124" s="57"/>
    </row>
    <row r="125" spans="1:55" s="18" customFormat="1" ht="15" customHeight="1" x14ac:dyDescent="0.2">
      <c r="A125" s="11"/>
      <c r="B125" s="11"/>
      <c r="C125" s="11"/>
      <c r="D125" s="11"/>
      <c r="G125" s="11"/>
      <c r="H125" s="11"/>
      <c r="I125" s="11"/>
      <c r="J125" s="11"/>
      <c r="M125" s="11"/>
      <c r="N125" s="11"/>
      <c r="O125" s="11"/>
      <c r="P125" s="11"/>
      <c r="Q125" s="11"/>
      <c r="R125" s="11"/>
      <c r="S125" s="245"/>
      <c r="T125" s="2"/>
      <c r="U125" s="122"/>
      <c r="V125" s="123"/>
      <c r="Z125" s="125"/>
      <c r="AA125" s="64"/>
      <c r="AB125" s="64"/>
      <c r="AC125" s="124"/>
      <c r="AF125" s="57"/>
      <c r="AG125" s="57"/>
      <c r="AH125" s="57"/>
      <c r="AI125" s="57"/>
      <c r="AJ125" s="57"/>
      <c r="AK125" s="57"/>
      <c r="AL125" s="57"/>
      <c r="AM125" s="57"/>
      <c r="AN125" s="57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57"/>
      <c r="BA125" s="57"/>
      <c r="BB125" s="57"/>
      <c r="BC125" s="57"/>
    </row>
    <row r="126" spans="1:55" s="18" customFormat="1" ht="15" customHeight="1" x14ac:dyDescent="0.2">
      <c r="A126" s="11"/>
      <c r="B126" s="11"/>
      <c r="C126" s="11"/>
      <c r="D126" s="11"/>
      <c r="G126" s="11"/>
      <c r="H126" s="11"/>
      <c r="I126" s="11"/>
      <c r="J126" s="11"/>
      <c r="M126" s="11"/>
      <c r="N126" s="11"/>
      <c r="O126" s="11"/>
      <c r="P126" s="11"/>
      <c r="Q126" s="11"/>
      <c r="R126" s="11"/>
      <c r="S126" s="242"/>
      <c r="T126" s="2"/>
      <c r="U126" s="122"/>
      <c r="V126" s="123"/>
      <c r="Z126" s="125"/>
      <c r="AA126" s="64"/>
      <c r="AB126" s="64"/>
      <c r="AC126" s="124"/>
      <c r="AF126" s="57"/>
      <c r="AG126" s="57"/>
      <c r="AH126" s="57"/>
      <c r="AI126" s="57"/>
      <c r="AJ126" s="57"/>
      <c r="AK126" s="57"/>
      <c r="AL126" s="57"/>
      <c r="AM126" s="57"/>
      <c r="AN126" s="57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57"/>
      <c r="BA126" s="57"/>
      <c r="BB126" s="57"/>
      <c r="BC126" s="57"/>
    </row>
    <row r="127" spans="1:55" s="18" customFormat="1" ht="14.1" customHeight="1" x14ac:dyDescent="0.2">
      <c r="A127" s="11"/>
      <c r="B127" s="11"/>
      <c r="C127" s="11"/>
      <c r="D127" s="11"/>
      <c r="G127" s="11"/>
      <c r="H127" s="11"/>
      <c r="I127" s="11"/>
      <c r="J127" s="11"/>
      <c r="M127" s="11"/>
      <c r="N127" s="11"/>
      <c r="O127" s="11"/>
      <c r="P127" s="11"/>
      <c r="Q127" s="11"/>
      <c r="R127" s="11"/>
      <c r="S127" s="111"/>
      <c r="T127" s="2"/>
      <c r="U127" s="122"/>
      <c r="V127" s="123"/>
      <c r="Z127" s="125"/>
      <c r="AA127" s="64"/>
      <c r="AB127" s="64"/>
      <c r="AC127" s="124"/>
      <c r="AF127" s="282"/>
      <c r="AG127" s="282"/>
      <c r="AH127" s="282"/>
      <c r="AI127" s="57"/>
      <c r="AJ127" s="57"/>
      <c r="AK127" s="57"/>
      <c r="AL127" s="57"/>
      <c r="AM127" s="57"/>
      <c r="AN127" s="57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57"/>
      <c r="BA127" s="57"/>
      <c r="BB127" s="57"/>
      <c r="BC127" s="57"/>
    </row>
    <row r="128" spans="1:55" s="18" customFormat="1" ht="14.1" customHeight="1" x14ac:dyDescent="0.2">
      <c r="A128" s="11"/>
      <c r="B128" s="11"/>
      <c r="C128" s="11"/>
      <c r="D128" s="11"/>
      <c r="G128" s="11"/>
      <c r="H128" s="11"/>
      <c r="I128" s="11"/>
      <c r="J128" s="11"/>
      <c r="M128" s="11"/>
      <c r="N128" s="11"/>
      <c r="O128" s="11"/>
      <c r="P128" s="11"/>
      <c r="Q128" s="11"/>
      <c r="R128" s="11"/>
      <c r="S128" s="112"/>
      <c r="T128" s="2"/>
      <c r="U128" s="122"/>
      <c r="V128" s="123"/>
      <c r="Z128" s="125"/>
      <c r="AA128" s="64"/>
      <c r="AB128" s="64"/>
      <c r="AC128" s="124"/>
      <c r="AF128" s="241"/>
      <c r="AG128" s="241"/>
      <c r="AH128" s="241"/>
      <c r="AI128" s="57"/>
      <c r="AJ128" s="57"/>
      <c r="AK128" s="57"/>
      <c r="AL128" s="57"/>
      <c r="AM128" s="57"/>
      <c r="AN128" s="57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57"/>
      <c r="BA128" s="57"/>
      <c r="BB128" s="57"/>
      <c r="BC128" s="57"/>
    </row>
    <row r="129" spans="1:55" s="18" customFormat="1" ht="14.1" customHeight="1" x14ac:dyDescent="0.2">
      <c r="A129" s="11"/>
      <c r="B129" s="11"/>
      <c r="C129" s="11"/>
      <c r="D129" s="11"/>
      <c r="G129" s="11"/>
      <c r="H129" s="11"/>
      <c r="I129" s="11"/>
      <c r="J129" s="11"/>
      <c r="M129" s="11"/>
      <c r="N129" s="11"/>
      <c r="O129" s="11"/>
      <c r="P129" s="11"/>
      <c r="Q129" s="11"/>
      <c r="R129" s="11"/>
      <c r="S129" s="240"/>
      <c r="T129" s="2"/>
      <c r="U129" s="122"/>
      <c r="V129" s="123"/>
      <c r="Z129" s="125"/>
      <c r="AA129" s="64"/>
      <c r="AB129" s="64"/>
      <c r="AC129" s="124"/>
      <c r="AF129" s="306"/>
      <c r="AG129" s="306"/>
      <c r="AH129" s="306"/>
      <c r="AI129" s="57"/>
      <c r="AJ129" s="57"/>
      <c r="AK129" s="57"/>
      <c r="AL129" s="57"/>
      <c r="AM129" s="57"/>
      <c r="AN129" s="57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57"/>
      <c r="BA129" s="57"/>
      <c r="BB129" s="57"/>
      <c r="BC129" s="57"/>
    </row>
    <row r="130" spans="1:55" s="18" customFormat="1" ht="14.1" customHeight="1" x14ac:dyDescent="0.2">
      <c r="A130" s="11"/>
      <c r="B130" s="11"/>
      <c r="C130" s="11"/>
      <c r="D130" s="11"/>
      <c r="E130" s="19"/>
      <c r="F130" s="19"/>
      <c r="G130" s="11"/>
      <c r="H130" s="11"/>
      <c r="I130" s="11"/>
      <c r="J130" s="11"/>
      <c r="K130" s="19"/>
      <c r="L130" s="19"/>
      <c r="M130" s="11"/>
      <c r="N130" s="11"/>
      <c r="O130" s="11"/>
      <c r="P130" s="11"/>
      <c r="Q130" s="11"/>
      <c r="R130" s="11"/>
      <c r="S130" s="240"/>
      <c r="T130" s="281"/>
      <c r="U130" s="57"/>
      <c r="V130" s="57"/>
      <c r="Z130" s="125"/>
      <c r="AA130" s="64"/>
      <c r="AB130" s="64"/>
      <c r="AC130" s="176"/>
      <c r="AF130" s="241"/>
      <c r="AG130" s="71"/>
      <c r="AH130" s="241"/>
      <c r="AI130" s="57"/>
      <c r="AJ130" s="57"/>
      <c r="AK130" s="57"/>
      <c r="AL130" s="57"/>
      <c r="AM130" s="57"/>
      <c r="AN130" s="57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57"/>
      <c r="BA130" s="57"/>
      <c r="BB130" s="57"/>
      <c r="BC130" s="57"/>
    </row>
    <row r="131" spans="1:55" s="18" customFormat="1" ht="15" customHeight="1" x14ac:dyDescent="0.2">
      <c r="A131" s="11"/>
      <c r="B131" s="11"/>
      <c r="C131" s="11"/>
      <c r="D131" s="11"/>
      <c r="E131" s="19"/>
      <c r="F131" s="19"/>
      <c r="G131" s="11"/>
      <c r="H131" s="11"/>
      <c r="I131" s="11"/>
      <c r="J131" s="11"/>
      <c r="K131" s="19"/>
      <c r="L131" s="19"/>
      <c r="M131" s="11"/>
      <c r="N131" s="11"/>
      <c r="O131" s="11"/>
      <c r="P131" s="11"/>
      <c r="Q131" s="11"/>
      <c r="R131" s="11"/>
      <c r="S131" s="240"/>
      <c r="T131" s="2"/>
      <c r="U131" s="122"/>
      <c r="V131" s="123"/>
      <c r="Z131" s="125"/>
      <c r="AA131" s="57"/>
      <c r="AB131" s="57"/>
      <c r="AC131" s="176"/>
      <c r="AF131" s="277"/>
      <c r="AG131" s="119"/>
      <c r="AH131" s="119"/>
      <c r="AI131" s="57"/>
      <c r="AJ131" s="57"/>
      <c r="AK131" s="57"/>
      <c r="AL131" s="57"/>
      <c r="AM131" s="57"/>
      <c r="AN131" s="57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57"/>
      <c r="BA131" s="57"/>
      <c r="BB131" s="57"/>
      <c r="BC131" s="57"/>
    </row>
    <row r="132" spans="1:55" s="19" customFormat="1" ht="15" customHeight="1" x14ac:dyDescent="0.2">
      <c r="A132" s="11"/>
      <c r="B132" s="11"/>
      <c r="C132" s="11"/>
      <c r="D132" s="11"/>
      <c r="G132" s="11"/>
      <c r="H132" s="11"/>
      <c r="I132" s="11"/>
      <c r="J132" s="11"/>
      <c r="M132" s="11"/>
      <c r="N132" s="11"/>
      <c r="O132" s="11"/>
      <c r="P132" s="11"/>
      <c r="Q132" s="11"/>
      <c r="R132" s="11"/>
      <c r="S132" s="333"/>
      <c r="T132" s="64"/>
      <c r="U132" s="226"/>
      <c r="V132" s="221"/>
      <c r="Z132" s="125"/>
      <c r="AA132" s="45"/>
      <c r="AB132" s="45"/>
      <c r="AC132" s="129"/>
      <c r="AF132" s="71"/>
      <c r="AG132" s="119"/>
      <c r="AH132" s="119"/>
      <c r="AI132" s="57"/>
      <c r="AJ132" s="57"/>
      <c r="AK132" s="57"/>
      <c r="AL132" s="57"/>
      <c r="AM132" s="57"/>
      <c r="AN132" s="120"/>
      <c r="AO132" s="57"/>
      <c r="AP132" s="57"/>
      <c r="AQ132" s="57"/>
      <c r="AR132" s="57"/>
      <c r="AS132" s="57"/>
      <c r="AT132" s="57"/>
      <c r="AU132" s="57"/>
      <c r="AV132" s="57"/>
      <c r="AW132" s="57"/>
      <c r="AX132" s="57"/>
      <c r="AY132" s="57"/>
    </row>
    <row r="133" spans="1:55" s="19" customFormat="1" ht="15" customHeight="1" x14ac:dyDescent="0.2">
      <c r="A133" s="11"/>
      <c r="B133" s="11"/>
      <c r="C133" s="11"/>
      <c r="D133" s="11"/>
      <c r="G133" s="11"/>
      <c r="H133" s="11"/>
      <c r="I133" s="11"/>
      <c r="J133" s="11"/>
      <c r="M133" s="11"/>
      <c r="N133" s="11"/>
      <c r="O133" s="11"/>
      <c r="P133" s="11"/>
      <c r="Q133" s="11"/>
      <c r="R133" s="11"/>
      <c r="S133" s="75"/>
      <c r="T133" s="64"/>
      <c r="U133" s="63"/>
      <c r="V133" s="63"/>
      <c r="Z133" s="125"/>
      <c r="AA133" s="45"/>
      <c r="AB133" s="45"/>
      <c r="AC133" s="62"/>
      <c r="AF133" s="71"/>
      <c r="AG133" s="119"/>
      <c r="AH133" s="241"/>
      <c r="AI133" s="57"/>
      <c r="AJ133" s="57"/>
      <c r="AK133" s="57"/>
      <c r="AL133" s="121"/>
      <c r="AM133" s="121"/>
      <c r="AN133" s="120"/>
      <c r="AO133" s="57"/>
      <c r="AP133" s="57"/>
      <c r="AQ133" s="57"/>
      <c r="AR133" s="57"/>
      <c r="AS133" s="57"/>
      <c r="AT133" s="57"/>
      <c r="AU133" s="57"/>
      <c r="AV133" s="57"/>
      <c r="AW133" s="57"/>
      <c r="AX133" s="57"/>
      <c r="AY133" s="57"/>
    </row>
    <row r="134" spans="1:55" s="19" customFormat="1" ht="15" customHeight="1" x14ac:dyDescent="0.2">
      <c r="A134" s="11"/>
      <c r="B134" s="11"/>
      <c r="C134" s="11"/>
      <c r="D134" s="11"/>
      <c r="G134" s="11"/>
      <c r="H134" s="11"/>
      <c r="I134" s="11"/>
      <c r="J134" s="11"/>
      <c r="M134" s="11"/>
      <c r="N134" s="11"/>
      <c r="O134" s="11"/>
      <c r="P134" s="11"/>
      <c r="Q134" s="11"/>
      <c r="R134" s="11"/>
      <c r="Z134" s="125"/>
      <c r="AA134" s="45"/>
      <c r="AB134" s="45"/>
      <c r="AC134" s="62"/>
      <c r="AF134" s="336"/>
      <c r="AG134" s="336"/>
      <c r="AH134" s="336"/>
      <c r="AI134" s="57"/>
      <c r="AJ134" s="57"/>
      <c r="AK134" s="57"/>
      <c r="AL134" s="121"/>
      <c r="AM134" s="121"/>
      <c r="AN134" s="57"/>
      <c r="AO134" s="57"/>
      <c r="AP134" s="57"/>
      <c r="AQ134" s="57"/>
      <c r="AR134" s="57"/>
      <c r="AS134" s="57"/>
      <c r="AT134" s="57"/>
      <c r="AU134" s="57"/>
      <c r="AV134" s="57"/>
      <c r="AW134" s="57"/>
      <c r="AX134" s="57"/>
      <c r="AY134" s="57"/>
    </row>
    <row r="135" spans="1:55" s="19" customFormat="1" ht="15.75" customHeight="1" x14ac:dyDescent="0.2">
      <c r="A135" s="11"/>
      <c r="B135" s="11"/>
      <c r="C135" s="11"/>
      <c r="D135" s="11"/>
      <c r="G135" s="11"/>
      <c r="H135" s="11"/>
      <c r="I135" s="11"/>
      <c r="J135" s="11"/>
      <c r="M135" s="11"/>
      <c r="N135" s="11"/>
      <c r="O135" s="11"/>
      <c r="P135" s="11"/>
      <c r="Q135" s="11"/>
      <c r="R135" s="11"/>
      <c r="Z135" s="334"/>
      <c r="AA135" s="45"/>
      <c r="AB135" s="45"/>
      <c r="AC135" s="129"/>
      <c r="AF135" s="336"/>
      <c r="AG135" s="336"/>
      <c r="AH135" s="336"/>
      <c r="AI135" s="57"/>
      <c r="AJ135" s="121"/>
      <c r="AK135" s="121"/>
      <c r="AL135" s="57"/>
      <c r="AM135" s="57"/>
      <c r="AN135" s="57"/>
      <c r="AO135" s="57"/>
      <c r="AP135" s="57"/>
      <c r="AQ135" s="57"/>
      <c r="AR135" s="57"/>
      <c r="AS135" s="57"/>
      <c r="AT135" s="57"/>
      <c r="AU135" s="57"/>
      <c r="AV135" s="57"/>
      <c r="AW135" s="57"/>
      <c r="AX135" s="57"/>
      <c r="AY135" s="57"/>
    </row>
    <row r="136" spans="1:55" s="19" customFormat="1" ht="15" customHeight="1" x14ac:dyDescent="0.2">
      <c r="A136" s="11"/>
      <c r="B136" s="11"/>
      <c r="C136" s="11"/>
      <c r="D136" s="11"/>
      <c r="G136" s="11"/>
      <c r="H136" s="11"/>
      <c r="I136" s="11"/>
      <c r="J136" s="11"/>
      <c r="M136" s="11"/>
      <c r="N136" s="11"/>
      <c r="O136" s="11"/>
      <c r="P136" s="11"/>
      <c r="Q136" s="11"/>
      <c r="R136" s="11"/>
      <c r="Z136" s="334"/>
      <c r="AA136" s="45"/>
      <c r="AB136" s="45"/>
      <c r="AC136" s="129"/>
      <c r="AF136" s="337"/>
      <c r="AG136" s="337"/>
      <c r="AH136" s="337"/>
      <c r="AI136" s="57"/>
      <c r="AJ136" s="121"/>
      <c r="AK136" s="121"/>
      <c r="AL136" s="57"/>
      <c r="AM136" s="57"/>
      <c r="AN136" s="57"/>
      <c r="AO136" s="57"/>
      <c r="AP136" s="57"/>
      <c r="AQ136" s="57"/>
      <c r="AR136" s="57"/>
      <c r="AS136" s="57"/>
      <c r="AT136" s="57"/>
      <c r="AU136" s="57"/>
      <c r="AV136" s="57"/>
      <c r="AW136" s="57"/>
      <c r="AX136" s="57"/>
      <c r="AY136" s="57"/>
    </row>
    <row r="137" spans="1:55" s="19" customFormat="1" ht="15" customHeight="1" x14ac:dyDescent="0.2">
      <c r="A137" s="11"/>
      <c r="B137" s="11"/>
      <c r="C137" s="11"/>
      <c r="D137" s="11"/>
      <c r="G137" s="11"/>
      <c r="H137" s="11"/>
      <c r="I137" s="11"/>
      <c r="J137" s="11"/>
      <c r="M137" s="11"/>
      <c r="N137" s="11"/>
      <c r="O137" s="11"/>
      <c r="P137" s="11"/>
      <c r="Q137" s="11"/>
      <c r="R137" s="11"/>
      <c r="Z137" s="334"/>
      <c r="AA137" s="45"/>
      <c r="AB137" s="45"/>
      <c r="AC137" s="129"/>
      <c r="AF137" s="337"/>
      <c r="AG137" s="307"/>
      <c r="AH137" s="307"/>
      <c r="AI137" s="57"/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U137" s="57"/>
      <c r="AV137" s="57"/>
      <c r="AW137" s="57"/>
      <c r="AX137" s="57"/>
      <c r="AY137" s="57"/>
    </row>
    <row r="138" spans="1:55" s="19" customFormat="1" ht="15" customHeight="1" x14ac:dyDescent="0.2">
      <c r="A138" s="11"/>
      <c r="B138" s="11"/>
      <c r="C138" s="11"/>
      <c r="D138" s="11"/>
      <c r="G138" s="11"/>
      <c r="H138" s="11"/>
      <c r="I138" s="11"/>
      <c r="J138" s="11"/>
      <c r="M138" s="11"/>
      <c r="N138" s="11"/>
      <c r="O138" s="11"/>
      <c r="P138" s="11"/>
      <c r="Q138" s="11"/>
      <c r="R138" s="11"/>
      <c r="S138" s="75"/>
      <c r="T138" s="64"/>
      <c r="U138" s="226"/>
      <c r="V138" s="130"/>
      <c r="Z138" s="334"/>
      <c r="AA138" s="45"/>
      <c r="AB138" s="45"/>
      <c r="AC138" s="129"/>
      <c r="AF138" s="308"/>
      <c r="AG138" s="309"/>
      <c r="AH138" s="310"/>
      <c r="AI138" s="57"/>
      <c r="AJ138" s="57"/>
      <c r="AK138" s="57"/>
      <c r="AL138" s="57"/>
      <c r="AM138" s="57"/>
      <c r="AN138" s="57"/>
      <c r="AO138" s="57"/>
      <c r="AP138" s="57"/>
      <c r="AQ138" s="57"/>
      <c r="AR138" s="57"/>
      <c r="AS138" s="57"/>
      <c r="AT138" s="57"/>
      <c r="AU138" s="57"/>
      <c r="AV138" s="57"/>
      <c r="AW138" s="57"/>
      <c r="AX138" s="57"/>
      <c r="AY138" s="57"/>
    </row>
    <row r="139" spans="1:55" s="19" customFormat="1" ht="15" customHeight="1" x14ac:dyDescent="0.2">
      <c r="A139" s="11"/>
      <c r="B139" s="11"/>
      <c r="C139" s="11"/>
      <c r="D139" s="11"/>
      <c r="G139" s="11"/>
      <c r="H139" s="11"/>
      <c r="I139" s="11"/>
      <c r="J139" s="11"/>
      <c r="M139" s="11"/>
      <c r="N139" s="11"/>
      <c r="O139" s="11"/>
      <c r="P139" s="11"/>
      <c r="Q139" s="11"/>
      <c r="R139" s="11"/>
      <c r="S139" s="243"/>
      <c r="T139" s="64"/>
      <c r="U139" s="226"/>
      <c r="V139" s="130"/>
      <c r="Z139" s="334"/>
      <c r="AA139" s="45"/>
      <c r="AB139" s="45"/>
      <c r="AC139" s="129"/>
      <c r="AF139" s="308"/>
      <c r="AG139" s="309"/>
      <c r="AH139" s="310"/>
      <c r="AI139" s="57"/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/>
      <c r="AV139" s="57"/>
      <c r="AW139" s="57"/>
      <c r="AX139" s="57"/>
      <c r="AY139" s="57"/>
    </row>
    <row r="140" spans="1:55" s="19" customFormat="1" ht="15" customHeight="1" x14ac:dyDescent="0.2">
      <c r="A140" s="11"/>
      <c r="B140" s="11"/>
      <c r="C140" s="11"/>
      <c r="D140" s="11"/>
      <c r="G140" s="11"/>
      <c r="H140" s="11"/>
      <c r="I140" s="11"/>
      <c r="J140" s="11"/>
      <c r="M140" s="11"/>
      <c r="N140" s="11"/>
      <c r="O140" s="11"/>
      <c r="P140" s="11"/>
      <c r="Q140" s="11"/>
      <c r="R140" s="11"/>
      <c r="S140" s="113"/>
      <c r="T140" s="63"/>
      <c r="U140" s="64"/>
      <c r="V140" s="130"/>
      <c r="Z140" s="221"/>
      <c r="AA140" s="45"/>
      <c r="AB140" s="45"/>
      <c r="AC140" s="129"/>
      <c r="AF140" s="311"/>
      <c r="AG140" s="311"/>
      <c r="AH140" s="311"/>
      <c r="AI140" s="57"/>
      <c r="AJ140" s="57"/>
      <c r="AK140" s="57"/>
      <c r="AL140" s="57"/>
      <c r="AM140" s="57"/>
      <c r="AN140" s="57"/>
      <c r="AO140" s="57"/>
      <c r="AP140" s="57"/>
      <c r="AQ140" s="57"/>
      <c r="AR140" s="57"/>
      <c r="AS140" s="57"/>
      <c r="AT140" s="57"/>
      <c r="AU140" s="57"/>
      <c r="AV140" s="57"/>
      <c r="AW140" s="57"/>
      <c r="AX140" s="57"/>
      <c r="AY140" s="57"/>
    </row>
    <row r="141" spans="1:55" s="19" customFormat="1" ht="15" customHeight="1" x14ac:dyDescent="0.2">
      <c r="A141" s="11"/>
      <c r="B141" s="11"/>
      <c r="C141" s="11"/>
      <c r="D141" s="11"/>
      <c r="E141" s="18"/>
      <c r="F141" s="18"/>
      <c r="G141" s="11"/>
      <c r="H141" s="11"/>
      <c r="I141" s="11"/>
      <c r="J141" s="11"/>
      <c r="K141" s="18"/>
      <c r="L141" s="18"/>
      <c r="M141" s="11"/>
      <c r="N141" s="11"/>
      <c r="O141" s="11"/>
      <c r="P141" s="11"/>
      <c r="Q141" s="11"/>
      <c r="R141" s="11"/>
      <c r="S141" s="113"/>
      <c r="T141" s="63"/>
      <c r="U141" s="64"/>
      <c r="V141" s="130"/>
      <c r="Z141" s="221"/>
      <c r="AA141" s="45"/>
      <c r="AB141" s="45"/>
      <c r="AC141" s="129"/>
      <c r="AF141" s="338"/>
      <c r="AG141" s="71"/>
      <c r="AH141" s="241"/>
      <c r="AI141" s="57"/>
      <c r="AJ141" s="57"/>
      <c r="AK141" s="57"/>
      <c r="AL141" s="57"/>
      <c r="AM141" s="57"/>
      <c r="AN141" s="312"/>
      <c r="AO141" s="57"/>
      <c r="AP141" s="57"/>
      <c r="AQ141" s="57"/>
      <c r="AR141" s="57"/>
      <c r="AS141" s="57"/>
      <c r="AT141" s="57"/>
      <c r="AU141" s="57"/>
      <c r="AV141" s="57"/>
      <c r="AW141" s="57"/>
      <c r="AX141" s="57"/>
      <c r="AY141" s="57"/>
    </row>
    <row r="142" spans="1:55" s="19" customFormat="1" ht="15" customHeight="1" x14ac:dyDescent="0.2">
      <c r="A142" s="11"/>
      <c r="B142" s="11"/>
      <c r="C142" s="11"/>
      <c r="D142" s="11"/>
      <c r="E142" s="18"/>
      <c r="F142" s="18"/>
      <c r="G142" s="11"/>
      <c r="H142" s="11"/>
      <c r="I142" s="11"/>
      <c r="J142" s="11"/>
      <c r="K142" s="18"/>
      <c r="L142" s="18"/>
      <c r="M142" s="11"/>
      <c r="N142" s="11"/>
      <c r="O142" s="11"/>
      <c r="P142" s="11"/>
      <c r="Q142" s="11"/>
      <c r="R142" s="11"/>
      <c r="S142" s="113"/>
      <c r="T142" s="63"/>
      <c r="U142" s="64"/>
      <c r="V142" s="130"/>
      <c r="Z142" s="221"/>
      <c r="AA142" s="45"/>
      <c r="AB142" s="45"/>
      <c r="AC142" s="129"/>
      <c r="AF142" s="118"/>
      <c r="AG142" s="118"/>
      <c r="AH142" s="118"/>
      <c r="AI142" s="57"/>
      <c r="AJ142" s="57"/>
      <c r="AK142" s="57"/>
      <c r="AL142" s="312"/>
      <c r="AM142" s="312"/>
      <c r="AN142" s="124"/>
      <c r="AO142" s="57"/>
      <c r="AP142" s="57"/>
      <c r="AQ142" s="57"/>
      <c r="AR142" s="57"/>
      <c r="AS142" s="57"/>
      <c r="AT142" s="57"/>
      <c r="AU142" s="57"/>
      <c r="AV142" s="57"/>
      <c r="AW142" s="57"/>
      <c r="AX142" s="57"/>
      <c r="AY142" s="57"/>
    </row>
    <row r="143" spans="1:55" s="18" customFormat="1" ht="15" customHeight="1" x14ac:dyDescent="0.2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3"/>
      <c r="T143" s="63"/>
      <c r="U143" s="64"/>
      <c r="V143" s="130"/>
      <c r="Z143" s="64"/>
      <c r="AA143" s="45"/>
      <c r="AB143" s="45"/>
      <c r="AC143" s="45"/>
      <c r="AF143" s="315"/>
      <c r="AG143" s="118"/>
      <c r="AH143" s="118"/>
      <c r="AI143" s="57"/>
      <c r="AJ143" s="57"/>
      <c r="AK143" s="57"/>
      <c r="AL143" s="124"/>
      <c r="AM143" s="124"/>
      <c r="AN143" s="316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</row>
    <row r="144" spans="1:55" s="18" customFormat="1" ht="15" customHeight="1" x14ac:dyDescent="0.2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3"/>
      <c r="T144" s="63"/>
      <c r="U144" s="64"/>
      <c r="V144" s="130"/>
      <c r="Z144" s="64"/>
      <c r="AA144" s="45"/>
      <c r="AB144" s="45"/>
      <c r="AC144" s="45"/>
      <c r="AF144" s="313"/>
      <c r="AG144" s="313"/>
      <c r="AH144" s="313"/>
      <c r="AI144" s="312"/>
      <c r="AJ144" s="312"/>
      <c r="AK144" s="312"/>
      <c r="AL144" s="316"/>
      <c r="AM144" s="316"/>
      <c r="AN144" s="317"/>
      <c r="AO144" s="57"/>
      <c r="AP144" s="57"/>
      <c r="AQ144" s="57"/>
      <c r="AR144" s="57"/>
      <c r="AS144" s="57"/>
      <c r="AT144" s="57"/>
      <c r="AU144" s="57"/>
      <c r="AV144" s="57"/>
      <c r="AW144" s="57"/>
      <c r="AX144" s="57"/>
      <c r="AY144" s="57"/>
    </row>
    <row r="145" spans="19:51" ht="15" customHeight="1" x14ac:dyDescent="0.2">
      <c r="S145" s="220"/>
      <c r="T145" s="63"/>
      <c r="U145" s="64"/>
      <c r="V145" s="130"/>
      <c r="Z145" s="64"/>
      <c r="AA145" s="45"/>
      <c r="AB145" s="45"/>
      <c r="AC145" s="45"/>
      <c r="AF145" s="318"/>
      <c r="AG145" s="318"/>
      <c r="AH145" s="318"/>
      <c r="AI145" s="124"/>
      <c r="AJ145" s="124"/>
      <c r="AK145" s="124"/>
      <c r="AL145" s="321"/>
      <c r="AM145" s="321"/>
      <c r="AN145" s="319"/>
      <c r="AO145" s="57"/>
      <c r="AP145" s="57"/>
      <c r="AQ145" s="57"/>
      <c r="AR145" s="57"/>
      <c r="AS145" s="57"/>
      <c r="AT145" s="57"/>
      <c r="AU145" s="57"/>
      <c r="AV145" s="57"/>
      <c r="AW145" s="57"/>
      <c r="AX145" s="57"/>
      <c r="AY145" s="57"/>
    </row>
    <row r="146" spans="19:51" ht="15" customHeight="1" x14ac:dyDescent="0.2">
      <c r="S146" s="220"/>
      <c r="T146" s="63"/>
      <c r="U146" s="64"/>
      <c r="V146" s="45"/>
      <c r="Z146" s="64"/>
      <c r="AA146" s="45"/>
      <c r="AB146" s="45"/>
      <c r="AC146" s="45"/>
      <c r="AF146" s="318"/>
      <c r="AG146" s="318"/>
      <c r="AH146" s="318"/>
      <c r="AI146" s="320"/>
      <c r="AJ146" s="321"/>
      <c r="AK146" s="321"/>
      <c r="AL146" s="321"/>
      <c r="AM146" s="321"/>
      <c r="AN146" s="322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</row>
    <row r="147" spans="19:51" ht="15" customHeight="1" x14ac:dyDescent="0.2">
      <c r="S147" s="222"/>
      <c r="T147" s="63"/>
      <c r="U147" s="45"/>
      <c r="V147" s="45"/>
      <c r="Z147" s="77"/>
      <c r="AA147" s="77"/>
      <c r="AB147" s="77"/>
      <c r="AC147" s="45"/>
      <c r="AF147" s="312"/>
      <c r="AG147" s="312"/>
      <c r="AH147" s="312"/>
      <c r="AI147" s="126"/>
      <c r="AJ147" s="321"/>
      <c r="AK147" s="321"/>
      <c r="AL147" s="321"/>
      <c r="AM147" s="321"/>
      <c r="AN147" s="317"/>
      <c r="AO147" s="57"/>
      <c r="AP147" s="57"/>
      <c r="AQ147" s="57"/>
      <c r="AR147" s="57"/>
      <c r="AS147" s="57"/>
      <c r="AT147" s="57"/>
      <c r="AU147" s="57"/>
      <c r="AV147" s="57"/>
      <c r="AW147" s="57"/>
      <c r="AX147" s="57"/>
      <c r="AY147" s="57"/>
    </row>
    <row r="148" spans="19:51" ht="15" customHeight="1" x14ac:dyDescent="0.2">
      <c r="S148" s="113"/>
      <c r="T148" s="63"/>
      <c r="U148" s="63"/>
      <c r="V148" s="45"/>
      <c r="Z148" s="77"/>
      <c r="AA148" s="77"/>
      <c r="AB148" s="77"/>
      <c r="AC148" s="76"/>
      <c r="AF148" s="124"/>
      <c r="AG148" s="124"/>
      <c r="AH148" s="124"/>
      <c r="AI148" s="324"/>
      <c r="AJ148" s="321"/>
      <c r="AK148" s="321"/>
      <c r="AL148" s="321"/>
      <c r="AM148" s="321"/>
      <c r="AN148" s="317"/>
      <c r="AO148" s="57"/>
      <c r="AP148" s="57"/>
      <c r="AQ148" s="57"/>
      <c r="AR148" s="57"/>
      <c r="AS148" s="57"/>
      <c r="AT148" s="57"/>
      <c r="AU148" s="57"/>
      <c r="AV148" s="57"/>
      <c r="AW148" s="57"/>
      <c r="AX148" s="57"/>
      <c r="AY148" s="57"/>
    </row>
    <row r="149" spans="19:51" ht="15" customHeight="1" x14ac:dyDescent="0.2">
      <c r="S149" s="222"/>
      <c r="T149" s="45"/>
      <c r="U149" s="45"/>
      <c r="V149" s="45"/>
      <c r="Z149" s="77"/>
      <c r="AA149" s="77"/>
      <c r="AB149" s="77"/>
      <c r="AC149" s="45"/>
      <c r="AF149" s="320"/>
      <c r="AG149" s="124"/>
      <c r="AH149" s="124"/>
      <c r="AI149" s="126"/>
      <c r="AJ149" s="321"/>
      <c r="AK149" s="321"/>
      <c r="AL149" s="321"/>
      <c r="AM149" s="321"/>
      <c r="AN149" s="319"/>
      <c r="AO149" s="57"/>
      <c r="AP149" s="57"/>
      <c r="AQ149" s="57"/>
      <c r="AR149" s="57"/>
      <c r="AS149" s="57"/>
      <c r="AT149" s="57"/>
      <c r="AU149" s="57"/>
      <c r="AV149" s="57"/>
      <c r="AW149" s="57"/>
      <c r="AX149" s="57"/>
      <c r="AY149" s="57"/>
    </row>
    <row r="150" spans="19:51" ht="15" customHeight="1" x14ac:dyDescent="0.2">
      <c r="V150" s="45"/>
      <c r="Z150" s="78"/>
      <c r="AA150" s="78"/>
      <c r="AB150" s="78"/>
      <c r="AC150" s="78"/>
      <c r="AF150" s="325"/>
      <c r="AG150" s="325"/>
      <c r="AH150" s="124"/>
      <c r="AI150" s="126"/>
      <c r="AJ150" s="321"/>
      <c r="AK150" s="321"/>
      <c r="AL150" s="321"/>
      <c r="AM150" s="321"/>
      <c r="AN150" s="326"/>
      <c r="AO150" s="57"/>
      <c r="AP150" s="57"/>
      <c r="AQ150" s="57"/>
      <c r="AR150" s="57"/>
      <c r="AS150" s="57"/>
      <c r="AT150" s="57"/>
      <c r="AU150" s="57"/>
      <c r="AV150" s="57"/>
      <c r="AW150" s="57"/>
      <c r="AX150" s="57"/>
      <c r="AY150" s="57"/>
    </row>
    <row r="151" spans="19:51" ht="15" customHeight="1" x14ac:dyDescent="0.2">
      <c r="V151" s="45"/>
      <c r="Z151" s="45"/>
      <c r="AA151" s="45"/>
      <c r="AB151" s="45"/>
      <c r="AC151" s="45"/>
      <c r="AF151" s="327"/>
      <c r="AG151" s="327"/>
      <c r="AH151" s="124"/>
      <c r="AI151" s="126"/>
      <c r="AJ151" s="321"/>
      <c r="AK151" s="321"/>
      <c r="AL151" s="328"/>
      <c r="AM151" s="326"/>
      <c r="AN151" s="124"/>
      <c r="AO151" s="57"/>
      <c r="AP151" s="57"/>
      <c r="AQ151" s="57"/>
      <c r="AR151" s="57"/>
      <c r="AS151" s="57"/>
      <c r="AT151" s="57"/>
      <c r="AU151" s="57"/>
      <c r="AV151" s="57"/>
      <c r="AW151" s="57"/>
      <c r="AX151" s="57"/>
      <c r="AY151" s="57"/>
    </row>
    <row r="152" spans="19:51" ht="24" customHeight="1" x14ac:dyDescent="0.2">
      <c r="V152" s="45"/>
      <c r="Z152" s="45"/>
      <c r="AA152" s="45"/>
      <c r="AB152" s="45"/>
      <c r="AC152" s="45"/>
      <c r="AF152" s="329"/>
      <c r="AG152" s="329"/>
      <c r="AH152" s="124"/>
      <c r="AI152" s="126"/>
      <c r="AJ152" s="321"/>
      <c r="AK152" s="321"/>
      <c r="AL152" s="124"/>
      <c r="AM152" s="124"/>
      <c r="AN152" s="124"/>
      <c r="AO152" s="57"/>
      <c r="AP152" s="57"/>
      <c r="AQ152" s="57"/>
      <c r="AR152" s="57"/>
      <c r="AS152" s="57"/>
      <c r="AT152" s="57"/>
      <c r="AU152" s="57"/>
      <c r="AV152" s="57"/>
      <c r="AW152" s="57"/>
      <c r="AX152" s="57"/>
      <c r="AY152" s="57"/>
    </row>
    <row r="153" spans="19:51" ht="21.95" customHeight="1" x14ac:dyDescent="0.2">
      <c r="V153" s="45"/>
      <c r="Z153" s="45"/>
      <c r="AA153" s="45"/>
      <c r="AB153" s="45"/>
      <c r="AC153" s="45"/>
      <c r="AF153" s="330"/>
      <c r="AG153" s="330"/>
      <c r="AH153" s="124"/>
      <c r="AI153" s="126"/>
      <c r="AJ153" s="321"/>
      <c r="AK153" s="321"/>
      <c r="AL153" s="124"/>
      <c r="AM153" s="124"/>
      <c r="AN153" s="124"/>
      <c r="AO153" s="57"/>
      <c r="AP153" s="57"/>
      <c r="AQ153" s="57"/>
      <c r="AR153" s="57"/>
      <c r="AS153" s="57"/>
      <c r="AT153" s="57"/>
      <c r="AU153" s="57"/>
      <c r="AV153" s="57"/>
      <c r="AW153" s="57"/>
      <c r="AX153" s="57"/>
      <c r="AY153" s="57"/>
    </row>
    <row r="154" spans="19:51" ht="21" customHeight="1" x14ac:dyDescent="0.2">
      <c r="V154" s="45"/>
      <c r="Z154" s="45"/>
      <c r="AA154" s="45"/>
      <c r="AB154" s="45"/>
      <c r="AC154" s="45"/>
      <c r="AF154" s="331"/>
      <c r="AG154" s="331"/>
      <c r="AH154" s="124"/>
      <c r="AI154" s="126"/>
      <c r="AJ154" s="321"/>
      <c r="AK154" s="321"/>
      <c r="AL154" s="124"/>
      <c r="AM154" s="124"/>
      <c r="AN154" s="124"/>
      <c r="AO154" s="57"/>
      <c r="AP154" s="57"/>
      <c r="AQ154" s="57"/>
      <c r="AR154" s="57"/>
      <c r="AS154" s="57"/>
      <c r="AT154" s="57"/>
      <c r="AU154" s="57"/>
      <c r="AV154" s="57"/>
      <c r="AW154" s="57"/>
      <c r="AX154" s="57"/>
      <c r="AY154" s="57"/>
    </row>
    <row r="155" spans="19:51" ht="15.75" customHeight="1" x14ac:dyDescent="0.2">
      <c r="V155" s="45"/>
      <c r="Z155" s="45"/>
      <c r="AA155" s="45"/>
      <c r="AB155" s="45"/>
      <c r="AC155" s="45"/>
      <c r="AF155" s="331"/>
      <c r="AG155" s="331"/>
      <c r="AH155" s="124"/>
      <c r="AI155" s="126"/>
      <c r="AJ155" s="321"/>
      <c r="AK155" s="321"/>
      <c r="AL155" s="124"/>
      <c r="AM155" s="124"/>
      <c r="AN155" s="124"/>
      <c r="AO155" s="127"/>
      <c r="AP155" s="127"/>
      <c r="AQ155" s="127"/>
      <c r="AR155" s="127"/>
      <c r="AS155" s="57"/>
      <c r="AT155" s="57"/>
      <c r="AU155" s="57"/>
      <c r="AV155" s="57"/>
      <c r="AW155" s="57"/>
      <c r="AX155" s="57"/>
      <c r="AY155" s="57"/>
    </row>
    <row r="156" spans="19:51" ht="12.75" customHeight="1" x14ac:dyDescent="0.2">
      <c r="V156" s="45"/>
      <c r="Z156" s="45"/>
      <c r="AA156" s="45"/>
      <c r="AB156" s="45"/>
      <c r="AC156" s="45"/>
      <c r="AF156" s="332"/>
      <c r="AG156" s="332"/>
      <c r="AH156" s="124"/>
      <c r="AI156" s="126"/>
      <c r="AJ156" s="321"/>
      <c r="AK156" s="321"/>
      <c r="AL156" s="124"/>
      <c r="AM156" s="124"/>
      <c r="AN156" s="124"/>
      <c r="AO156" s="128"/>
      <c r="AP156" s="128"/>
      <c r="AQ156" s="128"/>
      <c r="AR156" s="128"/>
      <c r="AS156" s="57"/>
      <c r="AT156" s="57"/>
      <c r="AU156" s="57"/>
      <c r="AV156" s="57"/>
      <c r="AW156" s="57"/>
      <c r="AX156" s="57"/>
      <c r="AY156" s="57"/>
    </row>
    <row r="157" spans="19:51" ht="18.75" customHeight="1" x14ac:dyDescent="0.2">
      <c r="S157" s="218"/>
      <c r="T157" s="62"/>
      <c r="U157" s="45"/>
      <c r="V157" s="45"/>
      <c r="Z157" s="45"/>
      <c r="AA157" s="45"/>
      <c r="AB157" s="45"/>
      <c r="AC157" s="45"/>
      <c r="AD157" s="332"/>
      <c r="AE157" s="332"/>
      <c r="AF157" s="332"/>
      <c r="AG157" s="332"/>
      <c r="AH157" s="124"/>
      <c r="AI157" s="126"/>
      <c r="AJ157" s="321"/>
      <c r="AK157" s="321"/>
      <c r="AL157" s="124"/>
      <c r="AM157" s="124"/>
      <c r="AN157" s="124"/>
      <c r="AO157" s="128"/>
      <c r="AP157" s="128"/>
      <c r="AQ157" s="128"/>
      <c r="AR157" s="128"/>
      <c r="AS157" s="57"/>
      <c r="AT157" s="57"/>
      <c r="AU157" s="57"/>
      <c r="AV157" s="57"/>
      <c r="AW157" s="57"/>
      <c r="AX157" s="57"/>
      <c r="AY157" s="57"/>
    </row>
    <row r="158" spans="19:51" ht="29.25" customHeight="1" x14ac:dyDescent="0.2">
      <c r="U158" s="45"/>
      <c r="V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</row>
    <row r="159" spans="19:51" ht="27.95" customHeight="1" x14ac:dyDescent="0.2">
      <c r="U159" s="45"/>
      <c r="V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</row>
    <row r="160" spans="19:51" ht="27.95" customHeight="1" x14ac:dyDescent="0.2">
      <c r="U160" s="45"/>
      <c r="V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</row>
    <row r="161" spans="19:55" ht="12.95" customHeight="1" x14ac:dyDescent="0.2">
      <c r="U161" s="45"/>
      <c r="V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</row>
    <row r="162" spans="19:55" ht="12" customHeight="1" x14ac:dyDescent="0.2">
      <c r="U162" s="45"/>
      <c r="V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</row>
    <row r="163" spans="19:55" x14ac:dyDescent="0.2">
      <c r="U163" s="45"/>
      <c r="V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</row>
    <row r="164" spans="19:55" x14ac:dyDescent="0.2">
      <c r="S164" s="45"/>
      <c r="T164" s="45"/>
      <c r="U164" s="45"/>
      <c r="V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45"/>
    </row>
    <row r="165" spans="19:55" x14ac:dyDescent="0.2">
      <c r="S165" s="45"/>
      <c r="T165" s="45"/>
      <c r="U165" s="45"/>
      <c r="V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45"/>
      <c r="BC165" s="45"/>
    </row>
    <row r="166" spans="19:55" x14ac:dyDescent="0.2">
      <c r="S166" s="45"/>
      <c r="T166" s="45"/>
      <c r="U166" s="45"/>
      <c r="V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45"/>
      <c r="BC166" s="45"/>
    </row>
    <row r="167" spans="19:55" x14ac:dyDescent="0.2">
      <c r="S167" s="45"/>
      <c r="T167" s="45"/>
      <c r="U167" s="45"/>
      <c r="V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45"/>
    </row>
    <row r="168" spans="19:55" x14ac:dyDescent="0.2">
      <c r="S168" s="45"/>
      <c r="T168" s="45"/>
      <c r="U168" s="45"/>
      <c r="V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45"/>
    </row>
    <row r="169" spans="19:55" x14ac:dyDescent="0.2">
      <c r="S169" s="45"/>
      <c r="T169" s="45"/>
      <c r="U169" s="45"/>
      <c r="V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  <c r="BC169" s="45"/>
    </row>
    <row r="170" spans="19:55" x14ac:dyDescent="0.2">
      <c r="S170" s="45"/>
      <c r="T170" s="45"/>
      <c r="U170" s="45"/>
      <c r="V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45"/>
      <c r="BC170" s="45"/>
    </row>
    <row r="171" spans="19:55" x14ac:dyDescent="0.2">
      <c r="S171" s="45"/>
      <c r="T171" s="45"/>
      <c r="U171" s="45"/>
      <c r="V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45"/>
      <c r="BC171" s="45"/>
    </row>
    <row r="172" spans="19:55" x14ac:dyDescent="0.2">
      <c r="S172" s="45"/>
      <c r="T172" s="45"/>
      <c r="U172" s="45"/>
      <c r="V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45"/>
      <c r="BC172" s="45"/>
    </row>
    <row r="173" spans="19:55" x14ac:dyDescent="0.2">
      <c r="S173" s="45"/>
      <c r="T173" s="45"/>
      <c r="U173" s="45"/>
      <c r="V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45"/>
      <c r="BC173" s="45"/>
    </row>
    <row r="174" spans="19:55" x14ac:dyDescent="0.2">
      <c r="S174" s="45"/>
      <c r="T174" s="45"/>
      <c r="U174" s="45"/>
      <c r="V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45"/>
      <c r="BC174" s="45"/>
    </row>
    <row r="175" spans="19:55" x14ac:dyDescent="0.2">
      <c r="S175" s="45"/>
      <c r="T175" s="45"/>
      <c r="U175" s="45"/>
      <c r="V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45"/>
      <c r="BC175" s="45"/>
    </row>
    <row r="176" spans="19:55" x14ac:dyDescent="0.2">
      <c r="S176" s="45"/>
      <c r="T176" s="45"/>
      <c r="U176" s="45"/>
      <c r="V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</row>
    <row r="177" spans="19:55" x14ac:dyDescent="0.2">
      <c r="S177" s="45"/>
      <c r="T177" s="45"/>
      <c r="U177" s="45"/>
      <c r="V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</row>
    <row r="178" spans="19:55" x14ac:dyDescent="0.2">
      <c r="S178" s="45"/>
      <c r="T178" s="45"/>
      <c r="U178" s="45"/>
      <c r="V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</row>
    <row r="179" spans="19:55" x14ac:dyDescent="0.2">
      <c r="S179" s="45"/>
      <c r="T179" s="45"/>
      <c r="U179" s="45"/>
      <c r="V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</row>
    <row r="180" spans="19:55" x14ac:dyDescent="0.2">
      <c r="S180" s="45"/>
      <c r="T180" s="45"/>
      <c r="U180" s="45"/>
      <c r="V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</row>
    <row r="181" spans="19:55" x14ac:dyDescent="0.2">
      <c r="S181" s="45"/>
      <c r="T181" s="45"/>
      <c r="U181" s="45"/>
      <c r="V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</row>
    <row r="182" spans="19:55" x14ac:dyDescent="0.2">
      <c r="S182" s="45"/>
      <c r="T182" s="45"/>
      <c r="U182" s="45"/>
      <c r="V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</row>
    <row r="183" spans="19:55" x14ac:dyDescent="0.2">
      <c r="S183" s="45"/>
      <c r="T183" s="45"/>
      <c r="U183" s="45"/>
      <c r="V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</row>
    <row r="184" spans="19:55" x14ac:dyDescent="0.2">
      <c r="S184" s="45"/>
      <c r="T184" s="45"/>
      <c r="U184" s="45"/>
      <c r="V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</row>
    <row r="185" spans="19:55" x14ac:dyDescent="0.2">
      <c r="S185" s="45"/>
      <c r="T185" s="45"/>
      <c r="U185" s="45"/>
      <c r="V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</row>
    <row r="186" spans="19:55" x14ac:dyDescent="0.2">
      <c r="S186" s="45"/>
      <c r="T186" s="45"/>
      <c r="U186" s="45"/>
      <c r="V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</row>
  </sheetData>
  <sheetProtection password="B39D" sheet="1" formatCells="0" formatColumns="0" formatRows="0"/>
  <protectedRanges>
    <protectedRange sqref="M2:N3" name="Rango1_1_1"/>
    <protectedRange sqref="N4" name="Rango1_1_1_1"/>
  </protectedRanges>
  <mergeCells count="122">
    <mergeCell ref="A51:D51"/>
    <mergeCell ref="A52:D52"/>
    <mergeCell ref="A53:D53"/>
    <mergeCell ref="A54:D54"/>
    <mergeCell ref="A55:D55"/>
    <mergeCell ref="A44:P44"/>
    <mergeCell ref="A48:D48"/>
    <mergeCell ref="I48:J48"/>
    <mergeCell ref="K48:L48"/>
    <mergeCell ref="M48:N48"/>
    <mergeCell ref="O48:P48"/>
    <mergeCell ref="A49:H50"/>
    <mergeCell ref="A46:P47"/>
    <mergeCell ref="U123:V123"/>
    <mergeCell ref="S118:T118"/>
    <mergeCell ref="U118:V118"/>
    <mergeCell ref="A62:D62"/>
    <mergeCell ref="A63:D63"/>
    <mergeCell ref="A64:D64"/>
    <mergeCell ref="A65:D65"/>
    <mergeCell ref="A66:D66"/>
    <mergeCell ref="A56:D56"/>
    <mergeCell ref="A57:D57"/>
    <mergeCell ref="A58:D58"/>
    <mergeCell ref="A59:D59"/>
    <mergeCell ref="A60:D60"/>
    <mergeCell ref="A61:D61"/>
    <mergeCell ref="V71:V73"/>
    <mergeCell ref="V74:V76"/>
    <mergeCell ref="V77:V79"/>
    <mergeCell ref="V82:V84"/>
    <mergeCell ref="U119:V119"/>
    <mergeCell ref="S121:T122"/>
    <mergeCell ref="U121:V122"/>
    <mergeCell ref="AD1:AE1"/>
    <mergeCell ref="AG1:AY1"/>
    <mergeCell ref="I29:J29"/>
    <mergeCell ref="O29:P29"/>
    <mergeCell ref="I30:J30"/>
    <mergeCell ref="O30:P30"/>
    <mergeCell ref="T21:U21"/>
    <mergeCell ref="N4:P4"/>
    <mergeCell ref="I24:J24"/>
    <mergeCell ref="O24:P25"/>
    <mergeCell ref="I25:J25"/>
    <mergeCell ref="O14:P14"/>
    <mergeCell ref="I19:J19"/>
    <mergeCell ref="O19:P19"/>
    <mergeCell ref="I17:J17"/>
    <mergeCell ref="T2:AB2"/>
    <mergeCell ref="T27:Z27"/>
    <mergeCell ref="I15:J15"/>
    <mergeCell ref="I27:J27"/>
    <mergeCell ref="O27:P27"/>
    <mergeCell ref="I28:J28"/>
    <mergeCell ref="O28:P28"/>
    <mergeCell ref="D1:P3"/>
    <mergeCell ref="S13:S14"/>
    <mergeCell ref="T39:Y39"/>
    <mergeCell ref="T38:W38"/>
    <mergeCell ref="I22:J22"/>
    <mergeCell ref="O22:P22"/>
    <mergeCell ref="I23:J23"/>
    <mergeCell ref="I12:J12"/>
    <mergeCell ref="I20:J20"/>
    <mergeCell ref="O20:P20"/>
    <mergeCell ref="I21:J21"/>
    <mergeCell ref="O21:P21"/>
    <mergeCell ref="I18:J18"/>
    <mergeCell ref="I13:J13"/>
    <mergeCell ref="I14:J14"/>
    <mergeCell ref="I16:J16"/>
    <mergeCell ref="O23:P23"/>
    <mergeCell ref="O15:P15"/>
    <mergeCell ref="O34:P34"/>
    <mergeCell ref="A31:P31"/>
    <mergeCell ref="C32:D32"/>
    <mergeCell ref="G32:H32"/>
    <mergeCell ref="B27:H27"/>
    <mergeCell ref="B28:H28"/>
    <mergeCell ref="B29:H29"/>
    <mergeCell ref="B30:H30"/>
    <mergeCell ref="D4:M4"/>
    <mergeCell ref="D5:P5"/>
    <mergeCell ref="C34:D34"/>
    <mergeCell ref="G34:H34"/>
    <mergeCell ref="J32:N32"/>
    <mergeCell ref="A10:P10"/>
    <mergeCell ref="B37:D37"/>
    <mergeCell ref="O32:P32"/>
    <mergeCell ref="C33:D33"/>
    <mergeCell ref="G33:H33"/>
    <mergeCell ref="J33:M33"/>
    <mergeCell ref="O33:P33"/>
    <mergeCell ref="I11:J11"/>
    <mergeCell ref="I26:J26"/>
    <mergeCell ref="O26:P26"/>
    <mergeCell ref="B24:H25"/>
    <mergeCell ref="B40:O43"/>
    <mergeCell ref="Q6:R6"/>
    <mergeCell ref="Q7:R7"/>
    <mergeCell ref="Q8:R8"/>
    <mergeCell ref="Q9:R9"/>
    <mergeCell ref="J7:K7"/>
    <mergeCell ref="L7:O7"/>
    <mergeCell ref="K8:O8"/>
    <mergeCell ref="B11:H11"/>
    <mergeCell ref="B12:H12"/>
    <mergeCell ref="B13:H13"/>
    <mergeCell ref="B14:H14"/>
    <mergeCell ref="B15:H15"/>
    <mergeCell ref="B16:H16"/>
    <mergeCell ref="B17:H17"/>
    <mergeCell ref="B18:H18"/>
    <mergeCell ref="B19:H19"/>
    <mergeCell ref="B20:H20"/>
    <mergeCell ref="B21:H21"/>
    <mergeCell ref="B22:H22"/>
    <mergeCell ref="B23:H23"/>
    <mergeCell ref="B26:H26"/>
    <mergeCell ref="B39:D39"/>
    <mergeCell ref="E39:O39"/>
  </mergeCells>
  <printOptions horizontalCentered="1"/>
  <pageMargins left="0.59055118110236227" right="0.39370078740157483" top="0.59055118110236227" bottom="0.59055118110236227" header="0" footer="0.19685039370078741"/>
  <pageSetup paperSize="9" pageOrder="overThenDown" orientation="portrait" r:id="rId1"/>
  <headerFooter scaleWithDoc="0">
    <oddFooter xml:space="preserve">&amp;L&amp;6Calle 26 No.69-76 Edificio Elemento Torre 1, Piso 3 – C.P. 111071
PBX: 3779555 – Información: Línea 195
www.umv.gov.co&amp;C&amp;6GLAB-FM-099
Página 1  de 1
</oddFooter>
  </headerFooter>
  <ignoredErrors>
    <ignoredError sqref="K12:N12 K16:N16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O55"/>
  <sheetViews>
    <sheetView showGridLines="0" view="pageBreakPreview" topLeftCell="A34" zoomScaleNormal="100" zoomScaleSheetLayoutView="100" workbookViewId="0">
      <selection activeCell="AI49" sqref="AI49"/>
    </sheetView>
  </sheetViews>
  <sheetFormatPr baseColWidth="10" defaultColWidth="8.42578125" defaultRowHeight="12.75" x14ac:dyDescent="0.2"/>
  <cols>
    <col min="1" max="1" width="3.28515625" style="91" customWidth="1"/>
    <col min="2" max="2" width="4.28515625" style="91" customWidth="1"/>
    <col min="3" max="3" width="3.28515625" style="91" customWidth="1"/>
    <col min="4" max="4" width="4.5703125" style="91" customWidth="1"/>
    <col min="5" max="9" width="3.28515625" style="91" customWidth="1"/>
    <col min="10" max="10" width="4.140625" style="91" customWidth="1"/>
    <col min="11" max="11" width="4.7109375" style="91" customWidth="1"/>
    <col min="12" max="24" width="3.28515625" style="91" customWidth="1"/>
    <col min="25" max="25" width="4.7109375" style="91" customWidth="1"/>
    <col min="26" max="26" width="2.28515625" style="91" customWidth="1"/>
    <col min="27" max="28" width="3.28515625" style="91" customWidth="1"/>
    <col min="29" max="29" width="3.140625" style="91" customWidth="1"/>
    <col min="30" max="41" width="5.140625" style="91" customWidth="1"/>
    <col min="42" max="16384" width="8.42578125" style="91"/>
  </cols>
  <sheetData>
    <row r="1" spans="1:41" s="89" customFormat="1" ht="15.95" customHeight="1" x14ac:dyDescent="0.2">
      <c r="A1" s="1544"/>
      <c r="B1" s="1545"/>
      <c r="C1" s="1545"/>
      <c r="D1" s="1546"/>
      <c r="E1" s="1550" t="s">
        <v>163</v>
      </c>
      <c r="F1" s="1551"/>
      <c r="G1" s="1551"/>
      <c r="H1" s="1551"/>
      <c r="I1" s="1551"/>
      <c r="J1" s="1551"/>
      <c r="K1" s="1551"/>
      <c r="L1" s="1551"/>
      <c r="M1" s="1551"/>
      <c r="N1" s="1551"/>
      <c r="O1" s="1551"/>
      <c r="P1" s="1551"/>
      <c r="Q1" s="1551"/>
      <c r="R1" s="1551"/>
      <c r="S1" s="1551"/>
      <c r="T1" s="1551"/>
      <c r="U1" s="1551"/>
      <c r="V1" s="1551"/>
      <c r="W1" s="1551"/>
      <c r="X1" s="1551"/>
      <c r="Y1" s="1551"/>
      <c r="Z1" s="1551"/>
      <c r="AA1" s="1551"/>
      <c r="AB1" s="1551"/>
      <c r="AC1" s="1552"/>
    </row>
    <row r="2" spans="1:41" s="89" customFormat="1" ht="24.95" customHeight="1" x14ac:dyDescent="0.2">
      <c r="A2" s="1547"/>
      <c r="B2" s="1548"/>
      <c r="C2" s="1548"/>
      <c r="D2" s="1549"/>
      <c r="E2" s="1553" t="s">
        <v>380</v>
      </c>
      <c r="F2" s="1554"/>
      <c r="G2" s="1554"/>
      <c r="H2" s="1554"/>
      <c r="I2" s="1554"/>
      <c r="J2" s="1554"/>
      <c r="K2" s="1554"/>
      <c r="L2" s="1554"/>
      <c r="M2" s="1554"/>
      <c r="N2" s="1554"/>
      <c r="O2" s="1554"/>
      <c r="P2" s="1554"/>
      <c r="Q2" s="1554"/>
      <c r="R2" s="1554"/>
      <c r="S2" s="1554"/>
      <c r="T2" s="1554"/>
      <c r="U2" s="1554"/>
      <c r="V2" s="1554"/>
      <c r="W2" s="1554"/>
      <c r="X2" s="1554"/>
      <c r="Y2" s="1554"/>
      <c r="Z2" s="1554"/>
      <c r="AA2" s="1554"/>
      <c r="AB2" s="1554"/>
      <c r="AC2" s="1555"/>
    </row>
    <row r="3" spans="1:41" s="89" customFormat="1" ht="15.95" customHeight="1" x14ac:dyDescent="0.2">
      <c r="A3" s="1547"/>
      <c r="B3" s="1548"/>
      <c r="C3" s="1548"/>
      <c r="D3" s="1549"/>
      <c r="E3" s="1556" t="s">
        <v>203</v>
      </c>
      <c r="F3" s="1557"/>
      <c r="G3" s="1557"/>
      <c r="H3" s="1557"/>
      <c r="I3" s="1557"/>
      <c r="J3" s="1557"/>
      <c r="K3" s="1557"/>
      <c r="L3" s="1557"/>
      <c r="M3" s="1557"/>
      <c r="N3" s="1557"/>
      <c r="O3" s="1557"/>
      <c r="P3" s="1557"/>
      <c r="Q3" s="1557"/>
      <c r="R3" s="1557"/>
      <c r="S3" s="1557"/>
      <c r="T3" s="1557"/>
      <c r="U3" s="1558"/>
      <c r="V3" s="1556" t="s">
        <v>395</v>
      </c>
      <c r="W3" s="1557"/>
      <c r="X3" s="1557"/>
      <c r="Y3" s="1557"/>
      <c r="Z3" s="1557"/>
      <c r="AA3" s="1557"/>
      <c r="AB3" s="1557"/>
      <c r="AC3" s="1558"/>
    </row>
    <row r="4" spans="1:41" s="89" customFormat="1" ht="15.95" customHeight="1" x14ac:dyDescent="0.2">
      <c r="A4" s="1547"/>
      <c r="B4" s="1548"/>
      <c r="C4" s="1548"/>
      <c r="D4" s="1549"/>
      <c r="E4" s="1559" t="s">
        <v>396</v>
      </c>
      <c r="F4" s="1560"/>
      <c r="G4" s="1560"/>
      <c r="H4" s="1560"/>
      <c r="I4" s="1560"/>
      <c r="J4" s="1560"/>
      <c r="K4" s="1560"/>
      <c r="L4" s="1560"/>
      <c r="M4" s="1560"/>
      <c r="N4" s="1560"/>
      <c r="O4" s="1560"/>
      <c r="P4" s="1560"/>
      <c r="Q4" s="1560"/>
      <c r="R4" s="1560"/>
      <c r="S4" s="1560"/>
      <c r="T4" s="1560"/>
      <c r="U4" s="1560"/>
      <c r="V4" s="1560"/>
      <c r="W4" s="1560"/>
      <c r="X4" s="1560"/>
      <c r="Y4" s="1560"/>
      <c r="Z4" s="1560"/>
      <c r="AA4" s="1560"/>
      <c r="AB4" s="1560"/>
      <c r="AC4" s="1561"/>
    </row>
    <row r="5" spans="1:41" s="89" customFormat="1" ht="12" customHeight="1" x14ac:dyDescent="0.2">
      <c r="A5" s="1541" t="s">
        <v>41</v>
      </c>
      <c r="B5" s="1542"/>
      <c r="C5" s="1542"/>
      <c r="D5" s="1542"/>
      <c r="E5" s="1542"/>
      <c r="F5" s="1542"/>
      <c r="G5" s="1543" t="str">
        <f>IF(Resumen!E6="","",Resumen!E6)</f>
        <v/>
      </c>
      <c r="H5" s="1543"/>
      <c r="I5" s="1543"/>
      <c r="J5" s="1543"/>
      <c r="K5" s="1543"/>
      <c r="L5" s="1543"/>
      <c r="M5" s="1543"/>
      <c r="N5" s="1543"/>
      <c r="O5" s="1543"/>
      <c r="P5" s="1543"/>
      <c r="Q5" s="1543"/>
      <c r="R5" s="1543"/>
      <c r="S5" s="880" t="s">
        <v>59</v>
      </c>
      <c r="T5" s="880"/>
      <c r="U5" s="880"/>
      <c r="V5" s="880"/>
      <c r="W5" s="880"/>
      <c r="X5" s="881" t="str">
        <f>+IF(Resumen!M6="","",Resumen!M6)</f>
        <v/>
      </c>
      <c r="Y5" s="881"/>
      <c r="Z5" s="881"/>
      <c r="AA5" s="881"/>
      <c r="AB5" s="881"/>
      <c r="AC5" s="1046"/>
    </row>
    <row r="6" spans="1:41" s="90" customFormat="1" ht="12" customHeight="1" x14ac:dyDescent="0.2">
      <c r="A6" s="1537" t="s">
        <v>42</v>
      </c>
      <c r="B6" s="1538"/>
      <c r="C6" s="1538"/>
      <c r="D6" s="1538"/>
      <c r="E6" s="1538"/>
      <c r="F6" s="1538"/>
      <c r="G6" s="1534" t="str">
        <f>IF(Resumen!E7="","",Resumen!E7)</f>
        <v/>
      </c>
      <c r="H6" s="1534"/>
      <c r="I6" s="1534"/>
      <c r="J6" s="1534"/>
      <c r="K6" s="1534"/>
      <c r="L6" s="1534"/>
      <c r="M6" s="1534"/>
      <c r="N6" s="1534"/>
      <c r="O6" s="1534"/>
      <c r="P6" s="1534"/>
      <c r="Q6" s="1534"/>
      <c r="R6" s="1534"/>
      <c r="S6" s="1533" t="s">
        <v>47</v>
      </c>
      <c r="T6" s="1533"/>
      <c r="U6" s="1533"/>
      <c r="V6" s="1533"/>
      <c r="W6" s="1533"/>
      <c r="X6" s="1539" t="str">
        <f>+IF(Resumen!M7="","",Resumen!M7)</f>
        <v/>
      </c>
      <c r="Y6" s="1539"/>
      <c r="Z6" s="1539"/>
      <c r="AA6" s="1539"/>
      <c r="AB6" s="1539"/>
      <c r="AC6" s="1540"/>
    </row>
    <row r="7" spans="1:41" s="90" customFormat="1" ht="12" customHeight="1" x14ac:dyDescent="0.2">
      <c r="A7" s="1537" t="s">
        <v>56</v>
      </c>
      <c r="B7" s="1538"/>
      <c r="C7" s="1538"/>
      <c r="D7" s="1538"/>
      <c r="E7" s="1538"/>
      <c r="F7" s="1538"/>
      <c r="G7" s="1534" t="str">
        <f>IF(Resumen!E8="","",Resumen!E8)</f>
        <v/>
      </c>
      <c r="H7" s="1534"/>
      <c r="I7" s="1534"/>
      <c r="J7" s="1534"/>
      <c r="K7" s="1534"/>
      <c r="L7" s="1534"/>
      <c r="M7" s="1534"/>
      <c r="N7" s="1534"/>
      <c r="O7" s="1534"/>
      <c r="P7" s="1534"/>
      <c r="Q7" s="1534"/>
      <c r="R7" s="1534"/>
      <c r="S7" s="1533" t="s">
        <v>60</v>
      </c>
      <c r="T7" s="1533"/>
      <c r="U7" s="1533"/>
      <c r="V7" s="1533"/>
      <c r="W7" s="1533"/>
      <c r="X7" s="1539" t="str">
        <f>+IF(Resumen!M8="","",Resumen!M8)</f>
        <v/>
      </c>
      <c r="Y7" s="1539"/>
      <c r="Z7" s="1539"/>
      <c r="AA7" s="1539"/>
      <c r="AB7" s="1539"/>
      <c r="AC7" s="1540"/>
    </row>
    <row r="8" spans="1:41" s="90" customFormat="1" ht="12" customHeight="1" x14ac:dyDescent="0.2">
      <c r="A8" s="1532" t="s">
        <v>379</v>
      </c>
      <c r="B8" s="1533"/>
      <c r="C8" s="1533"/>
      <c r="D8" s="1533"/>
      <c r="E8" s="1533"/>
      <c r="F8" s="1533"/>
      <c r="G8" s="1534" t="str">
        <f>IF(Resumen!E9="","",Resumen!E9)</f>
        <v/>
      </c>
      <c r="H8" s="1534"/>
      <c r="I8" s="1534"/>
      <c r="J8" s="1534"/>
      <c r="K8" s="1534"/>
      <c r="L8" s="1534"/>
      <c r="M8" s="1534"/>
      <c r="N8" s="1534"/>
      <c r="O8" s="1534"/>
      <c r="P8" s="1534"/>
      <c r="Q8" s="1534"/>
      <c r="R8" s="1534"/>
      <c r="S8" s="1533" t="s">
        <v>61</v>
      </c>
      <c r="T8" s="1533"/>
      <c r="U8" s="1533"/>
      <c r="V8" s="1533"/>
      <c r="W8" s="1533"/>
      <c r="X8" s="1539" t="str">
        <f>+IF(Resumen!M9="","",Resumen!M9)</f>
        <v/>
      </c>
      <c r="Y8" s="1539"/>
      <c r="Z8" s="1539"/>
      <c r="AA8" s="1539"/>
      <c r="AB8" s="1539"/>
      <c r="AC8" s="1540"/>
    </row>
    <row r="9" spans="1:41" s="90" customFormat="1" ht="12" customHeight="1" x14ac:dyDescent="0.2">
      <c r="A9" s="1532" t="s">
        <v>201</v>
      </c>
      <c r="B9" s="1533"/>
      <c r="C9" s="1533"/>
      <c r="D9" s="1533"/>
      <c r="E9" s="1533"/>
      <c r="F9" s="1533"/>
      <c r="G9" s="1534" t="str">
        <f>IF(Resumen!E10="","",Resumen!E10)</f>
        <v/>
      </c>
      <c r="H9" s="1534"/>
      <c r="I9" s="1534"/>
      <c r="J9" s="1534"/>
      <c r="K9" s="1534"/>
      <c r="L9" s="1534"/>
      <c r="M9" s="1534"/>
      <c r="N9" s="1534"/>
      <c r="O9" s="1534"/>
      <c r="P9" s="1534"/>
      <c r="Q9" s="1534"/>
      <c r="R9" s="1534"/>
      <c r="S9" s="1533" t="s">
        <v>53</v>
      </c>
      <c r="T9" s="1533"/>
      <c r="U9" s="1533"/>
      <c r="V9" s="1533"/>
      <c r="W9" s="1533"/>
      <c r="X9" s="1535" t="str">
        <f>+IF(Resumen!M10="","",Resumen!M10)</f>
        <v/>
      </c>
      <c r="Y9" s="1535"/>
      <c r="Z9" s="1535"/>
      <c r="AA9" s="1535"/>
      <c r="AB9" s="1535"/>
      <c r="AC9" s="1536"/>
      <c r="AD9" s="90" t="str">
        <f>+IF([7]Resumen!AE9="","",[7]Resumen!AE9)</f>
        <v/>
      </c>
    </row>
    <row r="10" spans="1:41" s="90" customFormat="1" ht="12" customHeight="1" x14ac:dyDescent="0.2">
      <c r="A10" s="1532" t="s">
        <v>91</v>
      </c>
      <c r="B10" s="1533"/>
      <c r="C10" s="1533"/>
      <c r="D10" s="1533"/>
      <c r="E10" s="1533"/>
      <c r="F10" s="1533"/>
      <c r="G10" s="1363" t="str">
        <f>IF(Resumen!E11="","",Resumen!E11)</f>
        <v/>
      </c>
      <c r="H10" s="1363"/>
      <c r="I10" s="1363"/>
      <c r="J10" s="1363"/>
      <c r="K10" s="1363"/>
      <c r="L10" s="1363"/>
      <c r="M10" s="1363"/>
      <c r="N10" s="1363"/>
      <c r="O10" s="1363"/>
      <c r="P10" s="1363"/>
      <c r="Q10" s="1363"/>
      <c r="R10" s="1363"/>
      <c r="S10" s="1045" t="s">
        <v>258</v>
      </c>
      <c r="T10" s="1045"/>
      <c r="U10" s="1045"/>
      <c r="V10" s="1045"/>
      <c r="W10" s="1045"/>
      <c r="X10" s="1535"/>
      <c r="Y10" s="1535"/>
      <c r="Z10" s="1535"/>
      <c r="AA10" s="1535"/>
      <c r="AB10" s="1535"/>
      <c r="AC10" s="1536"/>
      <c r="AD10" s="90" t="str">
        <f>+IF([7]Resumen!AE10="","",[7]Resumen!AE10)</f>
        <v/>
      </c>
    </row>
    <row r="11" spans="1:41" s="90" customFormat="1" ht="12" customHeight="1" x14ac:dyDescent="0.2">
      <c r="A11" s="1521"/>
      <c r="B11" s="1522"/>
      <c r="C11" s="1522"/>
      <c r="D11" s="1522"/>
      <c r="E11" s="1522"/>
      <c r="F11" s="1522"/>
      <c r="G11" s="1364"/>
      <c r="H11" s="1364"/>
      <c r="I11" s="1364"/>
      <c r="J11" s="1364"/>
      <c r="K11" s="1364"/>
      <c r="L11" s="1364"/>
      <c r="M11" s="1364"/>
      <c r="N11" s="1364"/>
      <c r="O11" s="1364"/>
      <c r="P11" s="1364"/>
      <c r="Q11" s="1364"/>
      <c r="R11" s="1364"/>
      <c r="S11" s="1523" t="s">
        <v>164</v>
      </c>
      <c r="T11" s="1523"/>
      <c r="U11" s="1523"/>
      <c r="V11" s="1523"/>
      <c r="W11" s="1523"/>
      <c r="X11" s="1524" t="str">
        <f>+IF(Resumen!M12="","",Resumen!M12)</f>
        <v/>
      </c>
      <c r="Y11" s="1524"/>
      <c r="Z11" s="1524"/>
      <c r="AA11" s="1524"/>
      <c r="AB11" s="1524"/>
      <c r="AC11" s="1525"/>
    </row>
    <row r="12" spans="1:41" ht="15" customHeight="1" x14ac:dyDescent="0.2">
      <c r="A12" s="1526" t="s">
        <v>169</v>
      </c>
      <c r="B12" s="1527"/>
      <c r="C12" s="1527"/>
      <c r="D12" s="1527"/>
      <c r="E12" s="1527"/>
      <c r="F12" s="1527"/>
      <c r="G12" s="1527"/>
      <c r="H12" s="1527"/>
      <c r="I12" s="1527"/>
      <c r="J12" s="1527"/>
      <c r="K12" s="1528"/>
      <c r="L12" s="1529">
        <v>1</v>
      </c>
      <c r="M12" s="1518"/>
      <c r="N12" s="1518"/>
      <c r="O12" s="1518">
        <v>2</v>
      </c>
      <c r="P12" s="1518"/>
      <c r="Q12" s="1518"/>
      <c r="R12" s="1518">
        <v>3</v>
      </c>
      <c r="S12" s="1518"/>
      <c r="T12" s="1530"/>
      <c r="U12" s="1531">
        <v>4</v>
      </c>
      <c r="V12" s="1518"/>
      <c r="W12" s="1518"/>
      <c r="X12" s="1518">
        <v>5</v>
      </c>
      <c r="Y12" s="1518"/>
      <c r="Z12" s="1518"/>
      <c r="AA12" s="1518">
        <v>6</v>
      </c>
      <c r="AB12" s="1518"/>
      <c r="AC12" s="1519"/>
      <c r="AD12" s="1520">
        <v>1</v>
      </c>
      <c r="AE12" s="1515"/>
      <c r="AF12" s="1514">
        <v>2</v>
      </c>
      <c r="AG12" s="1515"/>
      <c r="AH12" s="1514">
        <v>3</v>
      </c>
      <c r="AI12" s="1515"/>
      <c r="AJ12" s="1514">
        <v>4</v>
      </c>
      <c r="AK12" s="1515"/>
      <c r="AL12" s="1514">
        <v>5</v>
      </c>
      <c r="AM12" s="1515"/>
      <c r="AN12" s="1514">
        <v>6</v>
      </c>
      <c r="AO12" s="1515"/>
    </row>
    <row r="13" spans="1:41" ht="12.95" customHeight="1" x14ac:dyDescent="0.2">
      <c r="A13" s="711" t="s">
        <v>170</v>
      </c>
      <c r="B13" s="712"/>
      <c r="C13" s="712"/>
      <c r="D13" s="712"/>
      <c r="E13" s="712"/>
      <c r="F13" s="712"/>
      <c r="G13" s="712"/>
      <c r="H13" s="712"/>
      <c r="I13" s="712"/>
      <c r="J13" s="712"/>
      <c r="K13" s="713" t="s">
        <v>11</v>
      </c>
      <c r="L13" s="1451" t="str">
        <f>IF(AD14="","",AVERAGE(AD14:AE14))</f>
        <v/>
      </c>
      <c r="M13" s="1452"/>
      <c r="N13" s="1452"/>
      <c r="O13" s="1452" t="str">
        <f>IF(AF14="","",AVERAGE(AF14:AG14))</f>
        <v/>
      </c>
      <c r="P13" s="1452"/>
      <c r="Q13" s="1452"/>
      <c r="R13" s="1452" t="str">
        <f>IF(AH14="","",AVERAGE(AH14:AI14))</f>
        <v/>
      </c>
      <c r="S13" s="1452"/>
      <c r="T13" s="1453"/>
      <c r="U13" s="1449" t="str">
        <f>IF(AJ14="","",AVERAGE(AJ14:AK14))</f>
        <v/>
      </c>
      <c r="V13" s="1447"/>
      <c r="W13" s="1447"/>
      <c r="X13" s="1447" t="str">
        <f>IF(AL14="","",AVERAGE(AL14:AM14))</f>
        <v/>
      </c>
      <c r="Y13" s="1447"/>
      <c r="Z13" s="1447"/>
      <c r="AA13" s="1447" t="str">
        <f>IF(AN14="","",AVERAGE(AN14:AO14))</f>
        <v/>
      </c>
      <c r="AB13" s="1447"/>
      <c r="AC13" s="1450"/>
      <c r="AD13" s="1516" t="s">
        <v>377</v>
      </c>
      <c r="AE13" s="1516"/>
      <c r="AF13" s="1516"/>
      <c r="AG13" s="1516"/>
      <c r="AH13" s="1516"/>
      <c r="AI13" s="1516"/>
      <c r="AJ13" s="1516"/>
      <c r="AK13" s="1516"/>
      <c r="AL13" s="1516"/>
      <c r="AM13" s="1516"/>
      <c r="AN13" s="1516"/>
      <c r="AO13" s="1517"/>
    </row>
    <row r="14" spans="1:41" ht="12.95" customHeight="1" x14ac:dyDescent="0.2">
      <c r="A14" s="711" t="s">
        <v>381</v>
      </c>
      <c r="B14" s="712"/>
      <c r="C14" s="712"/>
      <c r="D14" s="712"/>
      <c r="E14" s="712"/>
      <c r="F14" s="712"/>
      <c r="G14" s="712"/>
      <c r="H14" s="712"/>
      <c r="I14" s="712"/>
      <c r="J14" s="712"/>
      <c r="K14" s="713" t="s">
        <v>11</v>
      </c>
      <c r="L14" s="1451" t="str">
        <f>+IF(AD16="","",AVERAGE(AD16:AE17))</f>
        <v/>
      </c>
      <c r="M14" s="1452"/>
      <c r="N14" s="1452"/>
      <c r="O14" s="1452" t="str">
        <f>+IF(AF16="","",AVERAGE(AF16:AG17))</f>
        <v/>
      </c>
      <c r="P14" s="1452"/>
      <c r="Q14" s="1452"/>
      <c r="R14" s="1452" t="str">
        <f>+IF(AH16="","",AVERAGE(AH16:AI17))</f>
        <v/>
      </c>
      <c r="S14" s="1452"/>
      <c r="T14" s="1453"/>
      <c r="U14" s="1449" t="str">
        <f>+IF(AJ16="","",AVERAGE(AJ16:AK17))</f>
        <v/>
      </c>
      <c r="V14" s="1447"/>
      <c r="W14" s="1447"/>
      <c r="X14" s="1447" t="str">
        <f>+IF(AL16="","",AVERAGE(AL16:AM17))</f>
        <v/>
      </c>
      <c r="Y14" s="1447"/>
      <c r="Z14" s="1447"/>
      <c r="AA14" s="1447" t="str">
        <f>+IF(AN16="","",AVERAGE(AN16:AO17))</f>
        <v/>
      </c>
      <c r="AB14" s="1447"/>
      <c r="AC14" s="1450"/>
      <c r="AD14" s="95"/>
      <c r="AE14" s="96"/>
      <c r="AF14" s="97"/>
      <c r="AG14" s="96"/>
      <c r="AH14" s="97"/>
      <c r="AI14" s="96"/>
      <c r="AJ14" s="97"/>
      <c r="AK14" s="96"/>
      <c r="AL14" s="97"/>
      <c r="AM14" s="96"/>
      <c r="AN14" s="97"/>
      <c r="AO14" s="96"/>
    </row>
    <row r="15" spans="1:41" ht="12.95" customHeight="1" x14ac:dyDescent="0.2">
      <c r="A15" s="711" t="s">
        <v>171</v>
      </c>
      <c r="B15" s="712"/>
      <c r="C15" s="712"/>
      <c r="D15" s="712"/>
      <c r="E15" s="712"/>
      <c r="F15" s="712"/>
      <c r="G15" s="712"/>
      <c r="H15" s="712"/>
      <c r="I15" s="712"/>
      <c r="J15" s="712"/>
      <c r="K15" s="713" t="s">
        <v>40</v>
      </c>
      <c r="L15" s="1457"/>
      <c r="M15" s="1458"/>
      <c r="N15" s="1458"/>
      <c r="O15" s="1458"/>
      <c r="P15" s="1458"/>
      <c r="Q15" s="1458"/>
      <c r="R15" s="1458"/>
      <c r="S15" s="1458"/>
      <c r="T15" s="1459"/>
      <c r="U15" s="1511"/>
      <c r="V15" s="1458"/>
      <c r="W15" s="1458"/>
      <c r="X15" s="1458"/>
      <c r="Y15" s="1458"/>
      <c r="Z15" s="1458"/>
      <c r="AA15" s="1458"/>
      <c r="AB15" s="1458"/>
      <c r="AC15" s="1460"/>
      <c r="AD15" s="1455" t="s">
        <v>382</v>
      </c>
      <c r="AE15" s="1512"/>
      <c r="AF15" s="1512"/>
      <c r="AG15" s="1512"/>
      <c r="AH15" s="1512"/>
      <c r="AI15" s="1512"/>
      <c r="AJ15" s="1512"/>
      <c r="AK15" s="1512"/>
      <c r="AL15" s="1512"/>
      <c r="AM15" s="1512"/>
      <c r="AN15" s="1512"/>
      <c r="AO15" s="1513"/>
    </row>
    <row r="16" spans="1:41" ht="12.95" customHeight="1" x14ac:dyDescent="0.2">
      <c r="A16" s="711" t="s">
        <v>172</v>
      </c>
      <c r="B16" s="712"/>
      <c r="C16" s="712"/>
      <c r="D16" s="712"/>
      <c r="E16" s="712"/>
      <c r="F16" s="712"/>
      <c r="G16" s="712"/>
      <c r="H16" s="712"/>
      <c r="I16" s="712"/>
      <c r="J16" s="712"/>
      <c r="K16" s="713" t="s">
        <v>40</v>
      </c>
      <c r="L16" s="1457"/>
      <c r="M16" s="1458"/>
      <c r="N16" s="1458"/>
      <c r="O16" s="1458"/>
      <c r="P16" s="1458"/>
      <c r="Q16" s="1458"/>
      <c r="R16" s="1458"/>
      <c r="S16" s="1458"/>
      <c r="T16" s="1459"/>
      <c r="U16" s="1511"/>
      <c r="V16" s="1458"/>
      <c r="W16" s="1458"/>
      <c r="X16" s="1458"/>
      <c r="Y16" s="1458"/>
      <c r="Z16" s="1458"/>
      <c r="AA16" s="1458"/>
      <c r="AB16" s="1458"/>
      <c r="AC16" s="1460"/>
      <c r="AD16" s="92"/>
      <c r="AE16" s="93"/>
      <c r="AF16" s="94"/>
      <c r="AG16" s="93"/>
      <c r="AH16" s="94"/>
      <c r="AI16" s="93"/>
      <c r="AJ16" s="94"/>
      <c r="AK16" s="93"/>
      <c r="AL16" s="94"/>
      <c r="AM16" s="93"/>
      <c r="AN16" s="94"/>
      <c r="AO16" s="93"/>
    </row>
    <row r="17" spans="1:41" ht="12.95" customHeight="1" x14ac:dyDescent="0.2">
      <c r="A17" s="711" t="s">
        <v>173</v>
      </c>
      <c r="B17" s="712"/>
      <c r="C17" s="712"/>
      <c r="D17" s="712"/>
      <c r="E17" s="712"/>
      <c r="F17" s="712"/>
      <c r="G17" s="712"/>
      <c r="H17" s="712"/>
      <c r="I17" s="712"/>
      <c r="J17" s="712"/>
      <c r="K17" s="713" t="s">
        <v>40</v>
      </c>
      <c r="L17" s="1457"/>
      <c r="M17" s="1458"/>
      <c r="N17" s="1458"/>
      <c r="O17" s="1458"/>
      <c r="P17" s="1458"/>
      <c r="Q17" s="1458"/>
      <c r="R17" s="1458"/>
      <c r="S17" s="1458"/>
      <c r="T17" s="1459"/>
      <c r="U17" s="1511"/>
      <c r="V17" s="1458"/>
      <c r="W17" s="1458"/>
      <c r="X17" s="1458"/>
      <c r="Y17" s="1458"/>
      <c r="Z17" s="1458"/>
      <c r="AA17" s="1458"/>
      <c r="AB17" s="1458"/>
      <c r="AC17" s="1460"/>
      <c r="AD17" s="95"/>
      <c r="AE17" s="96"/>
      <c r="AF17" s="97"/>
      <c r="AG17" s="96"/>
      <c r="AH17" s="97"/>
      <c r="AI17" s="96"/>
      <c r="AJ17" s="97"/>
      <c r="AK17" s="96"/>
      <c r="AL17" s="97"/>
      <c r="AM17" s="96"/>
      <c r="AN17" s="97"/>
      <c r="AO17" s="96"/>
    </row>
    <row r="18" spans="1:41" ht="12.95" customHeight="1" x14ac:dyDescent="0.2">
      <c r="A18" s="711" t="s">
        <v>174</v>
      </c>
      <c r="B18" s="712"/>
      <c r="C18" s="712"/>
      <c r="D18" s="712"/>
      <c r="E18" s="712"/>
      <c r="F18" s="712"/>
      <c r="G18" s="712"/>
      <c r="H18" s="712"/>
      <c r="I18" s="712"/>
      <c r="J18" s="712"/>
      <c r="K18" s="713" t="s">
        <v>383</v>
      </c>
      <c r="L18" s="1506" t="str">
        <f>+IF(L16="","",(L16-L17))</f>
        <v/>
      </c>
      <c r="M18" s="1507"/>
      <c r="N18" s="1507"/>
      <c r="O18" s="1507" t="str">
        <f>+IF(O16="","",(O16-O17))</f>
        <v/>
      </c>
      <c r="P18" s="1507"/>
      <c r="Q18" s="1507"/>
      <c r="R18" s="1507" t="str">
        <f>+IF(R16="","",(R16-R17))</f>
        <v/>
      </c>
      <c r="S18" s="1507"/>
      <c r="T18" s="1508"/>
      <c r="U18" s="1509" t="str">
        <f>+IF(U16="","",(U16-U17))</f>
        <v/>
      </c>
      <c r="V18" s="1507"/>
      <c r="W18" s="1507"/>
      <c r="X18" s="1507" t="str">
        <f>+IF(X16="","",(X16-X17))</f>
        <v/>
      </c>
      <c r="Y18" s="1507"/>
      <c r="Z18" s="1507"/>
      <c r="AA18" s="1507" t="str">
        <f>+IF(AA16="","",(AA16-AA17))</f>
        <v/>
      </c>
      <c r="AB18" s="1507"/>
      <c r="AC18" s="1510"/>
    </row>
    <row r="19" spans="1:41" ht="12.95" customHeight="1" x14ac:dyDescent="0.2">
      <c r="A19" s="711" t="s">
        <v>175</v>
      </c>
      <c r="B19" s="712"/>
      <c r="C19" s="712"/>
      <c r="D19" s="712"/>
      <c r="E19" s="712"/>
      <c r="F19" s="712"/>
      <c r="G19" s="712"/>
      <c r="H19" s="712"/>
      <c r="I19" s="712"/>
      <c r="J19" s="712"/>
      <c r="K19" s="713"/>
      <c r="L19" s="1501" t="str">
        <f>IF(L15="","",L15/L18)</f>
        <v/>
      </c>
      <c r="M19" s="1502"/>
      <c r="N19" s="1502"/>
      <c r="O19" s="1502" t="str">
        <f>IF(O15="","",O15/O18)</f>
        <v/>
      </c>
      <c r="P19" s="1502"/>
      <c r="Q19" s="1502"/>
      <c r="R19" s="1502" t="str">
        <f>IF(R15="","",R15/R18)</f>
        <v/>
      </c>
      <c r="S19" s="1502"/>
      <c r="T19" s="1503"/>
      <c r="U19" s="1504" t="str">
        <f>IF(U15="","",U15/U18)</f>
        <v/>
      </c>
      <c r="V19" s="1502"/>
      <c r="W19" s="1502"/>
      <c r="X19" s="1502" t="str">
        <f>IF(X15="","",X15/X18)</f>
        <v/>
      </c>
      <c r="Y19" s="1502"/>
      <c r="Z19" s="1502"/>
      <c r="AA19" s="1502" t="str">
        <f>IF(AA15="","",AA15/AA18)</f>
        <v/>
      </c>
      <c r="AB19" s="1502"/>
      <c r="AC19" s="1505"/>
    </row>
    <row r="20" spans="1:41" ht="12.95" customHeight="1" x14ac:dyDescent="0.2">
      <c r="A20" s="711" t="s">
        <v>176</v>
      </c>
      <c r="B20" s="712"/>
      <c r="C20" s="712"/>
      <c r="D20" s="712"/>
      <c r="E20" s="712"/>
      <c r="F20" s="712"/>
      <c r="G20" s="712"/>
      <c r="H20" s="712"/>
      <c r="I20" s="712"/>
      <c r="J20" s="712"/>
      <c r="K20" s="713" t="s">
        <v>39</v>
      </c>
      <c r="L20" s="1493" t="str">
        <f>IF(L19="","",(1-(L19/$L$22))*100)</f>
        <v/>
      </c>
      <c r="M20" s="1494"/>
      <c r="N20" s="1494"/>
      <c r="O20" s="1495" t="str">
        <f>IF(O19="","",(1-(O19/$L$22))*100)</f>
        <v/>
      </c>
      <c r="P20" s="1496"/>
      <c r="Q20" s="1497"/>
      <c r="R20" s="1495" t="str">
        <f>IF(R19="","",(1-(R19/L22))*100)</f>
        <v/>
      </c>
      <c r="S20" s="1496"/>
      <c r="T20" s="1498"/>
      <c r="U20" s="1499" t="str">
        <f>IF(U19="","",(1-(U19/L22))*100)</f>
        <v/>
      </c>
      <c r="V20" s="1496"/>
      <c r="W20" s="1497"/>
      <c r="X20" s="1495" t="str">
        <f>IF(X19="","",(1-(X19/L22))*100)</f>
        <v/>
      </c>
      <c r="Y20" s="1496"/>
      <c r="Z20" s="1497"/>
      <c r="AA20" s="1495" t="str">
        <f>IF(AA19="","",(1-(AA19/L22))*100)</f>
        <v/>
      </c>
      <c r="AB20" s="1496"/>
      <c r="AC20" s="1500"/>
    </row>
    <row r="21" spans="1:41" ht="12.95" customHeight="1" x14ac:dyDescent="0.2">
      <c r="A21" s="714" t="s">
        <v>177</v>
      </c>
      <c r="B21" s="715"/>
      <c r="C21" s="715"/>
      <c r="D21" s="715"/>
      <c r="E21" s="715"/>
      <c r="F21" s="715"/>
      <c r="G21" s="715"/>
      <c r="H21" s="715"/>
      <c r="I21" s="715"/>
      <c r="J21" s="715"/>
      <c r="K21" s="716" t="s">
        <v>383</v>
      </c>
      <c r="L21" s="1441" t="str">
        <f>+IF(L18="","",(L20*L18)/100)</f>
        <v/>
      </c>
      <c r="M21" s="1442"/>
      <c r="N21" s="1442"/>
      <c r="O21" s="1442" t="str">
        <f>+IF(O18="","",(O20*O18)/100)</f>
        <v/>
      </c>
      <c r="P21" s="1442"/>
      <c r="Q21" s="1442"/>
      <c r="R21" s="1442" t="str">
        <f>+IF(R18="","",(R20*R18)/100)</f>
        <v/>
      </c>
      <c r="S21" s="1442"/>
      <c r="T21" s="1443"/>
      <c r="U21" s="1492" t="str">
        <f>+IF(U18="","",(U20*U18)/100)</f>
        <v/>
      </c>
      <c r="V21" s="1442"/>
      <c r="W21" s="1442"/>
      <c r="X21" s="1442" t="str">
        <f>+IF(X18="","",(X20*X18)/100)</f>
        <v/>
      </c>
      <c r="Y21" s="1442"/>
      <c r="Z21" s="1442"/>
      <c r="AA21" s="1442" t="str">
        <f>+IF(AA18="","",(AA20*AA18)/100)</f>
        <v/>
      </c>
      <c r="AB21" s="1442"/>
      <c r="AC21" s="1444"/>
    </row>
    <row r="22" spans="1:41" ht="12.95" customHeight="1" x14ac:dyDescent="0.2">
      <c r="A22" s="1482" t="s">
        <v>384</v>
      </c>
      <c r="B22" s="1483"/>
      <c r="C22" s="1483"/>
      <c r="D22" s="1483"/>
      <c r="E22" s="1483"/>
      <c r="F22" s="1483"/>
      <c r="G22" s="1483"/>
      <c r="H22" s="1483"/>
      <c r="I22" s="1483"/>
      <c r="J22" s="1483"/>
      <c r="K22" s="1483"/>
      <c r="L22" s="1484" t="str">
        <f>IF(L13="","",'733 - 735'!G30)</f>
        <v/>
      </c>
      <c r="M22" s="1485"/>
      <c r="N22" s="1485"/>
      <c r="O22" s="1485"/>
      <c r="P22" s="1485"/>
      <c r="Q22" s="1485"/>
      <c r="R22" s="1485"/>
      <c r="S22" s="1485"/>
      <c r="T22" s="1486"/>
      <c r="U22" s="1484" t="str">
        <f>IF(L22="","",L22)</f>
        <v/>
      </c>
      <c r="V22" s="1485"/>
      <c r="W22" s="1485"/>
      <c r="X22" s="1485"/>
      <c r="Y22" s="1485"/>
      <c r="Z22" s="1485"/>
      <c r="AA22" s="1485"/>
      <c r="AB22" s="1485"/>
      <c r="AC22" s="1487"/>
      <c r="AD22" s="1454" t="s">
        <v>382</v>
      </c>
      <c r="AE22" s="1455"/>
      <c r="AF22" s="1455"/>
      <c r="AG22" s="1455"/>
      <c r="AH22" s="1455"/>
      <c r="AI22" s="1456"/>
    </row>
    <row r="23" spans="1:41" ht="12.95" customHeight="1" x14ac:dyDescent="0.2">
      <c r="A23" s="1476" t="s">
        <v>229</v>
      </c>
      <c r="B23" s="1477"/>
      <c r="C23" s="1477"/>
      <c r="D23" s="1477"/>
      <c r="E23" s="1477"/>
      <c r="F23" s="1477"/>
      <c r="G23" s="1477"/>
      <c r="H23" s="1477"/>
      <c r="I23" s="1477"/>
      <c r="J23" s="1477"/>
      <c r="K23" s="1477"/>
      <c r="L23" s="1488" t="str">
        <f>+IF(L19="","",AVERAGE(L19:T19))</f>
        <v/>
      </c>
      <c r="M23" s="1489"/>
      <c r="N23" s="1489"/>
      <c r="O23" s="1489"/>
      <c r="P23" s="1489"/>
      <c r="Q23" s="1489"/>
      <c r="R23" s="1489"/>
      <c r="S23" s="1489"/>
      <c r="T23" s="1490"/>
      <c r="U23" s="1489" t="str">
        <f>+IF(U19="","",AVERAGE(U19:AC19))</f>
        <v/>
      </c>
      <c r="V23" s="1489"/>
      <c r="W23" s="1489"/>
      <c r="X23" s="1489"/>
      <c r="Y23" s="1489"/>
      <c r="Z23" s="1489"/>
      <c r="AA23" s="1489"/>
      <c r="AB23" s="1489"/>
      <c r="AC23" s="1491"/>
      <c r="AD23" s="774" t="str">
        <f>IF(L28="","",+L28)</f>
        <v/>
      </c>
      <c r="AE23" s="774"/>
      <c r="AF23" s="763" t="str">
        <f>IF(O28="","",+O28)</f>
        <v/>
      </c>
      <c r="AG23" s="763"/>
      <c r="AH23" s="776" t="str">
        <f>IF(R28="","",+R28)</f>
        <v/>
      </c>
      <c r="AI23" s="775"/>
    </row>
    <row r="24" spans="1:41" ht="12.95" customHeight="1" x14ac:dyDescent="0.2">
      <c r="A24" s="1476" t="s">
        <v>230</v>
      </c>
      <c r="B24" s="1477"/>
      <c r="C24" s="1477"/>
      <c r="D24" s="1477"/>
      <c r="E24" s="1477"/>
      <c r="F24" s="1477"/>
      <c r="G24" s="1477"/>
      <c r="H24" s="1477"/>
      <c r="I24" s="1477"/>
      <c r="J24" s="1477"/>
      <c r="K24" s="717" t="s">
        <v>39</v>
      </c>
      <c r="L24" s="1478" t="str">
        <f>+IF(L20="","",AVERAGE(L20:T20))</f>
        <v/>
      </c>
      <c r="M24" s="1479"/>
      <c r="N24" s="1479"/>
      <c r="O24" s="1479"/>
      <c r="P24" s="1479"/>
      <c r="Q24" s="1479"/>
      <c r="R24" s="1479"/>
      <c r="S24" s="1479"/>
      <c r="T24" s="1480"/>
      <c r="U24" s="1479" t="str">
        <f>+IF(U20="","",AVERAGE(U20:AC20))</f>
        <v/>
      </c>
      <c r="V24" s="1479"/>
      <c r="W24" s="1479"/>
      <c r="X24" s="1479"/>
      <c r="Y24" s="1479"/>
      <c r="Z24" s="1479"/>
      <c r="AA24" s="1479"/>
      <c r="AB24" s="1479"/>
      <c r="AC24" s="1481"/>
      <c r="AD24" s="92"/>
      <c r="AE24" s="93"/>
      <c r="AF24" s="94"/>
      <c r="AG24" s="93"/>
      <c r="AH24" s="94"/>
      <c r="AI24" s="93"/>
    </row>
    <row r="25" spans="1:41" ht="12.95" customHeight="1" x14ac:dyDescent="0.2">
      <c r="A25" s="1476" t="s">
        <v>231</v>
      </c>
      <c r="B25" s="1477"/>
      <c r="C25" s="1477"/>
      <c r="D25" s="1477"/>
      <c r="E25" s="1477"/>
      <c r="F25" s="1477"/>
      <c r="G25" s="1477"/>
      <c r="H25" s="1477"/>
      <c r="I25" s="1477"/>
      <c r="J25" s="1477"/>
      <c r="K25" s="717" t="s">
        <v>383</v>
      </c>
      <c r="L25" s="1478" t="str">
        <f>+IF(L21="","",AVERAGE(L21:T21))</f>
        <v/>
      </c>
      <c r="M25" s="1479"/>
      <c r="N25" s="1479"/>
      <c r="O25" s="1479"/>
      <c r="P25" s="1479"/>
      <c r="Q25" s="1479"/>
      <c r="R25" s="1479"/>
      <c r="S25" s="1479"/>
      <c r="T25" s="1480"/>
      <c r="U25" s="1479" t="str">
        <f>+IF(U21="","",AVERAGE(U21:AC21))</f>
        <v/>
      </c>
      <c r="V25" s="1479"/>
      <c r="W25" s="1479"/>
      <c r="X25" s="1479"/>
      <c r="Y25" s="1479"/>
      <c r="Z25" s="1479"/>
      <c r="AA25" s="1479"/>
      <c r="AB25" s="1479"/>
      <c r="AC25" s="1481"/>
      <c r="AD25" s="95"/>
      <c r="AE25" s="96"/>
      <c r="AF25" s="97"/>
      <c r="AG25" s="96"/>
      <c r="AH25" s="97"/>
      <c r="AI25" s="96"/>
    </row>
    <row r="26" spans="1:41" ht="15" customHeight="1" x14ac:dyDescent="0.2">
      <c r="A26" s="1435" t="s">
        <v>166</v>
      </c>
      <c r="B26" s="1436"/>
      <c r="C26" s="1436"/>
      <c r="D26" s="1436"/>
      <c r="E26" s="1436"/>
      <c r="F26" s="1436"/>
      <c r="G26" s="1436"/>
      <c r="H26" s="1436"/>
      <c r="I26" s="1436"/>
      <c r="J26" s="1436"/>
      <c r="K26" s="1436"/>
      <c r="L26" s="1439" t="s">
        <v>167</v>
      </c>
      <c r="M26" s="1439"/>
      <c r="N26" s="1439"/>
      <c r="O26" s="1439"/>
      <c r="P26" s="1439"/>
      <c r="Q26" s="1439"/>
      <c r="R26" s="1439"/>
      <c r="S26" s="1439"/>
      <c r="T26" s="1439"/>
      <c r="U26" s="1439"/>
      <c r="V26" s="1439"/>
      <c r="W26" s="1439"/>
      <c r="X26" s="1439"/>
      <c r="Y26" s="1439"/>
      <c r="Z26" s="1439"/>
      <c r="AA26" s="1439"/>
      <c r="AB26" s="1439"/>
      <c r="AC26" s="1440"/>
      <c r="AD26" s="1454" t="s">
        <v>391</v>
      </c>
      <c r="AE26" s="1455"/>
      <c r="AF26" s="1455"/>
      <c r="AG26" s="1455"/>
      <c r="AH26" s="1455"/>
      <c r="AI26" s="1456"/>
    </row>
    <row r="27" spans="1:41" ht="15" customHeight="1" x14ac:dyDescent="0.2">
      <c r="A27" s="1471" t="s">
        <v>182</v>
      </c>
      <c r="B27" s="1472"/>
      <c r="C27" s="1472"/>
      <c r="D27" s="1472"/>
      <c r="E27" s="1472"/>
      <c r="F27" s="1472"/>
      <c r="G27" s="1472"/>
      <c r="H27" s="1472"/>
      <c r="I27" s="1472"/>
      <c r="J27" s="1472"/>
      <c r="K27" s="1472"/>
      <c r="L27" s="1473" t="s">
        <v>183</v>
      </c>
      <c r="M27" s="1473"/>
      <c r="N27" s="1473"/>
      <c r="O27" s="1473"/>
      <c r="P27" s="1473"/>
      <c r="Q27" s="1473"/>
      <c r="R27" s="1473"/>
      <c r="S27" s="1473"/>
      <c r="T27" s="1473"/>
      <c r="U27" s="1474" t="s">
        <v>184</v>
      </c>
      <c r="V27" s="1474"/>
      <c r="W27" s="1474"/>
      <c r="X27" s="1474"/>
      <c r="Y27" s="1474"/>
      <c r="Z27" s="1474"/>
      <c r="AA27" s="1474"/>
      <c r="AB27" s="1474"/>
      <c r="AC27" s="1475"/>
      <c r="AD27" s="773" t="str">
        <f>IF(L28="","",HLOOKUP(AD23,$L$12:$AC$21,4))</f>
        <v/>
      </c>
      <c r="AE27" s="773"/>
      <c r="AF27" s="773" t="str">
        <f>IF(O28="","",HLOOKUP(AF23,$L$12:$AC$21,4))</f>
        <v/>
      </c>
      <c r="AG27" s="773"/>
      <c r="AH27" s="773" t="str">
        <f>IF(R28="","",HLOOKUP(AH23,$L$12:$AC$21,4))</f>
        <v/>
      </c>
      <c r="AI27" s="773"/>
      <c r="AJ27" s="98"/>
    </row>
    <row r="28" spans="1:41" ht="12.95" customHeight="1" x14ac:dyDescent="0.2">
      <c r="A28" s="718" t="s">
        <v>169</v>
      </c>
      <c r="B28" s="719"/>
      <c r="C28" s="719"/>
      <c r="D28" s="719"/>
      <c r="E28" s="719"/>
      <c r="F28" s="719"/>
      <c r="G28" s="719"/>
      <c r="H28" s="719"/>
      <c r="I28" s="719"/>
      <c r="J28" s="719"/>
      <c r="K28" s="720"/>
      <c r="L28" s="1465"/>
      <c r="M28" s="1466"/>
      <c r="N28" s="1466"/>
      <c r="O28" s="1466"/>
      <c r="P28" s="1466"/>
      <c r="Q28" s="1466"/>
      <c r="R28" s="1466"/>
      <c r="S28" s="1466"/>
      <c r="T28" s="1467"/>
      <c r="U28" s="1468" t="str">
        <f>IF(L28="","",L28)</f>
        <v/>
      </c>
      <c r="V28" s="1469"/>
      <c r="W28" s="1469"/>
      <c r="X28" s="1469" t="str">
        <f t="shared" ref="X28" si="0">IF(O28="","",O28)</f>
        <v/>
      </c>
      <c r="Y28" s="1469"/>
      <c r="Z28" s="1469"/>
      <c r="AA28" s="1469" t="str">
        <f t="shared" ref="AA28" si="1">IF(R28="","",R28)</f>
        <v/>
      </c>
      <c r="AB28" s="1469"/>
      <c r="AC28" s="1470"/>
      <c r="AD28" s="1454" t="s">
        <v>392</v>
      </c>
      <c r="AE28" s="1455"/>
      <c r="AF28" s="1455"/>
      <c r="AG28" s="1455"/>
      <c r="AH28" s="1455"/>
      <c r="AI28" s="1456"/>
      <c r="AJ28" s="1413"/>
      <c r="AK28" s="1413"/>
      <c r="AL28" s="1413"/>
      <c r="AM28" s="1413"/>
      <c r="AN28" s="1413"/>
      <c r="AO28" s="1413"/>
    </row>
    <row r="29" spans="1:41" ht="12.95" customHeight="1" x14ac:dyDescent="0.2">
      <c r="A29" s="721" t="s">
        <v>385</v>
      </c>
      <c r="B29" s="722"/>
      <c r="C29" s="722"/>
      <c r="D29" s="722"/>
      <c r="E29" s="722"/>
      <c r="F29" s="722"/>
      <c r="G29" s="722"/>
      <c r="H29" s="722"/>
      <c r="I29" s="722"/>
      <c r="J29" s="722"/>
      <c r="K29" s="723" t="s">
        <v>11</v>
      </c>
      <c r="L29" s="1462"/>
      <c r="M29" s="1463"/>
      <c r="N29" s="1463"/>
      <c r="O29" s="1463"/>
      <c r="P29" s="1463"/>
      <c r="Q29" s="1463"/>
      <c r="R29" s="1463"/>
      <c r="S29" s="1463"/>
      <c r="T29" s="1464"/>
      <c r="U29" s="1449" t="str">
        <f>++IF(AD24="","",AVERAGE(AD24:AE25))</f>
        <v/>
      </c>
      <c r="V29" s="1447"/>
      <c r="W29" s="1447"/>
      <c r="X29" s="1447" t="str">
        <f>+IF(AF24="","",AVERAGE(AF24:AG25))</f>
        <v/>
      </c>
      <c r="Y29" s="1447"/>
      <c r="Z29" s="1447"/>
      <c r="AA29" s="1447" t="str">
        <f>+IF(AH24="","",AVERAGE(AH24:AI25))</f>
        <v/>
      </c>
      <c r="AB29" s="1447"/>
      <c r="AC29" s="1450"/>
      <c r="AD29" s="1445" t="str">
        <f>IF(L28="","",HLOOKUP(AD23,$L$12:$AC$21,10))</f>
        <v/>
      </c>
      <c r="AE29" s="1445"/>
      <c r="AF29" s="1445" t="str">
        <f>IF(O28="","",HLOOKUP(AF23,$L$12:$AC$21,10))</f>
        <v/>
      </c>
      <c r="AG29" s="1445"/>
      <c r="AH29" s="1445" t="str">
        <f>IF(R28="","",HLOOKUP(AH23,$L$12:$AC$21,10))</f>
        <v/>
      </c>
      <c r="AI29" s="1445"/>
      <c r="AJ29" s="99"/>
      <c r="AK29" s="100"/>
      <c r="AL29" s="100"/>
      <c r="AM29" s="100"/>
      <c r="AN29" s="100"/>
      <c r="AO29" s="100"/>
    </row>
    <row r="30" spans="1:41" ht="12.95" customHeight="1" x14ac:dyDescent="0.2">
      <c r="A30" s="724" t="s">
        <v>185</v>
      </c>
      <c r="B30" s="725"/>
      <c r="C30" s="725"/>
      <c r="D30" s="725"/>
      <c r="E30" s="725"/>
      <c r="F30" s="725"/>
      <c r="G30" s="725"/>
      <c r="H30" s="725"/>
      <c r="I30" s="725"/>
      <c r="J30" s="725"/>
      <c r="K30" s="726" t="s">
        <v>40</v>
      </c>
      <c r="L30" s="1457"/>
      <c r="M30" s="1458"/>
      <c r="N30" s="1458"/>
      <c r="O30" s="1458"/>
      <c r="P30" s="1458"/>
      <c r="Q30" s="1458"/>
      <c r="R30" s="1458"/>
      <c r="S30" s="1458"/>
      <c r="T30" s="1459"/>
      <c r="U30" s="1457"/>
      <c r="V30" s="1458"/>
      <c r="W30" s="1458"/>
      <c r="X30" s="1458"/>
      <c r="Y30" s="1458"/>
      <c r="Z30" s="1458"/>
      <c r="AA30" s="1458"/>
      <c r="AB30" s="1458"/>
      <c r="AC30" s="1460"/>
      <c r="AD30" s="1461" t="s">
        <v>393</v>
      </c>
      <c r="AE30" s="1461"/>
      <c r="AF30" s="1461"/>
      <c r="AG30" s="1461"/>
      <c r="AH30" s="1461"/>
      <c r="AI30" s="1461"/>
      <c r="AJ30" s="99"/>
      <c r="AK30" s="100"/>
      <c r="AL30" s="100"/>
      <c r="AM30" s="100"/>
      <c r="AN30" s="100"/>
      <c r="AO30" s="100"/>
    </row>
    <row r="31" spans="1:41" ht="12.95" customHeight="1" x14ac:dyDescent="0.2">
      <c r="A31" s="724" t="s">
        <v>186</v>
      </c>
      <c r="B31" s="725"/>
      <c r="C31" s="725"/>
      <c r="D31" s="725"/>
      <c r="E31" s="725"/>
      <c r="F31" s="725"/>
      <c r="G31" s="725"/>
      <c r="H31" s="725"/>
      <c r="I31" s="725"/>
      <c r="J31" s="725"/>
      <c r="K31" s="726" t="s">
        <v>40</v>
      </c>
      <c r="L31" s="1457"/>
      <c r="M31" s="1458"/>
      <c r="N31" s="1458"/>
      <c r="O31" s="1458"/>
      <c r="P31" s="1458"/>
      <c r="Q31" s="1458"/>
      <c r="R31" s="1458"/>
      <c r="S31" s="1458"/>
      <c r="T31" s="1459"/>
      <c r="U31" s="1457"/>
      <c r="V31" s="1458"/>
      <c r="W31" s="1458"/>
      <c r="X31" s="1458"/>
      <c r="Y31" s="1458"/>
      <c r="Z31" s="1458"/>
      <c r="AA31" s="1458"/>
      <c r="AB31" s="1458"/>
      <c r="AC31" s="1460"/>
      <c r="AD31" s="1445" t="str">
        <f>IF(U28="","",HLOOKUP(AD23,$L$12:$AC$21,5))</f>
        <v/>
      </c>
      <c r="AE31" s="1445"/>
      <c r="AF31" s="1445" t="str">
        <f>IF(X28="","",HLOOKUP(AF23,$L$12:$AC$21,5))</f>
        <v/>
      </c>
      <c r="AG31" s="1445"/>
      <c r="AH31" s="1445" t="str">
        <f>IF(AA28="","",HLOOKUP(AH23,$L$12:$AC$21,5))</f>
        <v/>
      </c>
      <c r="AI31" s="1445"/>
    </row>
    <row r="32" spans="1:41" ht="12.95" customHeight="1" x14ac:dyDescent="0.2">
      <c r="A32" s="724" t="s">
        <v>187</v>
      </c>
      <c r="B32" s="725"/>
      <c r="C32" s="725"/>
      <c r="D32" s="725"/>
      <c r="E32" s="725"/>
      <c r="F32" s="725"/>
      <c r="G32" s="725"/>
      <c r="H32" s="725"/>
      <c r="I32" s="725"/>
      <c r="J32" s="725"/>
      <c r="K32" s="726" t="s">
        <v>40</v>
      </c>
      <c r="L32" s="1446" t="str">
        <f>+IF(L30="","",L30-L31)</f>
        <v/>
      </c>
      <c r="M32" s="1447"/>
      <c r="N32" s="1447"/>
      <c r="O32" s="1447" t="str">
        <f>+IF(O30="","",O30-O31)</f>
        <v/>
      </c>
      <c r="P32" s="1447"/>
      <c r="Q32" s="1447"/>
      <c r="R32" s="1447" t="str">
        <f>+IF(R30="","",R30-R31)</f>
        <v/>
      </c>
      <c r="S32" s="1447"/>
      <c r="T32" s="1448"/>
      <c r="U32" s="1449" t="str">
        <f>+IF(U30="","",(U30-U31))</f>
        <v/>
      </c>
      <c r="V32" s="1447"/>
      <c r="W32" s="1447"/>
      <c r="X32" s="1447" t="str">
        <f>+IF(X30="","",(X30-X31))</f>
        <v/>
      </c>
      <c r="Y32" s="1447"/>
      <c r="Z32" s="1447"/>
      <c r="AA32" s="1447" t="str">
        <f>+IF(AA30="","",(AA30-AA31))</f>
        <v/>
      </c>
      <c r="AB32" s="1447"/>
      <c r="AC32" s="1450"/>
      <c r="AD32" s="1454" t="s">
        <v>174</v>
      </c>
      <c r="AE32" s="1455"/>
      <c r="AF32" s="1455"/>
      <c r="AG32" s="1455"/>
      <c r="AH32" s="1455"/>
      <c r="AI32" s="1456"/>
    </row>
    <row r="33" spans="1:41" ht="12.95" customHeight="1" x14ac:dyDescent="0.2">
      <c r="A33" s="724" t="s">
        <v>188</v>
      </c>
      <c r="B33" s="725"/>
      <c r="C33" s="725"/>
      <c r="D33" s="725"/>
      <c r="E33" s="725"/>
      <c r="F33" s="725"/>
      <c r="G33" s="725"/>
      <c r="H33" s="725"/>
      <c r="I33" s="725"/>
      <c r="J33" s="725"/>
      <c r="K33" s="713" t="s">
        <v>383</v>
      </c>
      <c r="L33" s="1451" t="str">
        <f>+IF(AD27="","",L30-AD27)</f>
        <v/>
      </c>
      <c r="M33" s="1452"/>
      <c r="N33" s="1452"/>
      <c r="O33" s="1452" t="str">
        <f>+IF(AF27="","",O30-AF27)</f>
        <v/>
      </c>
      <c r="P33" s="1452"/>
      <c r="Q33" s="1452"/>
      <c r="R33" s="1452" t="str">
        <f>+IF(AH27="","",R30-AH27)</f>
        <v/>
      </c>
      <c r="S33" s="1452"/>
      <c r="T33" s="1453"/>
      <c r="U33" s="1449" t="str">
        <f>+IF(AD31="","",AD31-AD27)</f>
        <v/>
      </c>
      <c r="V33" s="1447"/>
      <c r="W33" s="1447"/>
      <c r="X33" s="1447" t="str">
        <f>+IF(AF31="","",AF31-AF27)</f>
        <v/>
      </c>
      <c r="Y33" s="1447"/>
      <c r="Z33" s="1447"/>
      <c r="AA33" s="1447" t="str">
        <f>+IF(AH31="","",AH31-AH27)</f>
        <v/>
      </c>
      <c r="AB33" s="1447"/>
      <c r="AC33" s="1450"/>
      <c r="AD33" s="1445" t="str">
        <f>IF(U28="","",HLOOKUP(AD23,$L$12:$AC$21,7))</f>
        <v/>
      </c>
      <c r="AE33" s="1445"/>
      <c r="AF33" s="1445" t="str">
        <f>IF(X28="","",HLOOKUP(AF23,$L$12:$AC$21,7))</f>
        <v/>
      </c>
      <c r="AG33" s="1445"/>
      <c r="AH33" s="1445" t="str">
        <f>IF(AA28="","",HLOOKUP(AH23,$L$12:$AC$21,7))</f>
        <v/>
      </c>
      <c r="AI33" s="1445"/>
    </row>
    <row r="34" spans="1:41" ht="12.95" customHeight="1" x14ac:dyDescent="0.2">
      <c r="A34" s="724" t="s">
        <v>202</v>
      </c>
      <c r="B34" s="725"/>
      <c r="C34" s="725"/>
      <c r="D34" s="725"/>
      <c r="E34" s="725"/>
      <c r="F34" s="725"/>
      <c r="G34" s="725"/>
      <c r="H34" s="725"/>
      <c r="I34" s="725"/>
      <c r="J34" s="725"/>
      <c r="K34" s="727" t="s">
        <v>39</v>
      </c>
      <c r="L34" s="1446" t="str">
        <f>+IF(L33="","",(100*L33/AD29))</f>
        <v/>
      </c>
      <c r="M34" s="1447"/>
      <c r="N34" s="1447"/>
      <c r="O34" s="1447" t="str">
        <f>+IF(O33="","",(100*O33/AF29))</f>
        <v/>
      </c>
      <c r="P34" s="1447"/>
      <c r="Q34" s="1447"/>
      <c r="R34" s="1447" t="str">
        <f>+IF(R33="","",(100*R33/AH29))</f>
        <v/>
      </c>
      <c r="S34" s="1447"/>
      <c r="T34" s="1448"/>
      <c r="U34" s="1449" t="str">
        <f>+IF(U33="","",(100*U33/AD29))</f>
        <v/>
      </c>
      <c r="V34" s="1447"/>
      <c r="W34" s="1447"/>
      <c r="X34" s="1447" t="str">
        <f>+IF(X33="","",(100*X33/AF29))</f>
        <v/>
      </c>
      <c r="Y34" s="1447"/>
      <c r="Z34" s="1447"/>
      <c r="AA34" s="1447" t="str">
        <f>+IF(AA33="","",(100*AA33/AH29))</f>
        <v/>
      </c>
      <c r="AB34" s="1447"/>
      <c r="AC34" s="1450"/>
      <c r="AD34" s="765"/>
      <c r="AE34" s="765"/>
      <c r="AF34" s="765"/>
      <c r="AG34" s="765"/>
      <c r="AH34" s="765"/>
      <c r="AI34" s="765"/>
    </row>
    <row r="35" spans="1:41" ht="12.95" customHeight="1" x14ac:dyDescent="0.2">
      <c r="A35" s="733" t="s">
        <v>189</v>
      </c>
      <c r="B35" s="735"/>
      <c r="C35" s="735"/>
      <c r="D35" s="735"/>
      <c r="E35" s="735"/>
      <c r="F35" s="735"/>
      <c r="G35" s="735"/>
      <c r="H35" s="735"/>
      <c r="I35" s="735"/>
      <c r="J35" s="735"/>
      <c r="K35" s="764" t="s">
        <v>39</v>
      </c>
      <c r="L35" s="1441" t="str">
        <f>+IF(L32="","",((L32-AD33)/AD33)*100)</f>
        <v/>
      </c>
      <c r="M35" s="1442"/>
      <c r="N35" s="1442"/>
      <c r="O35" s="1442" t="str">
        <f>+IF(O32="","",((O32-AF33)/AF33)*100)</f>
        <v/>
      </c>
      <c r="P35" s="1442"/>
      <c r="Q35" s="1442"/>
      <c r="R35" s="1442" t="str">
        <f>+IF(R32="","",((R32-AH33)/AH33)*100)</f>
        <v/>
      </c>
      <c r="S35" s="1442"/>
      <c r="T35" s="1443"/>
      <c r="U35" s="1441" t="str">
        <f>+IF(U32="","",((U32-AD33)/AD33)*100)</f>
        <v/>
      </c>
      <c r="V35" s="1442"/>
      <c r="W35" s="1442"/>
      <c r="X35" s="1442" t="str">
        <f>+IF(X32="","",((X32-AF33)/AF33)*100)</f>
        <v/>
      </c>
      <c r="Y35" s="1442"/>
      <c r="Z35" s="1442"/>
      <c r="AA35" s="1442" t="str">
        <f>+IF(AA32="","",((AA32-AH33)/AH33)*100)</f>
        <v/>
      </c>
      <c r="AB35" s="1442"/>
      <c r="AC35" s="1444"/>
      <c r="AD35" s="765"/>
      <c r="AE35" s="765"/>
      <c r="AF35" s="765"/>
      <c r="AG35" s="765"/>
      <c r="AH35" s="765"/>
      <c r="AI35" s="765"/>
    </row>
    <row r="36" spans="1:41" ht="12.95" customHeight="1" x14ac:dyDescent="0.2">
      <c r="A36" s="738" t="s">
        <v>191</v>
      </c>
      <c r="B36" s="739"/>
      <c r="C36" s="739"/>
      <c r="D36" s="739"/>
      <c r="E36" s="739"/>
      <c r="F36" s="739"/>
      <c r="G36" s="739"/>
      <c r="H36" s="739"/>
      <c r="I36" s="739"/>
      <c r="J36" s="737"/>
      <c r="K36" s="740" t="s">
        <v>39</v>
      </c>
      <c r="L36" s="1423" t="str">
        <f>+IF(L34="","",AVERAGE(L34:T34))</f>
        <v/>
      </c>
      <c r="M36" s="1424"/>
      <c r="N36" s="1424"/>
      <c r="O36" s="1424"/>
      <c r="P36" s="1424"/>
      <c r="Q36" s="1424"/>
      <c r="R36" s="1424"/>
      <c r="S36" s="1424"/>
      <c r="T36" s="1425"/>
      <c r="U36" s="1426" t="str">
        <f>+IF(U34="","",AVERAGE(U34:AC34))</f>
        <v/>
      </c>
      <c r="V36" s="1427"/>
      <c r="W36" s="1427"/>
      <c r="X36" s="1427"/>
      <c r="Y36" s="1427"/>
      <c r="Z36" s="1427"/>
      <c r="AA36" s="1427"/>
      <c r="AB36" s="1427"/>
      <c r="AC36" s="1428"/>
      <c r="AD36" s="765"/>
      <c r="AE36" s="765"/>
      <c r="AF36" s="765"/>
      <c r="AG36" s="765"/>
      <c r="AH36" s="765"/>
      <c r="AI36" s="765"/>
    </row>
    <row r="37" spans="1:41" ht="12.95" customHeight="1" x14ac:dyDescent="0.2">
      <c r="A37" s="766" t="s">
        <v>192</v>
      </c>
      <c r="B37" s="744"/>
      <c r="C37" s="744"/>
      <c r="D37" s="744"/>
      <c r="E37" s="744"/>
      <c r="F37" s="744"/>
      <c r="G37" s="744"/>
      <c r="H37" s="744"/>
      <c r="I37" s="744"/>
      <c r="J37" s="767"/>
      <c r="K37" s="768" t="s">
        <v>39</v>
      </c>
      <c r="L37" s="1429" t="str">
        <f>+IF(L35="","",AVERAGE(L35:T35))</f>
        <v/>
      </c>
      <c r="M37" s="1430"/>
      <c r="N37" s="1430"/>
      <c r="O37" s="1430"/>
      <c r="P37" s="1430"/>
      <c r="Q37" s="1430"/>
      <c r="R37" s="1430"/>
      <c r="S37" s="1430"/>
      <c r="T37" s="1431"/>
      <c r="U37" s="1432" t="str">
        <f>+IF(U35="","",AVERAGE(U35:AC35))</f>
        <v/>
      </c>
      <c r="V37" s="1433"/>
      <c r="W37" s="1433"/>
      <c r="X37" s="1433"/>
      <c r="Y37" s="1433"/>
      <c r="Z37" s="1433"/>
      <c r="AA37" s="1433"/>
      <c r="AB37" s="1433"/>
      <c r="AC37" s="1434"/>
      <c r="AD37" s="765"/>
      <c r="AE37" s="765"/>
      <c r="AF37" s="765"/>
      <c r="AG37" s="765"/>
      <c r="AH37" s="765"/>
      <c r="AI37" s="765"/>
    </row>
    <row r="38" spans="1:41" ht="15" customHeight="1" x14ac:dyDescent="0.2">
      <c r="A38" s="1435" t="s">
        <v>166</v>
      </c>
      <c r="B38" s="1436"/>
      <c r="C38" s="1436"/>
      <c r="D38" s="1436"/>
      <c r="E38" s="1436"/>
      <c r="F38" s="1436"/>
      <c r="G38" s="1436"/>
      <c r="H38" s="1436"/>
      <c r="I38" s="1436"/>
      <c r="J38" s="1436"/>
      <c r="K38" s="1437"/>
      <c r="L38" s="1438" t="s">
        <v>167</v>
      </c>
      <c r="M38" s="1439"/>
      <c r="N38" s="1439"/>
      <c r="O38" s="1439"/>
      <c r="P38" s="1439"/>
      <c r="Q38" s="1439"/>
      <c r="R38" s="1439"/>
      <c r="S38" s="1439"/>
      <c r="T38" s="1439"/>
      <c r="U38" s="1438" t="s">
        <v>168</v>
      </c>
      <c r="V38" s="1439"/>
      <c r="W38" s="1439"/>
      <c r="X38" s="1439"/>
      <c r="Y38" s="1439"/>
      <c r="Z38" s="1439"/>
      <c r="AA38" s="1439"/>
      <c r="AB38" s="1439"/>
      <c r="AC38" s="1440"/>
    </row>
    <row r="39" spans="1:41" ht="15" customHeight="1" x14ac:dyDescent="0.2">
      <c r="A39" s="730" t="s">
        <v>169</v>
      </c>
      <c r="B39" s="731"/>
      <c r="C39" s="731"/>
      <c r="D39" s="731"/>
      <c r="E39" s="731"/>
      <c r="F39" s="731"/>
      <c r="G39" s="731"/>
      <c r="H39" s="731"/>
      <c r="I39" s="731"/>
      <c r="J39" s="731"/>
      <c r="K39" s="732"/>
      <c r="L39" s="1417" t="str">
        <f>IF(L28="","",L28)</f>
        <v/>
      </c>
      <c r="M39" s="1418"/>
      <c r="N39" s="1418"/>
      <c r="O39" s="1418" t="str">
        <f>IF(O28="","",O28)</f>
        <v/>
      </c>
      <c r="P39" s="1418"/>
      <c r="Q39" s="1418"/>
      <c r="R39" s="1418" t="str">
        <f>IF(R28="","",R28)</f>
        <v/>
      </c>
      <c r="S39" s="1418"/>
      <c r="T39" s="1419"/>
      <c r="U39" s="1420"/>
      <c r="V39" s="1421"/>
      <c r="W39" s="1421"/>
      <c r="X39" s="1421"/>
      <c r="Y39" s="1421"/>
      <c r="Z39" s="1421"/>
      <c r="AA39" s="1421"/>
      <c r="AB39" s="1421"/>
      <c r="AC39" s="1422"/>
      <c r="AF39" s="746"/>
      <c r="AJ39" s="1413"/>
      <c r="AK39" s="1413"/>
      <c r="AL39" s="1413"/>
      <c r="AM39" s="1413"/>
      <c r="AN39" s="1413"/>
      <c r="AO39" s="1413"/>
    </row>
    <row r="40" spans="1:41" ht="12.95" customHeight="1" x14ac:dyDescent="0.2">
      <c r="A40" s="711" t="s">
        <v>178</v>
      </c>
      <c r="B40" s="712"/>
      <c r="C40" s="712"/>
      <c r="D40" s="712"/>
      <c r="E40" s="712"/>
      <c r="F40" s="712"/>
      <c r="G40" s="712"/>
      <c r="H40" s="712"/>
      <c r="I40" s="712"/>
      <c r="J40" s="712"/>
      <c r="K40" s="726" t="s">
        <v>179</v>
      </c>
      <c r="L40" s="1414"/>
      <c r="M40" s="1415"/>
      <c r="N40" s="1415"/>
      <c r="O40" s="1415"/>
      <c r="P40" s="1415"/>
      <c r="Q40" s="1415"/>
      <c r="R40" s="1415"/>
      <c r="S40" s="1415"/>
      <c r="T40" s="1416"/>
      <c r="U40" s="1414"/>
      <c r="V40" s="1415"/>
      <c r="W40" s="1415"/>
      <c r="X40" s="1415"/>
      <c r="Y40" s="1415"/>
      <c r="Z40" s="1415"/>
      <c r="AA40" s="1415"/>
      <c r="AB40" s="1415"/>
      <c r="AC40" s="1416"/>
    </row>
    <row r="41" spans="1:41" ht="12.95" customHeight="1" x14ac:dyDescent="0.2">
      <c r="A41" s="711" t="s">
        <v>180</v>
      </c>
      <c r="B41" s="712"/>
      <c r="C41" s="712"/>
      <c r="D41" s="712"/>
      <c r="E41" s="712"/>
      <c r="F41" s="712"/>
      <c r="G41" s="712"/>
      <c r="H41" s="712"/>
      <c r="I41" s="712"/>
      <c r="J41" s="712"/>
      <c r="K41" s="726" t="s">
        <v>181</v>
      </c>
      <c r="L41" s="1407" t="str">
        <f>+IF(L40="","",L40*1000)</f>
        <v/>
      </c>
      <c r="M41" s="1408"/>
      <c r="N41" s="1408"/>
      <c r="O41" s="1408" t="str">
        <f>+IF(O40="","",O40*1000)</f>
        <v/>
      </c>
      <c r="P41" s="1408"/>
      <c r="Q41" s="1408"/>
      <c r="R41" s="1408" t="str">
        <f>+IF(R40="","",R40*1000)</f>
        <v/>
      </c>
      <c r="S41" s="1408"/>
      <c r="T41" s="1409"/>
      <c r="U41" s="1410" t="str">
        <f>+IF(U40="","",(U40*1000))</f>
        <v/>
      </c>
      <c r="V41" s="1411"/>
      <c r="W41" s="1411"/>
      <c r="X41" s="1411" t="str">
        <f>+IF(X40="","",(X40*1000))</f>
        <v/>
      </c>
      <c r="Y41" s="1411"/>
      <c r="Z41" s="1411"/>
      <c r="AA41" s="1411" t="str">
        <f>+IF(AA40="","",(AA40*1000))</f>
        <v/>
      </c>
      <c r="AB41" s="1411"/>
      <c r="AC41" s="1412"/>
    </row>
    <row r="42" spans="1:41" ht="12.95" customHeight="1" x14ac:dyDescent="0.2">
      <c r="A42" s="733" t="s">
        <v>386</v>
      </c>
      <c r="B42" s="734"/>
      <c r="C42" s="734"/>
      <c r="D42" s="734"/>
      <c r="E42" s="734"/>
      <c r="F42" s="734"/>
      <c r="G42" s="734"/>
      <c r="H42" s="734"/>
      <c r="I42" s="734"/>
      <c r="J42" s="735"/>
      <c r="K42" s="736" t="s">
        <v>190</v>
      </c>
      <c r="L42" s="1401" t="str">
        <f>+IF(L13="","",(((2000*L41)/(PI()*L14*L13))))</f>
        <v/>
      </c>
      <c r="M42" s="1402"/>
      <c r="N42" s="1402"/>
      <c r="O42" s="1402" t="str">
        <f>+IF(O13="","",(((2000*O41)/(PI()*O14*O13))))</f>
        <v/>
      </c>
      <c r="P42" s="1402"/>
      <c r="Q42" s="1402"/>
      <c r="R42" s="1402" t="str">
        <f>+IF(R13="","",(((2000*R41)/(PI()*R14*R13))))</f>
        <v/>
      </c>
      <c r="S42" s="1402"/>
      <c r="T42" s="1403"/>
      <c r="U42" s="1404" t="str">
        <f>+IF(U13="","",((((2000*U41)/(PI()*U14*U13)))))</f>
        <v/>
      </c>
      <c r="V42" s="1405"/>
      <c r="W42" s="1405"/>
      <c r="X42" s="1405" t="str">
        <f>+IF(X13="","",((((2000*X41)/(PI()*X14*X13)))))</f>
        <v/>
      </c>
      <c r="Y42" s="1405"/>
      <c r="Z42" s="1405"/>
      <c r="AA42" s="1405" t="str">
        <f>+IF(AA13="","",((((2000*AA41)/(PI()*AA14*AA13)))))</f>
        <v/>
      </c>
      <c r="AB42" s="1405"/>
      <c r="AC42" s="1406"/>
    </row>
    <row r="43" spans="1:41" ht="12.95" customHeight="1" x14ac:dyDescent="0.2">
      <c r="A43" s="728" t="s">
        <v>387</v>
      </c>
      <c r="B43" s="769"/>
      <c r="C43" s="769"/>
      <c r="D43" s="769"/>
      <c r="E43" s="769"/>
      <c r="F43" s="769"/>
      <c r="G43" s="769"/>
      <c r="H43" s="769"/>
      <c r="I43" s="769"/>
      <c r="J43" s="729"/>
      <c r="K43" s="770" t="s">
        <v>190</v>
      </c>
      <c r="L43" s="1385" t="str">
        <f>+IF(L42="","",AVERAGE(L42:T42))</f>
        <v/>
      </c>
      <c r="M43" s="1386"/>
      <c r="N43" s="1386"/>
      <c r="O43" s="1386"/>
      <c r="P43" s="1386"/>
      <c r="Q43" s="1386"/>
      <c r="R43" s="1386"/>
      <c r="S43" s="1386"/>
      <c r="T43" s="1387"/>
      <c r="U43" s="1388" t="str">
        <f>+IF(U42="","",AVERAGE(U42:AC42))</f>
        <v/>
      </c>
      <c r="V43" s="1389"/>
      <c r="W43" s="1389"/>
      <c r="X43" s="1389"/>
      <c r="Y43" s="1389"/>
      <c r="Z43" s="1389"/>
      <c r="AA43" s="1389"/>
      <c r="AB43" s="1389"/>
      <c r="AC43" s="1390"/>
    </row>
    <row r="44" spans="1:41" ht="12.95" customHeight="1" x14ac:dyDescent="0.2">
      <c r="A44" s="1391" t="s">
        <v>193</v>
      </c>
      <c r="B44" s="1392"/>
      <c r="C44" s="1392"/>
      <c r="D44" s="1392"/>
      <c r="E44" s="1392"/>
      <c r="F44" s="1392"/>
      <c r="G44" s="1392"/>
      <c r="H44" s="1392"/>
      <c r="I44" s="1392"/>
      <c r="J44" s="1392"/>
      <c r="K44" s="741" t="s">
        <v>39</v>
      </c>
      <c r="L44" s="1393" t="str">
        <f>+IF(U43="","",((L43/U43)*100))</f>
        <v/>
      </c>
      <c r="M44" s="1394"/>
      <c r="N44" s="1394"/>
      <c r="O44" s="1394"/>
      <c r="P44" s="1394"/>
      <c r="Q44" s="1394"/>
      <c r="R44" s="1394"/>
      <c r="S44" s="1394"/>
      <c r="T44" s="1394"/>
      <c r="U44" s="1394"/>
      <c r="V44" s="1394"/>
      <c r="W44" s="1394"/>
      <c r="X44" s="1394"/>
      <c r="Y44" s="1394"/>
      <c r="Z44" s="1394"/>
      <c r="AA44" s="1394"/>
      <c r="AB44" s="1394"/>
      <c r="AC44" s="1395"/>
    </row>
    <row r="45" spans="1:41" ht="12.95" customHeight="1" x14ac:dyDescent="0.2">
      <c r="A45" s="742" t="s">
        <v>194</v>
      </c>
      <c r="B45" s="739"/>
      <c r="C45" s="739"/>
      <c r="D45" s="739"/>
      <c r="E45" s="739"/>
      <c r="F45" s="739"/>
      <c r="G45" s="739"/>
      <c r="H45" s="1396" t="s">
        <v>195</v>
      </c>
      <c r="I45" s="1396"/>
      <c r="J45" s="1396"/>
      <c r="K45" s="1397"/>
      <c r="L45" s="1398" t="str">
        <f>IF(U43="","",(IF(L43&gt;=(0.8*U43),"Se acepta","Se rechaza")))</f>
        <v/>
      </c>
      <c r="M45" s="1399"/>
      <c r="N45" s="1399"/>
      <c r="O45" s="1399"/>
      <c r="P45" s="1399"/>
      <c r="Q45" s="1399"/>
      <c r="R45" s="1399"/>
      <c r="S45" s="1399"/>
      <c r="T45" s="1399"/>
      <c r="U45" s="1399"/>
      <c r="V45" s="1399"/>
      <c r="W45" s="1399"/>
      <c r="X45" s="1399"/>
      <c r="Y45" s="1399"/>
      <c r="Z45" s="1399"/>
      <c r="AA45" s="1399"/>
      <c r="AB45" s="1399"/>
      <c r="AC45" s="1400"/>
    </row>
    <row r="46" spans="1:41" ht="12.95" customHeight="1" x14ac:dyDescent="0.2">
      <c r="A46" s="743" t="s">
        <v>196</v>
      </c>
      <c r="B46" s="744"/>
      <c r="C46" s="744"/>
      <c r="D46" s="744"/>
      <c r="E46" s="744"/>
      <c r="F46" s="744"/>
      <c r="G46" s="744"/>
      <c r="H46" s="744"/>
      <c r="I46" s="744"/>
      <c r="J46" s="744"/>
      <c r="K46" s="745"/>
      <c r="L46" s="1372"/>
      <c r="M46" s="1373"/>
      <c r="N46" s="1373"/>
      <c r="O46" s="1373"/>
      <c r="P46" s="1373"/>
      <c r="Q46" s="1373"/>
      <c r="R46" s="1373"/>
      <c r="S46" s="1373"/>
      <c r="T46" s="1373"/>
      <c r="U46" s="1374"/>
      <c r="V46" s="1374"/>
      <c r="W46" s="1374"/>
      <c r="X46" s="1374"/>
      <c r="Y46" s="1374"/>
      <c r="Z46" s="1374"/>
      <c r="AA46" s="1374"/>
      <c r="AB46" s="1374"/>
      <c r="AC46" s="1375"/>
      <c r="AD46" s="746" t="s">
        <v>388</v>
      </c>
    </row>
    <row r="47" spans="1:41" s="101" customFormat="1" ht="14.1" customHeight="1" x14ac:dyDescent="0.2">
      <c r="A47" s="1376" t="s">
        <v>3</v>
      </c>
      <c r="B47" s="1377"/>
      <c r="C47" s="1377"/>
      <c r="D47" s="1377"/>
      <c r="E47" s="1377"/>
      <c r="F47" s="1377"/>
      <c r="G47" s="1377"/>
      <c r="H47" s="1377"/>
      <c r="I47" s="1377"/>
      <c r="J47" s="1377"/>
      <c r="K47" s="1377"/>
      <c r="L47" s="1377"/>
      <c r="M47" s="1377"/>
      <c r="N47" s="1377"/>
      <c r="O47" s="1377"/>
      <c r="P47" s="1377"/>
      <c r="Q47" s="1377"/>
      <c r="R47" s="1377"/>
      <c r="S47" s="1377"/>
      <c r="T47" s="1377"/>
      <c r="U47" s="1377"/>
      <c r="V47" s="1377"/>
      <c r="W47" s="1377"/>
      <c r="X47" s="1377"/>
      <c r="Y47" s="1377"/>
      <c r="Z47" s="1377"/>
      <c r="AA47" s="1377"/>
      <c r="AB47" s="1377"/>
      <c r="AC47" s="1378"/>
      <c r="AD47" s="747" t="s">
        <v>389</v>
      </c>
    </row>
    <row r="48" spans="1:41" s="101" customFormat="1" ht="14.1" customHeight="1" x14ac:dyDescent="0.2">
      <c r="A48" s="748"/>
      <c r="B48" s="749"/>
      <c r="C48" s="749"/>
      <c r="D48" s="749"/>
      <c r="E48" s="749"/>
      <c r="F48" s="749"/>
      <c r="G48" s="749"/>
      <c r="H48" s="749"/>
      <c r="I48" s="749"/>
      <c r="J48" s="749"/>
      <c r="K48" s="749"/>
      <c r="L48" s="749"/>
      <c r="M48" s="749"/>
      <c r="N48" s="749"/>
      <c r="O48" s="749"/>
      <c r="P48" s="749"/>
      <c r="Q48" s="749"/>
      <c r="R48" s="749"/>
      <c r="S48" s="749"/>
      <c r="T48" s="749"/>
      <c r="U48" s="749"/>
      <c r="V48" s="749"/>
      <c r="W48" s="749"/>
      <c r="X48" s="749"/>
      <c r="Y48" s="749"/>
      <c r="Z48" s="749"/>
      <c r="AA48" s="749"/>
      <c r="AB48" s="749"/>
      <c r="AC48" s="750"/>
      <c r="AD48" s="747"/>
    </row>
    <row r="49" spans="1:29" s="101" customFormat="1" ht="10.5" customHeight="1" x14ac:dyDescent="0.2">
      <c r="A49" s="1379" t="s">
        <v>197</v>
      </c>
      <c r="B49" s="1380"/>
      <c r="C49" s="1380"/>
      <c r="D49" s="1380"/>
      <c r="E49" s="1380"/>
      <c r="F49" s="1380"/>
      <c r="G49" s="1380"/>
      <c r="H49" s="1380"/>
      <c r="I49" s="1380"/>
      <c r="J49" s="1380"/>
      <c r="K49" s="1380"/>
      <c r="L49" s="1380"/>
      <c r="M49" s="1380"/>
      <c r="N49" s="1380"/>
      <c r="O49" s="1381"/>
      <c r="P49" s="1379" t="s">
        <v>138</v>
      </c>
      <c r="Q49" s="1380"/>
      <c r="R49" s="1380"/>
      <c r="S49" s="1380"/>
      <c r="T49" s="1380"/>
      <c r="U49" s="1380"/>
      <c r="V49" s="1380"/>
      <c r="W49" s="1380"/>
      <c r="X49" s="1380"/>
      <c r="Y49" s="1380"/>
      <c r="Z49" s="1380"/>
      <c r="AA49" s="1380"/>
      <c r="AB49" s="1380"/>
      <c r="AC49" s="1381"/>
    </row>
    <row r="50" spans="1:29" s="101" customFormat="1" ht="31.5" customHeight="1" x14ac:dyDescent="0.2">
      <c r="A50" s="1382"/>
      <c r="B50" s="1383"/>
      <c r="C50" s="1383"/>
      <c r="D50" s="1383"/>
      <c r="E50" s="1383"/>
      <c r="F50" s="1383"/>
      <c r="G50" s="1383"/>
      <c r="H50" s="1383"/>
      <c r="I50" s="1383"/>
      <c r="J50" s="1383"/>
      <c r="K50" s="1383"/>
      <c r="L50" s="1383"/>
      <c r="M50" s="1383"/>
      <c r="N50" s="1383"/>
      <c r="O50" s="1384"/>
      <c r="P50" s="1382"/>
      <c r="Q50" s="1383"/>
      <c r="R50" s="1383"/>
      <c r="S50" s="1383"/>
      <c r="T50" s="1383"/>
      <c r="U50" s="1383"/>
      <c r="V50" s="1383"/>
      <c r="W50" s="1383"/>
      <c r="X50" s="1383"/>
      <c r="Y50" s="1383"/>
      <c r="Z50" s="1383"/>
      <c r="AA50" s="1383"/>
      <c r="AB50" s="1383"/>
      <c r="AC50" s="1384"/>
    </row>
    <row r="51" spans="1:29" s="101" customFormat="1" ht="12.95" customHeight="1" x14ac:dyDescent="0.2">
      <c r="A51" s="1365" t="s">
        <v>154</v>
      </c>
      <c r="B51" s="1366"/>
      <c r="C51" s="1366"/>
      <c r="D51" s="1366"/>
      <c r="E51" s="1366"/>
      <c r="F51" s="1366"/>
      <c r="G51" s="1366"/>
      <c r="H51" s="1366"/>
      <c r="I51" s="1366"/>
      <c r="J51" s="1366"/>
      <c r="K51" s="1366"/>
      <c r="L51" s="1366"/>
      <c r="M51" s="1366"/>
      <c r="N51" s="1366"/>
      <c r="O51" s="1367"/>
      <c r="P51" s="1365" t="s">
        <v>154</v>
      </c>
      <c r="Q51" s="1366"/>
      <c r="R51" s="1366"/>
      <c r="S51" s="1366"/>
      <c r="T51" s="1366"/>
      <c r="U51" s="1366"/>
      <c r="V51" s="1366"/>
      <c r="W51" s="1366"/>
      <c r="X51" s="1366"/>
      <c r="Y51" s="1366"/>
      <c r="Z51" s="1366"/>
      <c r="AA51" s="1366"/>
      <c r="AB51" s="1366"/>
      <c r="AC51" s="1367"/>
    </row>
    <row r="52" spans="1:29" s="101" customFormat="1" ht="12.95" customHeight="1" thickBot="1" x14ac:dyDescent="0.25">
      <c r="A52" s="1368" t="str">
        <f>IF(A51="--","",VLOOKUP(A51,firmas!A34:B37,2,0))</f>
        <v/>
      </c>
      <c r="B52" s="1369"/>
      <c r="C52" s="1369"/>
      <c r="D52" s="1369"/>
      <c r="E52" s="1369"/>
      <c r="F52" s="1369"/>
      <c r="G52" s="1369"/>
      <c r="H52" s="1369"/>
      <c r="I52" s="1369"/>
      <c r="J52" s="1369"/>
      <c r="K52" s="1369"/>
      <c r="L52" s="1369"/>
      <c r="M52" s="1369"/>
      <c r="N52" s="1369"/>
      <c r="O52" s="1370"/>
      <c r="P52" s="1368" t="str">
        <f>IF(P51="--","",VLOOKUP(P51,firmas!$A$39:$B$40,2,0))</f>
        <v/>
      </c>
      <c r="Q52" s="1369"/>
      <c r="R52" s="1369"/>
      <c r="S52" s="1369"/>
      <c r="T52" s="1369"/>
      <c r="U52" s="1369"/>
      <c r="V52" s="1369"/>
      <c r="W52" s="1369"/>
      <c r="X52" s="1369"/>
      <c r="Y52" s="1369"/>
      <c r="Z52" s="1369"/>
      <c r="AA52" s="1369"/>
      <c r="AB52" s="1369"/>
      <c r="AC52" s="1370"/>
    </row>
    <row r="53" spans="1:29" s="101" customFormat="1" ht="12" customHeight="1" thickTop="1" thickBot="1" x14ac:dyDescent="0.25">
      <c r="A53" s="1371" t="s">
        <v>198</v>
      </c>
      <c r="B53" s="1371"/>
      <c r="C53" s="1371"/>
      <c r="D53" s="1371"/>
      <c r="E53" s="1371"/>
      <c r="F53" s="1371"/>
      <c r="G53" s="1371"/>
      <c r="H53" s="1371"/>
      <c r="I53" s="1371"/>
      <c r="J53" s="1371"/>
      <c r="K53" s="1371"/>
      <c r="L53" s="1371"/>
      <c r="M53" s="1371"/>
      <c r="N53" s="1371"/>
      <c r="O53" s="1371"/>
      <c r="P53" s="1371"/>
      <c r="Q53" s="1371"/>
      <c r="R53" s="1371"/>
      <c r="S53" s="1371"/>
      <c r="T53" s="1371"/>
      <c r="U53" s="1371"/>
      <c r="V53" s="1371"/>
      <c r="W53" s="1371"/>
      <c r="X53" s="1371"/>
      <c r="Y53" s="1371"/>
      <c r="Z53" s="1371"/>
      <c r="AA53" s="1371"/>
      <c r="AB53" s="1371"/>
      <c r="AC53" s="1371"/>
    </row>
    <row r="54" spans="1:29" s="102" customFormat="1" ht="18" customHeight="1" thickTop="1" x14ac:dyDescent="0.15">
      <c r="A54" s="1089" t="s">
        <v>232</v>
      </c>
      <c r="B54" s="1089"/>
      <c r="C54" s="1089"/>
      <c r="D54" s="1089"/>
      <c r="E54" s="1089"/>
      <c r="F54" s="1089"/>
      <c r="G54" s="1089"/>
      <c r="H54" s="1089"/>
      <c r="I54" s="1089"/>
      <c r="J54" s="1089"/>
      <c r="K54" s="1089"/>
      <c r="L54" s="1089"/>
      <c r="M54" s="1089"/>
      <c r="N54" s="1089"/>
      <c r="O54" s="1089"/>
      <c r="P54" s="1089"/>
      <c r="Q54" s="1089"/>
      <c r="R54" s="1089"/>
      <c r="S54" s="1089"/>
      <c r="T54" s="1089"/>
      <c r="U54" s="1089"/>
      <c r="V54" s="1089"/>
      <c r="W54" s="1089"/>
      <c r="X54" s="1089"/>
      <c r="Y54" s="1089"/>
      <c r="Z54" s="1089"/>
      <c r="AA54" s="1089"/>
      <c r="AB54" s="1089"/>
      <c r="AC54" s="1089"/>
    </row>
    <row r="55" spans="1:29" s="68" customFormat="1" ht="27.95" customHeight="1" x14ac:dyDescent="0.2">
      <c r="A55" s="1362" t="s">
        <v>233</v>
      </c>
      <c r="B55" s="1362"/>
      <c r="C55" s="1362"/>
      <c r="D55" s="1362"/>
      <c r="E55" s="1362"/>
      <c r="F55" s="1362"/>
      <c r="G55" s="1362"/>
      <c r="H55" s="1362"/>
      <c r="I55" s="1362"/>
      <c r="J55" s="1362"/>
      <c r="K55" s="1362"/>
      <c r="L55" s="1362"/>
      <c r="M55" s="1362"/>
      <c r="N55" s="1362"/>
      <c r="O55" s="1362"/>
      <c r="P55" s="1362"/>
      <c r="Q55" s="1362"/>
      <c r="R55" s="1362"/>
      <c r="S55" s="1362"/>
      <c r="T55" s="1362"/>
      <c r="U55" s="1362"/>
      <c r="V55" s="1362"/>
      <c r="W55" s="1362"/>
      <c r="X55" s="1362"/>
      <c r="Y55" s="1362"/>
      <c r="Z55" s="1362"/>
      <c r="AA55" s="1362"/>
      <c r="AB55" s="1362"/>
      <c r="AC55" s="1362"/>
    </row>
  </sheetData>
  <sheetProtection algorithmName="SHA-512" hashValue="xiSPai6eAemajHCR2glgKHsZF4cllWiaV+av2cQSinoNjQPgZg4O+GaTkmR/rXnJ8CLm9Gl/8z1yCvP7MVocpQ==" saltValue="gs7EH6CdNwlCke6T6NetXA==" spinCount="100000" sheet="1" objects="1" scenarios="1"/>
  <mergeCells count="238">
    <mergeCell ref="A5:F5"/>
    <mergeCell ref="G5:R5"/>
    <mergeCell ref="S5:W5"/>
    <mergeCell ref="X5:AC5"/>
    <mergeCell ref="A6:F6"/>
    <mergeCell ref="G6:R6"/>
    <mergeCell ref="S6:W6"/>
    <mergeCell ref="X6:AC6"/>
    <mergeCell ref="A1:D4"/>
    <mergeCell ref="E1:AC1"/>
    <mergeCell ref="E2:AC2"/>
    <mergeCell ref="E3:U3"/>
    <mergeCell ref="V3:AC3"/>
    <mergeCell ref="E4:AC4"/>
    <mergeCell ref="A9:F9"/>
    <mergeCell ref="G9:R9"/>
    <mergeCell ref="S9:W9"/>
    <mergeCell ref="X9:AC9"/>
    <mergeCell ref="A10:F10"/>
    <mergeCell ref="S10:W10"/>
    <mergeCell ref="X10:AC10"/>
    <mergeCell ref="A7:F7"/>
    <mergeCell ref="G7:R7"/>
    <mergeCell ref="S7:W7"/>
    <mergeCell ref="X7:AC7"/>
    <mergeCell ref="A8:F8"/>
    <mergeCell ref="G8:R8"/>
    <mergeCell ref="S8:W8"/>
    <mergeCell ref="X8:AC8"/>
    <mergeCell ref="A11:F11"/>
    <mergeCell ref="S11:W11"/>
    <mergeCell ref="X11:AC11"/>
    <mergeCell ref="A12:K12"/>
    <mergeCell ref="L12:N12"/>
    <mergeCell ref="O12:Q12"/>
    <mergeCell ref="R12:T12"/>
    <mergeCell ref="U12:W12"/>
    <mergeCell ref="X12:Z12"/>
    <mergeCell ref="L14:N14"/>
    <mergeCell ref="O14:Q14"/>
    <mergeCell ref="R14:T14"/>
    <mergeCell ref="U14:W14"/>
    <mergeCell ref="X14:Z14"/>
    <mergeCell ref="AA14:AC14"/>
    <mergeCell ref="AN12:AO12"/>
    <mergeCell ref="L13:N13"/>
    <mergeCell ref="O13:Q13"/>
    <mergeCell ref="R13:T13"/>
    <mergeCell ref="U13:W13"/>
    <mergeCell ref="X13:Z13"/>
    <mergeCell ref="AA13:AC13"/>
    <mergeCell ref="AD13:AO13"/>
    <mergeCell ref="AA12:AC12"/>
    <mergeCell ref="AD12:AE12"/>
    <mergeCell ref="AF12:AG12"/>
    <mergeCell ref="AH12:AI12"/>
    <mergeCell ref="AJ12:AK12"/>
    <mergeCell ref="AL12:AM12"/>
    <mergeCell ref="AD15:AO15"/>
    <mergeCell ref="L16:N16"/>
    <mergeCell ref="O16:Q16"/>
    <mergeCell ref="R16:T16"/>
    <mergeCell ref="U16:W16"/>
    <mergeCell ref="X16:Z16"/>
    <mergeCell ref="AA16:AC16"/>
    <mergeCell ref="L15:N15"/>
    <mergeCell ref="O15:Q15"/>
    <mergeCell ref="R15:T15"/>
    <mergeCell ref="U15:W15"/>
    <mergeCell ref="X15:Z15"/>
    <mergeCell ref="AA15:AC15"/>
    <mergeCell ref="L18:N18"/>
    <mergeCell ref="O18:Q18"/>
    <mergeCell ref="R18:T18"/>
    <mergeCell ref="U18:W18"/>
    <mergeCell ref="X18:Z18"/>
    <mergeCell ref="AA18:AC18"/>
    <mergeCell ref="L17:N17"/>
    <mergeCell ref="O17:Q17"/>
    <mergeCell ref="R17:T17"/>
    <mergeCell ref="U17:W17"/>
    <mergeCell ref="X17:Z17"/>
    <mergeCell ref="AA17:AC17"/>
    <mergeCell ref="L20:N20"/>
    <mergeCell ref="O20:Q20"/>
    <mergeCell ref="R20:T20"/>
    <mergeCell ref="U20:W20"/>
    <mergeCell ref="X20:Z20"/>
    <mergeCell ref="AA20:AC20"/>
    <mergeCell ref="L19:N19"/>
    <mergeCell ref="O19:Q19"/>
    <mergeCell ref="R19:T19"/>
    <mergeCell ref="U19:W19"/>
    <mergeCell ref="X19:Z19"/>
    <mergeCell ref="AA19:AC19"/>
    <mergeCell ref="A22:K22"/>
    <mergeCell ref="L22:T22"/>
    <mergeCell ref="U22:AC22"/>
    <mergeCell ref="AD22:AI22"/>
    <mergeCell ref="A23:K23"/>
    <mergeCell ref="L23:T23"/>
    <mergeCell ref="U23:AC23"/>
    <mergeCell ref="L21:N21"/>
    <mergeCell ref="O21:Q21"/>
    <mergeCell ref="R21:T21"/>
    <mergeCell ref="U21:W21"/>
    <mergeCell ref="X21:Z21"/>
    <mergeCell ref="AA21:AC21"/>
    <mergeCell ref="A26:K26"/>
    <mergeCell ref="L26:AC26"/>
    <mergeCell ref="AD26:AI26"/>
    <mergeCell ref="A27:K27"/>
    <mergeCell ref="L27:T27"/>
    <mergeCell ref="U27:AC27"/>
    <mergeCell ref="A24:J24"/>
    <mergeCell ref="L24:T24"/>
    <mergeCell ref="U24:AC24"/>
    <mergeCell ref="A25:J25"/>
    <mergeCell ref="L25:T25"/>
    <mergeCell ref="U25:AC25"/>
    <mergeCell ref="AD28:AI28"/>
    <mergeCell ref="AJ28:AK28"/>
    <mergeCell ref="AL28:AM28"/>
    <mergeCell ref="AN28:AO28"/>
    <mergeCell ref="L29:N29"/>
    <mergeCell ref="O29:Q29"/>
    <mergeCell ref="R29:T29"/>
    <mergeCell ref="U29:W29"/>
    <mergeCell ref="X29:Z29"/>
    <mergeCell ref="AA29:AC29"/>
    <mergeCell ref="L28:N28"/>
    <mergeCell ref="O28:Q28"/>
    <mergeCell ref="R28:T28"/>
    <mergeCell ref="U28:W28"/>
    <mergeCell ref="X28:Z28"/>
    <mergeCell ref="AA28:AC28"/>
    <mergeCell ref="AD29:AE29"/>
    <mergeCell ref="AF29:AG29"/>
    <mergeCell ref="AH29:AI29"/>
    <mergeCell ref="L30:N30"/>
    <mergeCell ref="O30:Q30"/>
    <mergeCell ref="R30:T30"/>
    <mergeCell ref="U30:W30"/>
    <mergeCell ref="X30:Z30"/>
    <mergeCell ref="AA30:AC30"/>
    <mergeCell ref="AD30:AI30"/>
    <mergeCell ref="AD31:AE31"/>
    <mergeCell ref="AF31:AG31"/>
    <mergeCell ref="AH31:AI31"/>
    <mergeCell ref="L32:N32"/>
    <mergeCell ref="O32:Q32"/>
    <mergeCell ref="R32:T32"/>
    <mergeCell ref="U32:W32"/>
    <mergeCell ref="X32:Z32"/>
    <mergeCell ref="AA32:AC32"/>
    <mergeCell ref="AD32:AI32"/>
    <mergeCell ref="L31:N31"/>
    <mergeCell ref="O31:Q31"/>
    <mergeCell ref="R31:T31"/>
    <mergeCell ref="U31:W31"/>
    <mergeCell ref="X31:Z31"/>
    <mergeCell ref="AA31:AC31"/>
    <mergeCell ref="AD33:AE33"/>
    <mergeCell ref="AF33:AG33"/>
    <mergeCell ref="AH33:AI33"/>
    <mergeCell ref="L34:N34"/>
    <mergeCell ref="O34:Q34"/>
    <mergeCell ref="R34:T34"/>
    <mergeCell ref="U34:W34"/>
    <mergeCell ref="X34:Z34"/>
    <mergeCell ref="AA34:AC34"/>
    <mergeCell ref="L33:N33"/>
    <mergeCell ref="O33:Q33"/>
    <mergeCell ref="R33:T33"/>
    <mergeCell ref="U33:W33"/>
    <mergeCell ref="X33:Z33"/>
    <mergeCell ref="AA33:AC33"/>
    <mergeCell ref="L36:T36"/>
    <mergeCell ref="U36:AC36"/>
    <mergeCell ref="L37:T37"/>
    <mergeCell ref="U37:AC37"/>
    <mergeCell ref="A38:K38"/>
    <mergeCell ref="L38:T38"/>
    <mergeCell ref="U38:AC38"/>
    <mergeCell ref="L35:N35"/>
    <mergeCell ref="O35:Q35"/>
    <mergeCell ref="R35:T35"/>
    <mergeCell ref="U35:W35"/>
    <mergeCell ref="X35:Z35"/>
    <mergeCell ref="AA35:AC35"/>
    <mergeCell ref="AJ39:AK39"/>
    <mergeCell ref="AL39:AM39"/>
    <mergeCell ref="AN39:AO39"/>
    <mergeCell ref="L40:N40"/>
    <mergeCell ref="O40:Q40"/>
    <mergeCell ref="R40:T40"/>
    <mergeCell ref="U40:W40"/>
    <mergeCell ref="X40:Z40"/>
    <mergeCell ref="AA40:AC40"/>
    <mergeCell ref="L39:N39"/>
    <mergeCell ref="O39:Q39"/>
    <mergeCell ref="R39:T39"/>
    <mergeCell ref="U39:W39"/>
    <mergeCell ref="X39:Z39"/>
    <mergeCell ref="AA39:AC39"/>
    <mergeCell ref="U42:W42"/>
    <mergeCell ref="X42:Z42"/>
    <mergeCell ref="AA42:AC42"/>
    <mergeCell ref="L41:N41"/>
    <mergeCell ref="O41:Q41"/>
    <mergeCell ref="R41:T41"/>
    <mergeCell ref="U41:W41"/>
    <mergeCell ref="X41:Z41"/>
    <mergeCell ref="AA41:AC41"/>
    <mergeCell ref="A55:AC55"/>
    <mergeCell ref="G10:R11"/>
    <mergeCell ref="A51:O51"/>
    <mergeCell ref="P51:AC51"/>
    <mergeCell ref="A52:O52"/>
    <mergeCell ref="P52:AC52"/>
    <mergeCell ref="A53:AC53"/>
    <mergeCell ref="A54:AC54"/>
    <mergeCell ref="L46:T46"/>
    <mergeCell ref="U46:AC46"/>
    <mergeCell ref="A47:AC47"/>
    <mergeCell ref="A49:O49"/>
    <mergeCell ref="P49:AC49"/>
    <mergeCell ref="A50:O50"/>
    <mergeCell ref="P50:AC50"/>
    <mergeCell ref="L43:T43"/>
    <mergeCell ref="U43:AC43"/>
    <mergeCell ref="A44:J44"/>
    <mergeCell ref="L44:AC44"/>
    <mergeCell ref="H45:K45"/>
    <mergeCell ref="L45:AC45"/>
    <mergeCell ref="L42:N42"/>
    <mergeCell ref="O42:Q42"/>
    <mergeCell ref="R42:T42"/>
  </mergeCells>
  <dataValidations count="1">
    <dataValidation type="list" allowBlank="1" showInputMessage="1" showErrorMessage="1" sqref="L46:T46" xr:uid="{00000000-0002-0000-0500-000000000000}">
      <formula1>$AD$46:$AD$47</formula1>
    </dataValidation>
  </dataValidations>
  <printOptions horizontalCentered="1"/>
  <pageMargins left="0.59055118110236227" right="0.19685039370078741" top="0" bottom="0" header="0" footer="3.937007874015748E-2"/>
  <pageSetup orientation="portrait" r:id="rId1"/>
  <headerFooter scaleWithDoc="0">
    <oddFooter>&amp;L&amp;6Calle 26 No. 57-41 Torre 8 Piso 8 CEMSA - CP: 1113111            
Pbx: 3779555  - Información: Línea 195     
www.umv.gov.co111311&amp;C&amp;6Página 1 de 1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1000000}">
          <x14:formula1>
            <xm:f>firmas!$D$34:$D$36</xm:f>
          </x14:formula1>
          <xm:sqref>A51:O51</xm:sqref>
        </x14:dataValidation>
        <x14:dataValidation type="list" allowBlank="1" showInputMessage="1" showErrorMessage="1" xr:uid="{00000000-0002-0000-0500-000002000000}">
          <x14:formula1>
            <xm:f>firmas!$D$39:$D$41</xm:f>
          </x14:formula1>
          <xm:sqref>P51:AC51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41"/>
  <sheetViews>
    <sheetView topLeftCell="A36" workbookViewId="0">
      <selection activeCell="C44" sqref="C44"/>
    </sheetView>
  </sheetViews>
  <sheetFormatPr baseColWidth="10" defaultRowHeight="12.75" x14ac:dyDescent="0.2"/>
  <cols>
    <col min="1" max="2" width="21.7109375" customWidth="1"/>
    <col min="3" max="3" width="22.7109375" customWidth="1"/>
  </cols>
  <sheetData>
    <row r="1" spans="1:5" x14ac:dyDescent="0.2">
      <c r="A1" s="1562" t="s">
        <v>150</v>
      </c>
      <c r="B1" s="1562"/>
      <c r="C1" s="1562"/>
    </row>
    <row r="2" spans="1:5" x14ac:dyDescent="0.2">
      <c r="A2" s="217" t="s">
        <v>145</v>
      </c>
      <c r="B2" s="217" t="s">
        <v>149</v>
      </c>
      <c r="C2" s="217" t="s">
        <v>146</v>
      </c>
    </row>
    <row r="3" spans="1:5" ht="39.950000000000003" customHeight="1" x14ac:dyDescent="0.2">
      <c r="A3" s="652" t="s">
        <v>127</v>
      </c>
      <c r="B3" s="652" t="s">
        <v>34</v>
      </c>
      <c r="C3" s="653">
        <v>2</v>
      </c>
      <c r="D3" s="70"/>
      <c r="E3" s="80"/>
    </row>
    <row r="4" spans="1:5" ht="39.950000000000003" customHeight="1" x14ac:dyDescent="0.2">
      <c r="A4" s="652" t="s">
        <v>128</v>
      </c>
      <c r="B4" s="652" t="s">
        <v>34</v>
      </c>
      <c r="C4" s="653">
        <v>3</v>
      </c>
      <c r="D4" s="70"/>
      <c r="E4" s="80"/>
    </row>
    <row r="5" spans="1:5" ht="39.950000000000003" customHeight="1" x14ac:dyDescent="0.2">
      <c r="A5" s="652" t="s">
        <v>129</v>
      </c>
      <c r="B5" s="652" t="s">
        <v>34</v>
      </c>
      <c r="C5" s="653">
        <v>7</v>
      </c>
      <c r="D5" s="70"/>
      <c r="E5" s="80"/>
    </row>
    <row r="6" spans="1:5" ht="39.950000000000003" customHeight="1" x14ac:dyDescent="0.25">
      <c r="A6" s="652" t="s">
        <v>130</v>
      </c>
      <c r="B6" s="652" t="s">
        <v>34</v>
      </c>
      <c r="C6" s="654"/>
      <c r="D6" s="70"/>
      <c r="E6" s="80"/>
    </row>
    <row r="7" spans="1:5" ht="39.950000000000003" customHeight="1" x14ac:dyDescent="0.2">
      <c r="A7" s="652" t="s">
        <v>131</v>
      </c>
      <c r="B7" s="652" t="s">
        <v>34</v>
      </c>
      <c r="C7" s="653">
        <v>6</v>
      </c>
      <c r="D7" s="70"/>
      <c r="E7" s="80"/>
    </row>
    <row r="8" spans="1:5" ht="39.950000000000003" customHeight="1" x14ac:dyDescent="0.2">
      <c r="A8" s="652" t="s">
        <v>132</v>
      </c>
      <c r="B8" s="652" t="s">
        <v>34</v>
      </c>
      <c r="C8" s="653">
        <v>4</v>
      </c>
      <c r="D8" s="70"/>
      <c r="E8" s="80"/>
    </row>
    <row r="9" spans="1:5" ht="39.950000000000003" customHeight="1" x14ac:dyDescent="0.25">
      <c r="A9" s="652" t="s">
        <v>133</v>
      </c>
      <c r="B9" s="652" t="s">
        <v>34</v>
      </c>
      <c r="C9" s="655"/>
      <c r="D9" s="70"/>
      <c r="E9" s="80"/>
    </row>
    <row r="10" spans="1:5" ht="39.950000000000003" customHeight="1" x14ac:dyDescent="0.2">
      <c r="A10" s="652" t="s">
        <v>135</v>
      </c>
      <c r="B10" s="652" t="s">
        <v>34</v>
      </c>
      <c r="C10" s="653">
        <v>9</v>
      </c>
      <c r="D10" s="70"/>
      <c r="E10" s="80"/>
    </row>
    <row r="11" spans="1:5" ht="39.950000000000003" customHeight="1" x14ac:dyDescent="0.25">
      <c r="A11" s="652" t="s">
        <v>136</v>
      </c>
      <c r="B11" s="652" t="s">
        <v>34</v>
      </c>
      <c r="C11" s="655"/>
      <c r="D11" s="70"/>
      <c r="E11" s="80"/>
    </row>
    <row r="12" spans="1:5" ht="39.950000000000003" customHeight="1" x14ac:dyDescent="0.2">
      <c r="A12" s="652" t="s">
        <v>134</v>
      </c>
      <c r="B12" s="652" t="s">
        <v>343</v>
      </c>
      <c r="C12" s="653">
        <v>1</v>
      </c>
      <c r="D12" s="70"/>
      <c r="E12" s="80"/>
    </row>
    <row r="13" spans="1:5" ht="39.950000000000003" customHeight="1" x14ac:dyDescent="0.2">
      <c r="A13" s="652" t="s">
        <v>152</v>
      </c>
      <c r="B13" s="652" t="s">
        <v>34</v>
      </c>
      <c r="C13" s="653"/>
      <c r="D13" s="70"/>
      <c r="E13" s="80"/>
    </row>
    <row r="14" spans="1:5" ht="39.950000000000003" customHeight="1" x14ac:dyDescent="0.2">
      <c r="A14" s="679" t="s">
        <v>378</v>
      </c>
      <c r="B14" s="679" t="s">
        <v>34</v>
      </c>
      <c r="C14" s="697"/>
      <c r="D14" s="70"/>
      <c r="E14" s="80"/>
    </row>
    <row r="15" spans="1:5" ht="39.950000000000003" customHeight="1" x14ac:dyDescent="0.2">
      <c r="A15" s="652" t="s">
        <v>344</v>
      </c>
      <c r="B15" s="652" t="s">
        <v>34</v>
      </c>
      <c r="C15" s="653"/>
      <c r="D15" s="70"/>
      <c r="E15" s="80"/>
    </row>
    <row r="16" spans="1:5" ht="39.950000000000003" customHeight="1" x14ac:dyDescent="0.2">
      <c r="A16" s="652" t="s">
        <v>397</v>
      </c>
      <c r="B16" s="652" t="s">
        <v>34</v>
      </c>
      <c r="C16" s="653"/>
      <c r="D16" s="70"/>
      <c r="E16" s="80"/>
    </row>
    <row r="17" spans="1:5" ht="39.950000000000003" customHeight="1" x14ac:dyDescent="0.2">
      <c r="A17" s="656" t="s">
        <v>147</v>
      </c>
      <c r="B17" s="656" t="s">
        <v>151</v>
      </c>
      <c r="C17" s="653"/>
      <c r="D17" s="70"/>
      <c r="E17" s="80"/>
    </row>
    <row r="18" spans="1:5" ht="39.950000000000003" customHeight="1" x14ac:dyDescent="0.25">
      <c r="A18" s="656" t="s">
        <v>345</v>
      </c>
      <c r="B18" s="656" t="s">
        <v>151</v>
      </c>
      <c r="C18" s="655"/>
      <c r="D18" s="70"/>
      <c r="E18" s="80"/>
    </row>
    <row r="19" spans="1:5" ht="39.950000000000003" customHeight="1" x14ac:dyDescent="0.2">
      <c r="A19" s="656" t="s">
        <v>148</v>
      </c>
      <c r="B19" s="656" t="s">
        <v>151</v>
      </c>
      <c r="C19" s="653"/>
      <c r="D19" s="70"/>
      <c r="E19" s="80"/>
    </row>
    <row r="20" spans="1:5" ht="39.950000000000003" customHeight="1" x14ac:dyDescent="0.2">
      <c r="A20" s="656" t="s">
        <v>346</v>
      </c>
      <c r="B20" s="656" t="s">
        <v>151</v>
      </c>
      <c r="C20" s="653"/>
      <c r="D20" s="70"/>
      <c r="E20" s="80"/>
    </row>
    <row r="21" spans="1:5" ht="39.950000000000003" customHeight="1" x14ac:dyDescent="0.2">
      <c r="A21" s="656" t="s">
        <v>347</v>
      </c>
      <c r="B21" s="656" t="s">
        <v>151</v>
      </c>
      <c r="C21" s="653"/>
      <c r="D21" s="70"/>
      <c r="E21" s="80"/>
    </row>
    <row r="22" spans="1:5" ht="39.950000000000003" customHeight="1" x14ac:dyDescent="0.2">
      <c r="A22" s="656" t="s">
        <v>398</v>
      </c>
      <c r="B22" s="656" t="s">
        <v>151</v>
      </c>
      <c r="C22" s="653"/>
      <c r="D22" s="70"/>
      <c r="E22" s="80"/>
    </row>
    <row r="23" spans="1:5" ht="39.950000000000003" customHeight="1" x14ac:dyDescent="0.2">
      <c r="A23" s="656" t="s">
        <v>399</v>
      </c>
      <c r="B23" s="656" t="s">
        <v>151</v>
      </c>
      <c r="C23" s="653"/>
      <c r="D23" s="70"/>
      <c r="E23" s="80"/>
    </row>
    <row r="24" spans="1:5" ht="39.950000000000003" customHeight="1" x14ac:dyDescent="0.25">
      <c r="A24" s="656" t="s">
        <v>348</v>
      </c>
      <c r="B24" s="656" t="s">
        <v>151</v>
      </c>
      <c r="C24" s="655"/>
      <c r="D24" s="70"/>
      <c r="E24" s="80"/>
    </row>
    <row r="25" spans="1:5" ht="39.950000000000003" customHeight="1" x14ac:dyDescent="0.25">
      <c r="A25" s="656" t="s">
        <v>349</v>
      </c>
      <c r="B25" s="656" t="s">
        <v>151</v>
      </c>
      <c r="C25" s="655"/>
      <c r="D25" s="70"/>
      <c r="E25" s="80"/>
    </row>
    <row r="26" spans="1:5" ht="39.950000000000003" customHeight="1" x14ac:dyDescent="0.25">
      <c r="A26" s="656" t="s">
        <v>350</v>
      </c>
      <c r="B26" s="656" t="s">
        <v>151</v>
      </c>
      <c r="C26" s="655"/>
      <c r="D26" s="70"/>
      <c r="E26" s="80"/>
    </row>
    <row r="27" spans="1:5" ht="39.950000000000003" customHeight="1" x14ac:dyDescent="0.2">
      <c r="A27" s="656" t="s">
        <v>400</v>
      </c>
      <c r="B27" s="656" t="s">
        <v>151</v>
      </c>
      <c r="C27" s="653"/>
      <c r="D27" s="70"/>
      <c r="E27" s="80"/>
    </row>
    <row r="28" spans="1:5" ht="39.950000000000003" customHeight="1" x14ac:dyDescent="0.2">
      <c r="A28" s="656" t="s">
        <v>401</v>
      </c>
      <c r="B28" s="656" t="s">
        <v>151</v>
      </c>
      <c r="C28" s="653"/>
      <c r="D28" s="70"/>
      <c r="E28" s="80"/>
    </row>
    <row r="29" spans="1:5" ht="39.950000000000003" customHeight="1" x14ac:dyDescent="0.2">
      <c r="A29" s="656" t="s">
        <v>402</v>
      </c>
      <c r="B29" s="656" t="s">
        <v>151</v>
      </c>
      <c r="C29" s="653"/>
      <c r="D29" s="70"/>
      <c r="E29" s="80"/>
    </row>
    <row r="30" spans="1:5" ht="39.950000000000003" customHeight="1" x14ac:dyDescent="0.2">
      <c r="A30" s="656" t="s">
        <v>403</v>
      </c>
      <c r="B30" s="656" t="s">
        <v>151</v>
      </c>
      <c r="C30" s="653"/>
      <c r="D30" s="70"/>
      <c r="E30" s="80"/>
    </row>
    <row r="31" spans="1:5" ht="39.950000000000003" customHeight="1" x14ac:dyDescent="0.2">
      <c r="A31" s="656" t="s">
        <v>351</v>
      </c>
      <c r="B31" s="656" t="s">
        <v>151</v>
      </c>
      <c r="C31" s="653"/>
      <c r="D31" s="232"/>
    </row>
    <row r="32" spans="1:5" ht="39.950000000000003" customHeight="1" x14ac:dyDescent="0.2">
      <c r="A32" s="656" t="s">
        <v>404</v>
      </c>
      <c r="B32" s="656" t="s">
        <v>151</v>
      </c>
      <c r="C32" s="653"/>
    </row>
    <row r="33" spans="1:4" ht="39.950000000000003" customHeight="1" x14ac:dyDescent="0.2">
      <c r="A33" s="1563" t="s">
        <v>137</v>
      </c>
      <c r="B33" s="1564"/>
      <c r="C33" s="1565"/>
    </row>
    <row r="34" spans="1:4" ht="39.950000000000003" customHeight="1" x14ac:dyDescent="0.2">
      <c r="A34" s="70" t="s">
        <v>134</v>
      </c>
      <c r="B34" s="80" t="s">
        <v>359</v>
      </c>
      <c r="C34" s="81">
        <v>1</v>
      </c>
      <c r="D34" s="70" t="s">
        <v>134</v>
      </c>
    </row>
    <row r="35" spans="1:4" ht="39.950000000000003" customHeight="1" x14ac:dyDescent="0.25">
      <c r="A35" s="679" t="s">
        <v>368</v>
      </c>
      <c r="B35" s="680" t="s">
        <v>369</v>
      </c>
      <c r="C35" s="655"/>
      <c r="D35" s="679" t="s">
        <v>368</v>
      </c>
    </row>
    <row r="36" spans="1:4" ht="39.950000000000003" customHeight="1" x14ac:dyDescent="0.2">
      <c r="A36" s="777" t="s">
        <v>154</v>
      </c>
      <c r="B36" s="679"/>
      <c r="C36" s="653">
        <v>1</v>
      </c>
      <c r="D36" s="681" t="s">
        <v>154</v>
      </c>
    </row>
    <row r="37" spans="1:4" ht="39.950000000000003" customHeight="1" x14ac:dyDescent="0.2">
      <c r="B37" s="682" t="s">
        <v>154</v>
      </c>
      <c r="C37" s="653"/>
    </row>
    <row r="38" spans="1:4" ht="39.950000000000003" customHeight="1" x14ac:dyDescent="0.2">
      <c r="A38" s="1566" t="s">
        <v>138</v>
      </c>
      <c r="B38" s="1567"/>
      <c r="C38" s="1568"/>
    </row>
    <row r="39" spans="1:4" ht="39.950000000000003" customHeight="1" x14ac:dyDescent="0.25">
      <c r="A39" s="679" t="s">
        <v>370</v>
      </c>
      <c r="B39" s="680" t="s">
        <v>199</v>
      </c>
      <c r="C39" s="655"/>
      <c r="D39" s="679" t="s">
        <v>370</v>
      </c>
    </row>
    <row r="40" spans="1:4" ht="39.950000000000003" customHeight="1" x14ac:dyDescent="0.2">
      <c r="A40" s="70" t="s">
        <v>254</v>
      </c>
      <c r="B40" s="80" t="s">
        <v>255</v>
      </c>
      <c r="D40" s="70" t="s">
        <v>254</v>
      </c>
    </row>
    <row r="41" spans="1:4" ht="42" customHeight="1" x14ac:dyDescent="0.2">
      <c r="A41" s="82" t="s">
        <v>154</v>
      </c>
      <c r="B41" s="62"/>
      <c r="D41" s="82" t="s">
        <v>154</v>
      </c>
    </row>
  </sheetData>
  <mergeCells count="3">
    <mergeCell ref="A1:C1"/>
    <mergeCell ref="A33:C33"/>
    <mergeCell ref="A38:C38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F1" sqref="F1:F1048576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19</vt:i4>
      </vt:variant>
    </vt:vector>
  </HeadingPairs>
  <TitlesOfParts>
    <vt:vector size="27" baseType="lpstr">
      <vt:lpstr>Resumen</vt:lpstr>
      <vt:lpstr>732</vt:lpstr>
      <vt:lpstr>782</vt:lpstr>
      <vt:lpstr>733 - 735</vt:lpstr>
      <vt:lpstr>GLAB-FM-099</vt:lpstr>
      <vt:lpstr>TSR</vt:lpstr>
      <vt:lpstr>firmas</vt:lpstr>
      <vt:lpstr>Hoja1</vt:lpstr>
      <vt:lpstr>'732'!aprobonombres</vt:lpstr>
      <vt:lpstr>'782'!aprobonombres</vt:lpstr>
      <vt:lpstr>Resumen!aprobonombres</vt:lpstr>
      <vt:lpstr>aprobonombres</vt:lpstr>
      <vt:lpstr>'732'!Área_de_impresión</vt:lpstr>
      <vt:lpstr>'733 - 735'!Área_de_impresión</vt:lpstr>
      <vt:lpstr>'782'!Área_de_impresión</vt:lpstr>
      <vt:lpstr>'GLAB-FM-099'!Área_de_impresión</vt:lpstr>
      <vt:lpstr>Resumen!Área_de_impresión</vt:lpstr>
      <vt:lpstr>TSR!Área_de_impresión</vt:lpstr>
      <vt:lpstr>'732'!Elaboronombres</vt:lpstr>
      <vt:lpstr>'782'!Elaboronombres</vt:lpstr>
      <vt:lpstr>Resumen!Elaboronombres</vt:lpstr>
      <vt:lpstr>Elaboronombres</vt:lpstr>
      <vt:lpstr>pruebanombres</vt:lpstr>
      <vt:lpstr>'732'!revisonombres</vt:lpstr>
      <vt:lpstr>'782'!revisonombres</vt:lpstr>
      <vt:lpstr>Resumen!revisonombres</vt:lpstr>
      <vt:lpstr>revisonombres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SISOOMC</dc:creator>
  <cp:lastModifiedBy>Christian Medina Fandiño</cp:lastModifiedBy>
  <cp:lastPrinted>2022-10-11T13:41:30Z</cp:lastPrinted>
  <dcterms:created xsi:type="dcterms:W3CDTF">2011-04-13T16:07:04Z</dcterms:created>
  <dcterms:modified xsi:type="dcterms:W3CDTF">2024-02-29T15:04:57Z</dcterms:modified>
</cp:coreProperties>
</file>