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uan Lizarazo\Desktop\Para publicar\"/>
    </mc:Choice>
  </mc:AlternateContent>
  <xr:revisionPtr revIDLastSave="0" documentId="8_{EE5457EB-8DB8-4C93-B659-0B1C9D989C4F}" xr6:coauthVersionLast="47" xr6:coauthVersionMax="47" xr10:uidLastSave="{00000000-0000-0000-0000-000000000000}"/>
  <bookViews>
    <workbookView xWindow="-110" yWindow="-110" windowWidth="19420" windowHeight="10300" tabRatio="540" firstSheet="3" activeTab="3" xr2:uid="{00000000-000D-0000-FFFF-FFFF00000000}"/>
  </bookViews>
  <sheets>
    <sheet name="1. Encabezado" sheetId="66" state="hidden" r:id="rId1"/>
    <sheet name="2. Consolidado" sheetId="63" state="hidden" r:id="rId2"/>
    <sheet name="3. Extracción" sheetId="67" state="hidden" r:id="rId3"/>
    <sheet name="4. Gradación" sheetId="57" r:id="rId4"/>
    <sheet name="5. Bulk y Rice" sheetId="59" state="hidden" r:id="rId5"/>
    <sheet name="5. Bulk y Rice NA" sheetId="64" state="hidden" r:id="rId6"/>
    <sheet name="6. Estabilidad y flujo" sheetId="56" state="hidden" r:id="rId7"/>
    <sheet name="7.TSR" sheetId="55" state="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A" hidden="1">[1]AIU!$D$338:$D$357</definedName>
    <definedName name="__123Graph_Acaja" hidden="1">[1]EVA!$D$39:$AD$39</definedName>
    <definedName name="__123Graph_ACart_AnticAdic" hidden="1">[1]EVA!$F$95:$I$95</definedName>
    <definedName name="__123Graph_AFACTURAC" hidden="1">[1]Program!$B$120:$Y$120</definedName>
    <definedName name="__123Graph_AGraph2" hidden="1">[1]AIU!$D$338:$D$357</definedName>
    <definedName name="__123Graph_Bcaja" hidden="1">[1]EVA!$D$56:$AD$56</definedName>
    <definedName name="__123Graph_BCart_AnticAdic" hidden="1">[1]EVA!$F$96:$I$96</definedName>
    <definedName name="__123Graph_Ccaja" hidden="1">[1]EVA!$D$58:$AD$58</definedName>
    <definedName name="__123Graph_CCart_AnticAdic" hidden="1">[1]EVA!$F$97:$I$97</definedName>
    <definedName name="__123Graph_Dcaja" hidden="1">[1]EVA!$D$61:$AD$61</definedName>
    <definedName name="__123Graph_DCart_AnticAdic" hidden="1">[1]EVA!$F$99:$I$99</definedName>
    <definedName name="__123Graph_ECart_AnticAdic" hidden="1">[1]EVA!$F$99:$I$99</definedName>
    <definedName name="__123Graph_LBL_ACart_AnticAdic" hidden="1">[1]EVA!$J$95:$K$95</definedName>
    <definedName name="__123Graph_LBL_Ccaja" hidden="1">[1]EVA!$D$58:$AD$58</definedName>
    <definedName name="__123Graph_LBL_DCart_AnticAdic" hidden="1">[1]EVA!$F$98:$I$98</definedName>
    <definedName name="__123Graph_X" hidden="1">[1]AIU!$C$338:$C$357</definedName>
    <definedName name="__123Graph_Xcaja" hidden="1">[1]EVA!$D$6:$AD$6</definedName>
    <definedName name="_1__123Graph_ACart_Utilidad" hidden="1">[1]EVA!$F$104:$I$104</definedName>
    <definedName name="_2__123Graph_BCart_Utilidad" hidden="1">[1]EVA!$F$105:$I$105</definedName>
    <definedName name="_3__123Graph_CCart_Utilidad" hidden="1">[1]EVA!$F$106:$I$106</definedName>
    <definedName name="_4__123Graph_LBL_ACart_Utilidad" hidden="1">[1]EVA!$F$109:$I$109</definedName>
    <definedName name="_5__123Graph_LBL_BCart_Utilidad" hidden="1">[1]EVA!$F$110:$I$110</definedName>
    <definedName name="_6__123Graph_LBL_CCart_Utilidad" hidden="1">[1]EVA!$F$111:$I$111</definedName>
    <definedName name="_7__123Graph_XCart_Utilidad" hidden="1">[1]EVA!$F$103:$I$103</definedName>
    <definedName name="_Fill" localSheetId="0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hidden="1">#REF!</definedName>
    <definedName name="_Key1" localSheetId="0" hidden="1">[2]OCTUBRE!#REF!</definedName>
    <definedName name="_Key1" localSheetId="1" hidden="1">[3]OCTUBRE!#REF!</definedName>
    <definedName name="_Key1" localSheetId="2" hidden="1">[3]OCTUBRE!#REF!</definedName>
    <definedName name="_Key1" localSheetId="3" hidden="1">[3]OCTUBRE!#REF!</definedName>
    <definedName name="_Key1" localSheetId="4" hidden="1">[3]OCTUBRE!#REF!</definedName>
    <definedName name="_Key1" localSheetId="5" hidden="1">[3]OCTUBRE!#REF!</definedName>
    <definedName name="_Key1" localSheetId="6" hidden="1">[3]OCTUBRE!#REF!</definedName>
    <definedName name="_Key1" localSheetId="7" hidden="1">[4]OCTUBRE!#REF!</definedName>
    <definedName name="_Key1" hidden="1">[3]OCTUBRE!#REF!</definedName>
    <definedName name="_Order1" hidden="1">255</definedName>
    <definedName name="_Order2" hidden="1">255</definedName>
    <definedName name="_Regression_Out" localSheetId="0" hidden="1">[5]L!#REF!</definedName>
    <definedName name="_Regression_Out" localSheetId="1" hidden="1">[5]L!#REF!</definedName>
    <definedName name="_Regression_Out" localSheetId="2" hidden="1">[5]L!#REF!</definedName>
    <definedName name="_Regression_Out" localSheetId="3" hidden="1">[5]L!#REF!</definedName>
    <definedName name="_Regression_Out" localSheetId="4" hidden="1">[5]L!#REF!</definedName>
    <definedName name="_Regression_Out" localSheetId="5" hidden="1">[5]L!#REF!</definedName>
    <definedName name="_Regression_Out" localSheetId="6" hidden="1">[5]L!#REF!</definedName>
    <definedName name="_Regression_Out" localSheetId="7" hidden="1">[5]L!#REF!</definedName>
    <definedName name="_Regression_Out" hidden="1">[5]L!#REF!</definedName>
    <definedName name="_Regression_X" localSheetId="0" hidden="1">#REF!</definedName>
    <definedName name="_Regression_X" localSheetId="1" hidden="1">#REF!</definedName>
    <definedName name="_Regression_X" localSheetId="2" hidden="1">#REF!</definedName>
    <definedName name="_Regression_X" localSheetId="3" hidden="1">#REF!</definedName>
    <definedName name="_Regression_X" localSheetId="4" hidden="1">#REF!</definedName>
    <definedName name="_Regression_X" localSheetId="5" hidden="1">#REF!</definedName>
    <definedName name="_Regression_X" localSheetId="6" hidden="1">#REF!</definedName>
    <definedName name="_Regression_X" localSheetId="7" hidden="1">#REF!</definedName>
    <definedName name="_Regression_X" hidden="1">#REF!</definedName>
    <definedName name="_Regression_Y" localSheetId="0" hidden="1">#REF!</definedName>
    <definedName name="_Regression_Y" localSheetId="1" hidden="1">#REF!</definedName>
    <definedName name="_Regression_Y" localSheetId="2" hidden="1">#REF!</definedName>
    <definedName name="_Regression_Y" localSheetId="3" hidden="1">#REF!</definedName>
    <definedName name="_Regression_Y" localSheetId="4" hidden="1">#REF!</definedName>
    <definedName name="_Regression_Y" localSheetId="5" hidden="1">#REF!</definedName>
    <definedName name="_Regression_Y" localSheetId="6" hidden="1">#REF!</definedName>
    <definedName name="_Regression_Y" localSheetId="7" hidden="1">#REF!</definedName>
    <definedName name="_Regression_Y" hidden="1">#REF!</definedName>
    <definedName name="_Sort" localSheetId="0" hidden="1">[2]OCTUBRE!#REF!</definedName>
    <definedName name="_Sort" localSheetId="1" hidden="1">[3]OCTUBRE!#REF!</definedName>
    <definedName name="_Sort" localSheetId="2" hidden="1">[3]OCTUBRE!#REF!</definedName>
    <definedName name="_Sort" localSheetId="3" hidden="1">[3]OCTUBRE!#REF!</definedName>
    <definedName name="_Sort" localSheetId="4" hidden="1">[3]OCTUBRE!#REF!</definedName>
    <definedName name="_Sort" localSheetId="5" hidden="1">[3]OCTUBRE!#REF!</definedName>
    <definedName name="_Sort" localSheetId="6" hidden="1">[3]OCTUBRE!#REF!</definedName>
    <definedName name="_Sort" localSheetId="7" hidden="1">[4]OCTUBRE!#REF!</definedName>
    <definedName name="_Sort" hidden="1">[3]OCTUBRE!#REF!</definedName>
    <definedName name="AC" localSheetId="0" hidden="1">#REF!</definedName>
    <definedName name="AC" hidden="1">#REF!</definedName>
    <definedName name="aprobo" localSheetId="0">INDEX([6]firmas!$C$33:$C$35,MATCH('[6]INV 222-13 '!$AA$45:$AJ$45,[6]firmas!$A$33:$A$35,0))</definedName>
    <definedName name="aprobo">INDEX([7]firmas!$C$33:$C$35,MATCH(#REF!,[7]firmas!$A$33:$A$35,0))</definedName>
    <definedName name="APROBO_A">INDEX([8]firmas!$C$33:$C$35,MATCH([8]ANGULARIDAD!$AK$29,[8]firmas!$A$33:$A$35,0))</definedName>
    <definedName name="Aprobo_firmas" localSheetId="0">INDEX([9]firmas!$C$39:$C$41,MATCH('[9]Formato '!#REF!,[9]firmas!$A$39:$A$41,0))</definedName>
    <definedName name="Aprobo_firmas">INDEX([9]firmas!$C$39:$C$41,MATCH('[9]Formato '!#REF!,[9]firmas!$A$39:$A$41,0))</definedName>
    <definedName name="Aprobo_Gra_1">INDEX([10]firmas!$C$39:$C$41,MATCH('[10]4. CLASIFICACION M1'!$J$48:$P$48,[10]firmas!$A$39:$A$41,0))</definedName>
    <definedName name="Aprobo_Gra_2">INDEX([10]firmas!$C$39:$C$41,MATCH('[10]8. CLASIFICACION M2'!$J$48:$P$48,[10]firmas!$A$39:$A$41,0))</definedName>
    <definedName name="Aprobo_Gra_3">INDEX([10]firmas!$C$39:$C$41,MATCH('[10]12. CLASIFICACION M3'!$J$48:$P$48,[10]firmas!$A$39:$A$41,0))</definedName>
    <definedName name="aprobofirmas" localSheetId="0">INDEX([11]firmas!$C$33:$C$35,MATCH('[11]LIMITES M3'!$C$52:$E$52,[11]firmas!$A$33:$A$35,0))</definedName>
    <definedName name="aprobofirmas" localSheetId="1">INDEX(#REF!,MATCH('2. Consolidado'!#REF!,#REF!,0))</definedName>
    <definedName name="aprobofirmas" localSheetId="2">INDEX([12]firmas!$C$40:$C$42,MATCH([12]TSR!$V$51,[12]firmas!$A$40:$A$42,0))</definedName>
    <definedName name="aprobofirmas" localSheetId="3">INDEX([13]firmas!$C$40:$C$42,MATCH([13]TSR!$V$51,[13]firmas!$A$40:$A$42,0))</definedName>
    <definedName name="aprobofirmas" localSheetId="4">INDEX([14]firmas!$C$34:$C$36,MATCH([14]TSR!$V$51,[14]firmas!$A$34:$A$36,0))</definedName>
    <definedName name="aprobofirmas" localSheetId="5">INDEX([14]firmas!$C$34:$C$36,MATCH([14]TSR!$V$51,[14]firmas!$A$34:$A$36,0))</definedName>
    <definedName name="aprobofirmas" localSheetId="6">INDEX([15]firmas!$C$34:$C$36,MATCH([15]TSR!$V$51,[15]firmas!$A$34:$A$36,0))</definedName>
    <definedName name="aprobofirmas" localSheetId="7">INDEX([16]firmas!$C$36:$C$38,MATCH('7.TSR'!#REF!,[16]firmas!$A$36:$A$38,0))</definedName>
    <definedName name="aprobofirmas">INDEX(#REF!,MATCH(#REF!,#REF!,0))</definedName>
    <definedName name="aprobofirmas1" localSheetId="0">INDEX([17]firmas!$C$33:$C$35,MATCH('[17]REG FOTOGRAFICO'!$N$55:$Q$55,[17]firmas!$A$33:$A$35,0))</definedName>
    <definedName name="aprobofirmas1" localSheetId="1">INDEX(#REF!,MATCH('2. Consolidado'!#REF!,#REF!,0))</definedName>
    <definedName name="aprobofirmas1" localSheetId="2">INDEX([12]firmas!$C$40:$C$42,MATCH('3. Extracción'!#REF!,[12]firmas!$A$40:$A$42,0))</definedName>
    <definedName name="aprobofirmas1" localSheetId="3">INDEX([13]firmas!$C$40:$C$42,MATCH('[13]733 - 735'!$I$35:$O$35,[13]firmas!$A$40:$A$42,0))</definedName>
    <definedName name="aprobofirmas1" localSheetId="4">INDEX([18]firmas!$C$34:$C$36,MATCH('5. Bulk y Rice'!#REF!,[18]firmas!$A$34:$A$36,0))</definedName>
    <definedName name="aprobofirmas1" localSheetId="5">INDEX([18]firmas!$C$34:$C$36,MATCH('5. Bulk y Rice NA'!#REF!,[18]firmas!$A$34:$A$36,0))</definedName>
    <definedName name="aprobofirmas1" localSheetId="6">INDEX([19]firmas!$C$39:$C$41,MATCH('[19]733 - 735'!$I$35:$O$35,[19]firmas!$A$39:$A$41,0))</definedName>
    <definedName name="aprobofirmas1" localSheetId="7">INDEX([20]firmas!$C$36:$C$38,MATCH('[20]733 - 735'!$I$35:$O$35,[20]firmas!$A$36:$A$38,0))</definedName>
    <definedName name="aprobofirmas1">INDEX(#REF!,MATCH(#REF!,#REF!,0))</definedName>
    <definedName name="aprobofirmas10" localSheetId="0">INDEX([21]firmas!$C$33:$C$35,MATCH('[21]CF - IF '!$Y$43,[21]firmas!$A$33:$A$35,0))</definedName>
    <definedName name="aprobofirmas10">INDEX([7]firmas!$C$33:$C$35,MATCH(#REF!,[7]firmas!$A$33:$A$35,0))</definedName>
    <definedName name="aprobofirmas11" localSheetId="0">INDEX([21]firmas!$C$33:$C$35,MATCH([21]ANGULARIDAD!$AK$29,[21]firmas!$A$33:$A$35,0))</definedName>
    <definedName name="aprobofirmas11">INDEX([7]firmas!$C$33:$C$35,MATCH([7]ANGULARIDAD!$AK$29,[7]firmas!$A$33:$A$35,0))</definedName>
    <definedName name="aprobofirmas12" localSheetId="0">INDEX([21]firmas!$C$33:$C$35,MATCH([21]PROCTOR!$I$42,[21]firmas!$A$33:$A$35,0))</definedName>
    <definedName name="aprobofirmas12">INDEX([7]firmas!$C$33:$C$35,MATCH([7]PROCTOR!$I$42,[7]firmas!$A$33:$A$35,0))</definedName>
    <definedName name="aprobofirmas13" localSheetId="0">INDEX([21]firmas!$C$33:$C$35,MATCH('[21] CBR 1'!$AP$55:$AQ$55,[21]firmas!$A$33:$A$35,0))</definedName>
    <definedName name="aprobofirmas13">INDEX([7]firmas!$C$33:$C$35,MATCH('[7] CBR 1'!$AP$55:$AQ$55,[7]firmas!$A$33:$A$35,0))</definedName>
    <definedName name="aprobofirmas14" localSheetId="0">INDEX([21]firmas!$C$33:$C$35,MATCH('[21] CBR (2)'!$G$55:$H$55,[21]firmas!$A$33:$A$35,0))</definedName>
    <definedName name="aprobofirmas14">INDEX([7]firmas!$C$33:$C$35,MATCH('[7] CBR (2)'!$G$55:$H$55,[7]firmas!$A$33:$A$35,0))</definedName>
    <definedName name="aprobofirmas2" localSheetId="0">INDEX([17]firmas!$C$33:$C$35,MATCH('[17]CONO DINAMICO'!$L$57:$O$57,[17]firmas!$A$33:$A$35,0))</definedName>
    <definedName name="aprobofirmas2">INDEX([9]firmas!$C$39:$C$41,MATCH(#REF!,[9]firmas!$A$39:$A$41,0))</definedName>
    <definedName name="aprobofirmas3" localSheetId="0">INDEX([17]firmas!$C$33:$C$35,MATCH('[22]CLASIFICACION M1'!$N$61:$P$61,[17]firmas!$A$33:$A$35,0))</definedName>
    <definedName name="aprobofirmas3">INDEX([7]firmas!$C$33:$C$35,MATCH([7]Desgaste!$T$38,[7]firmas!$A$33:$A$35,0))</definedName>
    <definedName name="aprobofirmas3M1">INDEX([23]firmas!$C$33:$C$35,MATCH('[23]CLASIFICACION M1'!$J$48,[23]firmas!$A$33:$A$35,0))</definedName>
    <definedName name="Aprobofirmas4" localSheetId="0">INDEX([17]firmas!$C$33:$C$35,MATCH(#REF!,[17]firmas!$A$33:$A$35,0))</definedName>
    <definedName name="aprobofirmas4">INDEX([7]firmas!$C$33:$C$35,MATCH('[7]Microdeval '!$AC$44,[7]firmas!$A$33:$A$35,0))</definedName>
    <definedName name="Aprobofirmas5" localSheetId="0">INDEX('1. Encabezado'!$AF$23:$AF$34,MATCH('1. Encabezado'!$A$50,'1. Encabezado'!$AD$23:$AD$34,0))</definedName>
    <definedName name="aprobofirmas5">INDEX([7]firmas!$C$33:$C$35,MATCH('[7]10% De Finos'!$I$23:$K$23,[7]firmas!$A$33:$A$35,0))</definedName>
    <definedName name="Aprobofirmas6" localSheetId="0">INDEX([17]firmas!$C$33:$C$35,MATCH('[17]CLASIFICACION M2'!$N$61:$P$61,[17]firmas!$A$33:$A$35,0))</definedName>
    <definedName name="aprobofirmas6">INDEX([7]firmas!$C$33:$C$35,MATCH(#REF!,[7]firmas!$A$33:$A$35,0))</definedName>
    <definedName name="Aprobofirmas7" localSheetId="0">INDEX([17]firmas!$C$33:$C$35,MATCH('[17]M.O.  M2'!$I$27:$O$27,[17]firmas!$A$33:$A$35,0))</definedName>
    <definedName name="aprobofirmas7">INDEX([7]firmas!$C$33:$C$35,MATCH(#REF!,[7]firmas!$A$33:$A$35,0))</definedName>
    <definedName name="aprobofirmas748" localSheetId="6">INDEX([19]firmas!$C$39:$C$41,MATCH('6. Estabilidad y flujo'!#REF!,[19]firmas!$A$39:$A$41,0))</definedName>
    <definedName name="aprobofirmas782" localSheetId="3">INDEX([13]firmas!$C$40:$C$42,MATCH('4. Gradación'!#REF!,[13]firmas!$A$40:$A$42,0))</definedName>
    <definedName name="Aprobofirmas8" localSheetId="0">INDEX([17]firmas!$C$33:$C$35,MATCH('[17]CLASIFICACION M3'!$N$61:$P$61,[17]firmas!$A$33:$A$35,0))</definedName>
    <definedName name="aprobofirmas8">INDEX([24]firmas!$C$33:$C$35,MATCH([24]EQUIVALENTE!$J$29,[24]firmas!$A$33:$A$35,0))</definedName>
    <definedName name="Aprobofirmas9" localSheetId="0">INDEX([17]firmas!$C$33:$C$35,MATCH('[17]M.O.  M3'!$I$27:$O$27,[17]firmas!$A$33:$A$35,0))</definedName>
    <definedName name="aprobofirmas9">INDEX([7]firmas!$C$33:$C$35,MATCH(#REF!,[7]firmas!$A$33:$A$35,0))</definedName>
    <definedName name="aprobofirmasD" localSheetId="0">INDEX([25]firmas!$C$33:$C$35,MATCH('[25]Desgaste '!$T$36:$Z$36,[25]firmas!$A$33:$A$35,0))</definedName>
    <definedName name="aprobofirmasD">INDEX([26]firmas!$C$33:$C$35,MATCH('[26]Desgaste '!$T$36:$Z$36,[26]firmas!$A$33:$A$35,0))</definedName>
    <definedName name="aprobofirmasMO" localSheetId="0">INDEX([27]firmas!$C$33:$C$35,MATCH([27]COLORIMETRIA!$J$31,[27]firmas!$A$33:$A$35,0))</definedName>
    <definedName name="aprobofirmasMO">INDEX([7]firmas!$C$33:$C$35,MATCH(#REF!,[7]firmas!$A$33:$A$35,0))</definedName>
    <definedName name="AproboMO_M2" localSheetId="0">INDEX([11]firmas!$C$31:$C$33,MATCH('[11]M.O.  M2'!$I$29:$O$29,[11]firmas!$A$31:$A$33,0))</definedName>
    <definedName name="AproboMO_M2">INDEX([28]firmas!$C$31:$C$33,MATCH('[28]M.O.  M2'!$I$29:$O$29,[28]firmas!$A$31:$A$33,0))</definedName>
    <definedName name="AproboMO_M3" localSheetId="0">INDEX([11]firmas!$C$31:$C$33,MATCH('[11]M.O.  M3'!$I$29:$O$29,[11]firmas!$A$31:$A$33,0))</definedName>
    <definedName name="AproboMO_M3">INDEX([28]firmas!$C$31:$C$33,MATCH('[28]M.O.  M3'!$I$29:$O$29,[28]firmas!$A$31:$A$33,0))</definedName>
    <definedName name="aprobonombres" localSheetId="0">[17]firmas!$A$33:$A$35</definedName>
    <definedName name="aprobonombres" localSheetId="1">#REF!</definedName>
    <definedName name="aprobonombres" localSheetId="2">[12]firmas!$A$40:$A$42</definedName>
    <definedName name="aprobonombres" localSheetId="3">[13]firmas!$A$40:$A$42</definedName>
    <definedName name="aprobonombres" localSheetId="4">[14]firmas!$A$34:$A$36</definedName>
    <definedName name="aprobonombres" localSheetId="5">[14]firmas!$A$34:$A$36</definedName>
    <definedName name="aprobonombres" localSheetId="6">[15]firmas!$A$34:$A$36</definedName>
    <definedName name="aprobonombres" localSheetId="7">[20]firmas!$A$36:$A$38</definedName>
    <definedName name="aprobonombres">#REF!</definedName>
    <definedName name="_xlnm.Print_Area" localSheetId="0">'1. Encabezado'!$A$1:$Z$55</definedName>
    <definedName name="_xlnm.Print_Area" localSheetId="1">'2. Consolidado'!$A$1:$O$37</definedName>
    <definedName name="_xlnm.Print_Area" localSheetId="2">'3. Extracción'!$A$1:$O$31</definedName>
    <definedName name="_xlnm.Print_Area" localSheetId="3">'4. Gradación'!$A$1:$O$55</definedName>
    <definedName name="_xlnm.Print_Area" localSheetId="4">'5. Bulk y Rice'!$A$1:$O$39</definedName>
    <definedName name="_xlnm.Print_Area" localSheetId="5">'5. Bulk y Rice NA'!$A$1:$O$39</definedName>
    <definedName name="_xlnm.Print_Area" localSheetId="6">'6. Estabilidad y flujo'!$A$1:$P$43</definedName>
    <definedName name="_xlnm.Print_Area" localSheetId="7">'7.TSR'!$A$1:$AC$53</definedName>
    <definedName name="ELABORA_A">INDEX([8]firmas!$C$2:$C$26,MATCH([8]ANGULARIDAD!$L$29,[8]firmas!$A$2:$A$26,0))</definedName>
    <definedName name="Elaboro_firmas" localSheetId="0">INDEX([9]firmas!$C$2:$C$32,MATCH('[9]Formato '!#REF!,[9]firmas!$A$2:$A$32,0))</definedName>
    <definedName name="Elaboro_firmas">INDEX([9]firmas!$C$2:$C$32,MATCH('[9]Formato '!#REF!,[9]firmas!$A$2:$A$32,0))</definedName>
    <definedName name="elaborocargo" localSheetId="0">[17]firmas!$B$11:$B$13</definedName>
    <definedName name="elaborocargo">[29]firmas!$B$11:$B$13</definedName>
    <definedName name="elaborofirmas" localSheetId="0">INDEX(#REF!,MATCH(#REF!,#REF!,0))</definedName>
    <definedName name="elaborofirmas" localSheetId="1">INDEX(#REF!,MATCH([30]TSR!$F$51,#REF!,0))</definedName>
    <definedName name="elaborofirmas" localSheetId="2">INDEX([12]firmas!$C$3:$C$33,MATCH([12]TSR!$F$51,[12]firmas!$A$3:$A$33,0))</definedName>
    <definedName name="elaborofirmas" localSheetId="3">INDEX([13]firmas!$C$3:$C$33,MATCH([13]TSR!$F$51,[13]firmas!$A$3:$A$33,0))</definedName>
    <definedName name="elaborofirmas" localSheetId="4">INDEX([14]firmas!$C$3:$C$27,MATCH([14]TSR!$F$51,[14]firmas!$A$3:$A$27,0))</definedName>
    <definedName name="elaborofirmas" localSheetId="5">INDEX([14]firmas!$C$3:$C$27,MATCH([14]TSR!$F$51,[14]firmas!$A$3:$A$27,0))</definedName>
    <definedName name="elaborofirmas" localSheetId="6">INDEX([15]firmas!$C$3:$C$27,MATCH([15]TSR!$F$51,[15]firmas!$A$3:$A$27,0))</definedName>
    <definedName name="elaborofirmas" localSheetId="7">INDEX([20]firmas!$C$3:$C$29,MATCH('7.TSR'!#REF!,[20]firmas!$A$3:$A$29,0))</definedName>
    <definedName name="elaborofirmas">INDEX(#REF!,MATCH(#REF!,#REF!,0))</definedName>
    <definedName name="elaborofirmas1" localSheetId="0">INDEX([17]firmas!$C$2:$C$26,MATCH('[17]REG FOTOGRAFICO'!$F$55:$I$55,[17]firmas!$A$2:$A$26,0))</definedName>
    <definedName name="elaborofirmas1" localSheetId="1">INDEX(#REF!,MATCH('2. Consolidado'!#REF!,#REF!,0))</definedName>
    <definedName name="elaborofirmas1" localSheetId="2">INDEX([12]firmas!$C$3:$C$33,MATCH('3. Extracción'!#REF!,[12]firmas!$A$3:$A$33,0))</definedName>
    <definedName name="elaborofirmas1" localSheetId="3">INDEX([13]firmas!$C$3:$C$33,MATCH('4. Gradación'!#REF!,[13]firmas!$A$3:$A$33,0))</definedName>
    <definedName name="elaborofirmas1" localSheetId="4">INDEX([18]firmas!$C$3:$C$27,MATCH('5. Bulk y Rice'!#REF!,[18]firmas!$A$3:$A$27,0))</definedName>
    <definedName name="elaborofirmas1" localSheetId="5">INDEX([18]firmas!$C$3:$C$27,MATCH('5. Bulk y Rice NA'!#REF!,[18]firmas!$A$3:$A$27,0))</definedName>
    <definedName name="elaborofirmas1" localSheetId="6">INDEX([15]firmas!$C$3:$C$27,MATCH('6. Estabilidad y flujo'!#REF!,[15]firmas!$A$3:$A$27,0))</definedName>
    <definedName name="elaborofirmas1" localSheetId="7">INDEX([20]firmas!$C$3:$C$29,MATCH(#REF!,[20]firmas!$A$3:$A$29,0))</definedName>
    <definedName name="elaborofirmas1">INDEX(#REF!,MATCH(#REF!,#REF!,0))</definedName>
    <definedName name="elaborofirmas10" localSheetId="0">INDEX([21]firmas!$C$2:$C$26,MATCH('[21]CF - IF '!$G$43,[21]firmas!$A$2:$A$26,0))</definedName>
    <definedName name="elaborofirmas10">INDEX([7]firmas!$C$2:$C$26,MATCH(#REF!,[7]firmas!$A$2:$A$26,0))</definedName>
    <definedName name="elaborofirmas11" localSheetId="0">INDEX([21]firmas!$C$2:$C$26,MATCH([21]ANGULARIDAD!$L$29,[21]firmas!$A$2:$A$26,0))</definedName>
    <definedName name="elaborofirmas11">INDEX([7]firmas!$C$2:$C$26,MATCH([7]ANGULARIDAD!$L$29,[7]firmas!$A$2:$A$26,0))</definedName>
    <definedName name="elaborofirmas12" localSheetId="0">INDEX([21]firmas!$C$2:$C$26,MATCH([21]PROCTOR!$C$42,[21]firmas!$A$2:$A$26,0))</definedName>
    <definedName name="elaborofirmas12">INDEX([7]firmas!$C$2:$C$26,MATCH([7]PROCTOR!$C$42,[7]firmas!$A$2:$A$26,0))</definedName>
    <definedName name="elaborofirmas13" localSheetId="0">INDEX([21]firmas!$C$2:$C$26,MATCH('[21] CBR 1'!$AL$55:$AM$55,[21]firmas!$A$2:$A$26,0))</definedName>
    <definedName name="elaborofirmas13">INDEX([7]firmas!$C$2:$C$26,MATCH('[7] CBR 1'!$AL$55:$AM$55,[7]firmas!$A$2:$A$26,0))</definedName>
    <definedName name="elaborofirmas14" localSheetId="0">INDEX([21]firmas!$C$2:$C$26,MATCH('[21] CBR (2)'!$C$55,[21]firmas!$A$2:$A$26,0))</definedName>
    <definedName name="elaborofirmas14">INDEX([7]firmas!$C$2:$C$26,MATCH('[7] CBR (2)'!$C$55,[7]firmas!$A$2:$A$26,0))</definedName>
    <definedName name="elaborofirmas2" localSheetId="0">INDEX([17]firmas!$C$2:$C$26,MATCH('[17]CONO DINAMICO'!$C$57:$F$57,[17]firmas!$A$2:$A$26,0))</definedName>
    <definedName name="elaborofirmas2">INDEX([9]firmas!#REF!,MATCH(#REF!,[9]firmas!#REF!,0))</definedName>
    <definedName name="elaborofirmas3" localSheetId="0">INDEX([17]firmas!$C$2:$C$26,MATCH('[22]CLASIFICACION M1'!$E$61:$I$61,[17]firmas!$A$2:$A$26,0))</definedName>
    <definedName name="elaborofirmas3">INDEX([7]firmas!$C$2:$C$26,MATCH([7]Desgaste!$F$38,[7]firmas!$A$2:$A$26,0))</definedName>
    <definedName name="elaborofirmas4" localSheetId="0">INDEX([17]firmas!$C$2:$C$26,MATCH(#REF!,[17]firmas!$A$2:$A$26,0))</definedName>
    <definedName name="elaborofirmas4">INDEX([7]firmas!$C$2:$C$26,MATCH('[7]Microdeval '!$I$44,[7]firmas!$A$2:$A$26,0))</definedName>
    <definedName name="elaborofirmas5" localSheetId="0">INDEX([17]firmas!$C$2:$C$26,MATCH('1. Encabezado'!#REF!,[17]firmas!$A$2:$A$26,0))</definedName>
    <definedName name="elaborofirmas5">INDEX([7]firmas!$C$2:$C$26,MATCH('[7]10% De Finos'!$D$23:$E$23,[7]firmas!$A$2:$A$26,0))</definedName>
    <definedName name="elaborofirmas6" localSheetId="0">INDEX([17]firmas!$C$2:$C$26,MATCH('[17]CLASIFICACION M2'!$E$61:$I$61,[17]firmas!$A$2:$A$26,0))</definedName>
    <definedName name="elaborofirmas6">INDEX([7]firmas!$C$2:$C$26,MATCH(#REF!,[7]firmas!$A$2:$A$26,0))</definedName>
    <definedName name="elaborofirmas7" localSheetId="0">INDEX([17]firmas!$C$2:$C$26,MATCH('[17]M.O.  M2'!$C$27:$E$27,[17]firmas!$A$2:$A$26,0))</definedName>
    <definedName name="elaborofirmas7">INDEX([7]firmas!$C$2:$C$26,MATCH(#REF!,[7]firmas!$A$2:$A$26,0))</definedName>
    <definedName name="elaborofirmas8" localSheetId="0">INDEX([17]firmas!$C$2:$C$26,MATCH('[17]CLASIFICACION M3'!$E$61:$I$61,[17]firmas!$A$2:$A$26,0))</definedName>
    <definedName name="elaborofirmas8">INDEX([24]firmas!$C$2:$C$26,MATCH([24]EQUIVALENTE!$D$29,[24]firmas!$A$2:$A$26,0))</definedName>
    <definedName name="elaborofirmas9" localSheetId="0">INDEX([17]firmas!$C$2:$C$26,MATCH('[17]M.O.  M3'!$C$27:$E$27,[17]firmas!$A$2:$A$26,0))</definedName>
    <definedName name="elaborofirmas9">INDEX([7]firmas!$C$2:$C$26,MATCH(#REF!,[7]firmas!$A$2:$A$26,0))</definedName>
    <definedName name="elaborofirmasD" localSheetId="0">INDEX([25]firmas!$C$2:$C$26,MATCH('[25]Desgaste '!$F$36:$L$36,[25]firmas!$A$2:$A$26,0))</definedName>
    <definedName name="elaborofirmasD">INDEX([26]firmas!$C$2:$C$26,MATCH('[26]Desgaste '!$F$36:$L$36,[26]firmas!$A$2:$A$26,0))</definedName>
    <definedName name="elaborofirmasMO" localSheetId="0">INDEX([27]firmas!$C$2:$C$26,MATCH([27]COLORIMETRIA!$D$31,[27]firmas!$A$2:$A$26,0))</definedName>
    <definedName name="elaborofirmasMO">INDEX([7]firmas!$C$2:$C$26,MATCH(#REF!,[7]firmas!$A$2:$A$26,0))</definedName>
    <definedName name="ElaboroMO_M2" localSheetId="0">INDEX([11]firmas!$C$2:$C$24,MATCH('[11]M.O.  M2'!$C$29:$E$29,[11]firmas!$A$2:$A$24,0))</definedName>
    <definedName name="ElaboroMO_M2">INDEX([28]firmas!$C$2:$C$24,MATCH('[28]M.O.  M2'!$C$29:$E$29,[28]firmas!$A$2:$A$24,0))</definedName>
    <definedName name="ElaboroMO_M3" localSheetId="0">INDEX([11]firmas!$C$2:$C$24,MATCH('[11]M.O.  M3'!$C$29:$E$29,[11]firmas!$A$2:$A$24,0))</definedName>
    <definedName name="ElaboroMO_M3">INDEX([28]firmas!$C$2:$C$24,MATCH('[28]M.O.  M3'!$C$29:$E$29,[28]firmas!$A$2:$A$24,0))</definedName>
    <definedName name="Elaboronombres" localSheetId="0">[17]firmas!$A$2:$A$26</definedName>
    <definedName name="Elaboronombres" localSheetId="1">#REF!</definedName>
    <definedName name="Elaboronombres" localSheetId="2">[12]firmas!$A$3:$A$33</definedName>
    <definedName name="Elaboronombres" localSheetId="3">[13]firmas!$A$3:$A$33</definedName>
    <definedName name="Elaboronombres" localSheetId="4">[14]firmas!$A$3:$A$27</definedName>
    <definedName name="Elaboronombres" localSheetId="5">[14]firmas!$A$3:$A$27</definedName>
    <definedName name="Elaboronombres" localSheetId="6">[15]firmas!$A$3:$A$27</definedName>
    <definedName name="Elaboronombres">#REF!</definedName>
    <definedName name="HTML1_1" hidden="1">"'[06Cumplimiento1996.xls]GASTOS'!$A$3:$B$16"</definedName>
    <definedName name="HTML1_10" hidden="1">""</definedName>
    <definedName name="HTML1_11" hidden="1">1</definedName>
    <definedName name="HTML1_12" hidden="1">"c:\prueba.htm"</definedName>
    <definedName name="HTML1_2" hidden="1">1</definedName>
    <definedName name="HTML1_3" hidden="1">"06Cumplimiento1996"</definedName>
    <definedName name="HTML1_4" hidden="1">"GASTOS"</definedName>
    <definedName name="HTML1_5" hidden="1">""</definedName>
    <definedName name="HTML1_6" hidden="1">-4146</definedName>
    <definedName name="HTML1_7" hidden="1">-4146</definedName>
    <definedName name="HTML1_8" hidden="1">"16/12/1996"</definedName>
    <definedName name="HTML1_9" hidden="1">"JUAN CARLOS TORO VALDERRAMA"</definedName>
    <definedName name="HTML2_1" hidden="1">"'[INDICES.XLS]INDICES I'!$A$1:$K$36"</definedName>
    <definedName name="HTML2_10" hidden="1">""</definedName>
    <definedName name="HTML2_11" hidden="1">1</definedName>
    <definedName name="HTML2_12" hidden="1">"C:\Mis documentos\INDICESI.htm"</definedName>
    <definedName name="HTML2_2" hidden="1">1</definedName>
    <definedName name="HTML2_3" hidden="1">"INDICES"</definedName>
    <definedName name="HTML2_4" hidden="1">"INDICES I"</definedName>
    <definedName name="HTML2_5" hidden="1">""</definedName>
    <definedName name="HTML2_6" hidden="1">-4146</definedName>
    <definedName name="HTML2_7" hidden="1">-4146</definedName>
    <definedName name="HTML2_8" hidden="1">"5/02/1997"</definedName>
    <definedName name="HTML2_9" hidden="1">"JUAN CARLOS TORO VALDERRAMA"</definedName>
    <definedName name="HTML3_1" hidden="1">"'[INDICES.XLS]IPC NAL'!$A$4:$B$43"</definedName>
    <definedName name="HTML3_10" hidden="1">""</definedName>
    <definedName name="HTML3_11" hidden="1">1</definedName>
    <definedName name="HTML3_12" hidden="1">"C:\Mis documentos\IPCNAL.htm"</definedName>
    <definedName name="HTML3_2" hidden="1">1</definedName>
    <definedName name="HTML3_3" hidden="1">"INDICES"</definedName>
    <definedName name="HTML3_4" hidden="1">"IPC NAL"</definedName>
    <definedName name="HTML3_5" hidden="1">""</definedName>
    <definedName name="HTML3_6" hidden="1">-4146</definedName>
    <definedName name="HTML3_7" hidden="1">-4146</definedName>
    <definedName name="HTML3_8" hidden="1">"5/02/1997"</definedName>
    <definedName name="HTML3_9" hidden="1">"JUAN CARLOS TORO VALDERRAMA"</definedName>
    <definedName name="HTML4_1" hidden="1">"'[INDICES.XLS]IPC NAL'!$A$4:$C$43"</definedName>
    <definedName name="HTML4_10" hidden="1">""</definedName>
    <definedName name="HTML4_11" hidden="1">1</definedName>
    <definedName name="HTML4_12" hidden="1">"C:\Mis documentos\IPCNAL.htm"</definedName>
    <definedName name="HTML4_2" hidden="1">1</definedName>
    <definedName name="HTML4_3" hidden="1">"INDICES"</definedName>
    <definedName name="HTML4_4" hidden="1">"IPC NAL"</definedName>
    <definedName name="HTML4_5" hidden="1">""</definedName>
    <definedName name="HTML4_6" hidden="1">-4146</definedName>
    <definedName name="HTML4_7" hidden="1">-4146</definedName>
    <definedName name="HTML4_8" hidden="1">"5/02/1997"</definedName>
    <definedName name="HTML4_9" hidden="1">"JUAN CARLOS TORO VALDERRAMA"</definedName>
    <definedName name="HTML5_1" hidden="1">"'[INDICES.XLS]INDICES I'!$A$1:$I$36"</definedName>
    <definedName name="HTML5_10" hidden="1">""</definedName>
    <definedName name="HTML5_11" hidden="1">1</definedName>
    <definedName name="HTML5_12" hidden="1">"C:\Mis documentos\INDICESI.htm"</definedName>
    <definedName name="HTML5_2" hidden="1">1</definedName>
    <definedName name="HTML5_3" hidden="1">"INDICES"</definedName>
    <definedName name="HTML5_4" hidden="1">"INDICES I"</definedName>
    <definedName name="HTML5_5" hidden="1">""</definedName>
    <definedName name="HTML5_6" hidden="1">-4146</definedName>
    <definedName name="HTML5_7" hidden="1">-4146</definedName>
    <definedName name="HTML5_8" hidden="1">"5/02/1997"</definedName>
    <definedName name="HTML5_9" hidden="1">"JUAN CARLOS TORO VALDERRAMA"</definedName>
    <definedName name="HTML6_1" hidden="1">"'[INDICES.XLS]INDICES 1'!$A$3:$K$30"</definedName>
    <definedName name="HTML6_10" hidden="1">""</definedName>
    <definedName name="HTML6_11" hidden="1">1</definedName>
    <definedName name="HTML6_12" hidden="1">"C:\Mis documentos\INDICES1.htm"</definedName>
    <definedName name="HTML6_2" hidden="1">1</definedName>
    <definedName name="HTML6_3" hidden="1">"INDICES"</definedName>
    <definedName name="HTML6_4" hidden="1">"INDICES 1"</definedName>
    <definedName name="HTML6_5" hidden="1">""</definedName>
    <definedName name="HTML6_6" hidden="1">-4146</definedName>
    <definedName name="HTML6_7" hidden="1">-4146</definedName>
    <definedName name="HTML6_8" hidden="1">"5/02/1997"</definedName>
    <definedName name="HTML6_9" hidden="1">"JUAN CARLOS TORO VALDERRAMA"</definedName>
    <definedName name="HTMLCount" hidden="1">1</definedName>
    <definedName name="KK" localSheetId="0" hidden="1">[31]OCTUBRE!#REF!</definedName>
    <definedName name="KK" localSheetId="1" hidden="1">[3]OCTUBRE!#REF!</definedName>
    <definedName name="KK" localSheetId="2" hidden="1">[3]OCTUBRE!#REF!</definedName>
    <definedName name="KK" localSheetId="3" hidden="1">[3]OCTUBRE!#REF!</definedName>
    <definedName name="KK" localSheetId="4" hidden="1">[3]OCTUBRE!#REF!</definedName>
    <definedName name="KK" localSheetId="5" hidden="1">[3]OCTUBRE!#REF!</definedName>
    <definedName name="KK" localSheetId="6" hidden="1">[3]OCTUBRE!#REF!</definedName>
    <definedName name="KK" localSheetId="7" hidden="1">[4]OCTUBRE!#REF!</definedName>
    <definedName name="KK" hidden="1">[3]OCTUBRE!#REF!</definedName>
    <definedName name="Ojo" localSheetId="0" hidden="1">#REF!</definedName>
    <definedName name="Ojo" localSheetId="1" hidden="1">#REF!</definedName>
    <definedName name="Ojo" localSheetId="2" hidden="1">#REF!</definedName>
    <definedName name="Ojo" localSheetId="3" hidden="1">#REF!</definedName>
    <definedName name="Ojo" localSheetId="4" hidden="1">#REF!</definedName>
    <definedName name="Ojo" localSheetId="5" hidden="1">#REF!</definedName>
    <definedName name="Ojo" localSheetId="6" hidden="1">#REF!</definedName>
    <definedName name="Ojo" localSheetId="7" hidden="1">#REF!</definedName>
    <definedName name="Ojo" hidden="1">#REF!</definedName>
    <definedName name="pendiente" localSheetId="0" hidden="1">#REF!</definedName>
    <definedName name="pendiente" localSheetId="1" hidden="1">#REF!</definedName>
    <definedName name="pendiente" localSheetId="2" hidden="1">#REF!</definedName>
    <definedName name="pendiente" localSheetId="3" hidden="1">#REF!</definedName>
    <definedName name="pendiente" localSheetId="4" hidden="1">#REF!</definedName>
    <definedName name="pendiente" localSheetId="5" hidden="1">#REF!</definedName>
    <definedName name="pendiente" localSheetId="6" hidden="1">#REF!</definedName>
    <definedName name="pendiente" localSheetId="7" hidden="1">#REF!</definedName>
    <definedName name="pendiente" hidden="1">#REF!</definedName>
    <definedName name="pruebanombres" localSheetId="0">#REF!</definedName>
    <definedName name="pruebanombres" localSheetId="1">#REF!</definedName>
    <definedName name="pruebanombres">#REF!</definedName>
    <definedName name="realizocargo" localSheetId="0">[17]firmas!$B$28:$B$30</definedName>
    <definedName name="realizocargo">[28]firmas!$B$26:$B$28</definedName>
    <definedName name="REVISO_A">INDEX([8]firmas!$C$28:$C$31,MATCH([8]ANGULARIDAD!$W$29:$X$43,[8]firmas!$A$28:$A$31,0))</definedName>
    <definedName name="Reviso_firmas" localSheetId="0">INDEX([9]firmas!$C$34:$C$37,MATCH('[9]Formato '!#REF!,[9]firmas!$A$34:$A$37,0))</definedName>
    <definedName name="Reviso_firmas">INDEX([9]firmas!$C$34:$C$37,MATCH('[9]Formato '!#REF!,[9]firmas!$A$34:$A$37,0))</definedName>
    <definedName name="revisocargo">[29]firmas!$B$28:$B$30</definedName>
    <definedName name="revisoea" localSheetId="0">INDEX([17]firmas!$C$28:$C$31,MATCH([17]EQUIVALENTE!$G$29,[17]firmas!$A$28:$A$31,0))</definedName>
    <definedName name="revisoea">INDEX([7]firmas!$C$28:$C$31,MATCH(#REF!,[7]firmas!$A$28:$A$31,0))</definedName>
    <definedName name="revisofirmas" localSheetId="0">INDEX(#REF!,MATCH(#REF!,#REF!,0))</definedName>
    <definedName name="revisofirmas" localSheetId="1">INDEX(#REF!,MATCH([30]TSR!$N$51,#REF!,0))</definedName>
    <definedName name="revisofirmas" localSheetId="2">INDEX([12]firmas!$C$35:$C$38,MATCH([12]TSR!$N$51,[12]firmas!$A$35:$A$38,0))</definedName>
    <definedName name="revisofirmas" localSheetId="3">INDEX([13]firmas!$C$35:$C$38,MATCH([13]TSR!$N$51,[13]firmas!$A$35:$A$38,0))</definedName>
    <definedName name="revisofirmas" localSheetId="4">INDEX([14]firmas!$C$29:$C$32,MATCH([14]TSR!$N$51,[14]firmas!$A$29:$A$32,0))</definedName>
    <definedName name="revisofirmas" localSheetId="5">INDEX([14]firmas!$C$29:$C$32,MATCH([14]TSR!$N$51,[14]firmas!$A$29:$A$32,0))</definedName>
    <definedName name="revisofirmas" localSheetId="6">INDEX([15]firmas!$C$29:$C$32,MATCH([15]TSR!$N$51,[15]firmas!$A$29:$A$32,0))</definedName>
    <definedName name="revisofirmas" localSheetId="7">INDEX([16]firmas!$C$31:$C$34,MATCH('7.TSR'!#REF!,[16]firmas!$A$31:$A$34,0))</definedName>
    <definedName name="revisofirmas">INDEX(#REF!,MATCH(#REF!,#REF!,0))</definedName>
    <definedName name="revisofirmas1" localSheetId="0">INDEX([17]firmas!$C$28:$C$31,MATCH('[17]REG FOTOGRAFICO'!$J$55:$M$55,[17]firmas!$A$28:$A$31,0))</definedName>
    <definedName name="revisofirmas1" localSheetId="1">INDEX(#REF!,MATCH('2. Consolidado'!#REF!,#REF!,0))</definedName>
    <definedName name="revisofirmas1" localSheetId="2">INDEX([12]firmas!$C$35:$C$38,MATCH(#REF!,[12]firmas!$A$35:$A$38,0))</definedName>
    <definedName name="revisofirmas1" localSheetId="3">INDEX([13]firmas!$C$35:$C$38,MATCH('4. Gradación'!#REF!,[13]firmas!$A$35:$A$38,0))</definedName>
    <definedName name="revisofirmas1" localSheetId="4">INDEX([18]firmas!$C$29:$C$32,MATCH('5. Bulk y Rice'!#REF!,[18]firmas!$A$29:$A$32,0))</definedName>
    <definedName name="revisofirmas1" localSheetId="5">INDEX([18]firmas!$C$29:$C$32,MATCH('5. Bulk y Rice NA'!#REF!,[18]firmas!$A$29:$A$32,0))</definedName>
    <definedName name="revisofirmas1" localSheetId="6">INDEX([19]firmas!$C$34:$C$37,MATCH('6. Estabilidad y flujo'!#REF!,[19]firmas!$A$34:$A$36,0))</definedName>
    <definedName name="revisofirmas1" localSheetId="7">INDEX([20]firmas!$C$31:$C$34,MATCH(#REF!,[20]firmas!$A$31:$A$34,0))</definedName>
    <definedName name="revisofirmas1">INDEX(#REF!,MATCH(#REF!,#REF!,0))</definedName>
    <definedName name="revisofirmas10" localSheetId="0">INDEX([21]firmas!$C$28:$C$31,MATCH('[21]CF - IF '!$M$43:$X$43,[21]firmas!$A$28:$A$31,0))</definedName>
    <definedName name="revisofirmas10">INDEX([7]firmas!$C$28:$C$31,MATCH(#REF!,[7]firmas!$A$28:$A$31,0))</definedName>
    <definedName name="revisofirmas11" localSheetId="0">INDEX([21]firmas!$C$28:$C$31,MATCH([21]ANGULARIDAD!$W$29:$X$43,[21]firmas!$A$28:$A$31,0))</definedName>
    <definedName name="revisofirmas11">INDEX([7]firmas!$C$28:$C$31,MATCH([7]ANGULARIDAD!$W$29:$X$43,[7]firmas!$A$28:$A$31,0))</definedName>
    <definedName name="revisofirmas12" localSheetId="0">INDEX([21]firmas!$C$28:$C$31,MATCH([21]PROCTOR!$F$42,[21]firmas!$A$28:$A$31,0))</definedName>
    <definedName name="revisofirmas12">INDEX([7]firmas!$C$28:$C$31,MATCH([7]PROCTOR!$F$42,[7]firmas!$A$28:$A$31,0))</definedName>
    <definedName name="revisofirmas13" localSheetId="0">INDEX([21]firmas!$C$28:$C$31,MATCH('[21] CBR 1'!$AN$55:$AO$55,[21]firmas!$A$28:$A$31,0))</definedName>
    <definedName name="revisofirmas13">INDEX([7]firmas!$C$28:$C$31,MATCH('[7] CBR 1'!$AN$55:$AO$55,[7]firmas!$A$28:$A$31,0))</definedName>
    <definedName name="revisofirmas14" localSheetId="0">INDEX([21]firmas!$C$28:$C$31,MATCH('[21] CBR (2)'!$E$55:$F$55,[21]firmas!$A$28:$A$31,0))</definedName>
    <definedName name="revisofirmas14">INDEX([7]firmas!$C$28:$C$31,MATCH('[7] CBR (2)'!$E$55:$F$55,[7]firmas!$A$28:$A$31,0))</definedName>
    <definedName name="revisofirmas2" localSheetId="0">INDEX([17]firmas!$C$28:$C$31,MATCH('[17]CONO DINAMICO'!$G$57:$K$57,[17]firmas!$A$28:$A$31,0))</definedName>
    <definedName name="revisofirmas2">INDEX([9]firmas!$C$34:$C$37,MATCH(#REF!,[9]firmas!$A$34:$A$37,0))</definedName>
    <definedName name="revisofirmas3" localSheetId="0">INDEX([17]firmas!$C$28:$C$31,MATCH('[22]CLASIFICACION M1'!$J$61:$M$61,[17]firmas!$A$28:$A$31,0))</definedName>
    <definedName name="revisofirmas3">INDEX([7]firmas!$C$28:$C$31,MATCH([7]Desgaste!$L$38,[7]firmas!$A$28:$A$31,0))</definedName>
    <definedName name="revisofirmas4" localSheetId="0">INDEX([17]firmas!$C$28:$C$31,MATCH(#REF!,[17]firmas!$A$28:$A$31,0))</definedName>
    <definedName name="revisofirmas4">INDEX([7]firmas!$C$28:$C$31,MATCH('[7]Microdeval '!$R$44,[7]firmas!$A$28:$A$31,0))</definedName>
    <definedName name="revisofirmas5" localSheetId="0">INDEX('1. Encabezado'!$AF$8:$AF$19,MATCH('1. Encabezado'!#REF!,'1. Encabezado'!$AD$8:$AD$17,0))</definedName>
    <definedName name="revisofirmas5">INDEX([7]firmas!$C$28:$C$31,MATCH('[7]10% De Finos'!$F$23,[7]firmas!$A$28:$A$31,0))</definedName>
    <definedName name="revisofirmas6" localSheetId="0">INDEX([17]firmas!$C$28:$C$31,MATCH('[17]CLASIFICACION M2'!$J$61:$M$61,[17]firmas!$A$28:$A$31,0))</definedName>
    <definedName name="revisofirmas6">INDEX([7]firmas!$C$28:$C$31,MATCH(#REF!,[7]firmas!$A$28:$A$31,0))</definedName>
    <definedName name="revisofirmas7" localSheetId="0">INDEX([17]firmas!$C$28:$C$31,MATCH('[17]M.O.  M2'!$F$27:$H$27,[17]firmas!$A$28:$A$31,0))</definedName>
    <definedName name="revisofirmas7">INDEX([7]firmas!$C$28:$C$31,MATCH(#REF!,[7]firmas!$A$28:$A$31,0))</definedName>
    <definedName name="revisofirmas732" localSheetId="2">INDEX([12]firmas!$C$35:$C$38,MATCH('3. Extracción'!#REF!,[12]firmas!$A$35:$A$38,0))</definedName>
    <definedName name="revisofirmas8" localSheetId="0">INDEX([17]firmas!$C$28:$C$31,MATCH('[17]CLASIFICACION M3'!$J$61:$M$61,[17]firmas!$A$28:$A$31,0))</definedName>
    <definedName name="revisofirmas8">INDEX([24]firmas!$C$28:$C$31,MATCH([24]EQUIVALENTE!$G$29,[24]firmas!$A$28:$A$31,0))</definedName>
    <definedName name="revisofirmas9" localSheetId="0">INDEX([17]firmas!$C$28:$C$31,MATCH('[17]M.O.  M3'!$F$27:$H$27,[17]firmas!$A$28:$A$31,0))</definedName>
    <definedName name="revisofirmas9">INDEX([7]firmas!$C$28:$C$31,MATCH(#REF!,[7]firmas!$A$28:$A$31,0))</definedName>
    <definedName name="revisofirmasD" localSheetId="0">INDEX([25]firmas!$C$28:$C$31,MATCH('[25]Desgaste '!$M$36:$S$36,[25]firmas!$A$28:$A$31,0))</definedName>
    <definedName name="revisofirmasD">INDEX([26]firmas!$C$28:$C$31,MATCH('[26]Desgaste '!$M$36:$S$36,[26]firmas!$A$28:$A$31,0))</definedName>
    <definedName name="revisofirmasH" localSheetId="0">INDEX([32]firmas!$C$28:$C$31,MATCH(#REF!,[32]firmas!$A$28:$A$31,0))</definedName>
    <definedName name="revisofirmasH">INDEX([32]firmas!$C$28:$C$31,MATCH(#REF!,[32]firmas!$A$28:$A$31,0))</definedName>
    <definedName name="revisofirmasMO" localSheetId="0">INDEX([27]firmas!$C$28:$C$31,MATCH([27]COLORIMETRIA!$G$31,[27]firmas!$A$28:$A$31,0))</definedName>
    <definedName name="revisofirmasMO">INDEX([7]firmas!$C$28:$C$31,MATCH(#REF!,[7]firmas!$A$28:$A$31,0))</definedName>
    <definedName name="RevisoMO_M2" localSheetId="0">INDEX([11]firmas!$C$26:$C$29,MATCH('[11]M.O.  M2'!$F$29:$H$29,[11]firmas!$A$26:$A$29,0))</definedName>
    <definedName name="RevisoMO_M2">INDEX([28]firmas!$C$26:$C$29,MATCH('[28]M.O.  M2'!$F$29:$H$29,[28]firmas!$A$26:$A$29,0))</definedName>
    <definedName name="RevisoMO_M3" localSheetId="0">INDEX([11]firmas!$C$26:$C$29,MATCH('[11]M.O.  M3'!$F$29:$H$29,[11]firmas!$A$26:$A$29,0))</definedName>
    <definedName name="RevisoMO_M3">INDEX([28]firmas!$C$26:$C$29,MATCH('[28]M.O.  M3'!$F$29:$H$29,[28]firmas!$A$26:$A$29,0))</definedName>
    <definedName name="revisonombres" localSheetId="0">[17]firmas!$A$28:$A$31</definedName>
    <definedName name="revisonombres" localSheetId="1">#REF!</definedName>
    <definedName name="revisonombres" localSheetId="2">[12]firmas!$A$35:$A$38</definedName>
    <definedName name="revisonombres" localSheetId="3">[13]firmas!$A$35:$A$38</definedName>
    <definedName name="revisonombres" localSheetId="4">[14]firmas!$A$29:$A$32</definedName>
    <definedName name="revisonombres" localSheetId="5">[14]firmas!$A$29:$A$32</definedName>
    <definedName name="revisonombres" localSheetId="6">[15]firmas!$A$29:$A$32</definedName>
    <definedName name="revisonombres" localSheetId="7">[20]firmas!$A$31:$A$34</definedName>
    <definedName name="revisonombres">#REF!</definedName>
    <definedName name="VARGAS_PABLO" localSheetId="0">'[9]Formato '!#REF!</definedName>
    <definedName name="VARGAS_PABLO">'[9]Formato '!#REF!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57" l="1"/>
  <c r="B11" i="57"/>
  <c r="L11" i="57" s="1"/>
  <c r="M22" i="57" l="1"/>
  <c r="M23" i="57"/>
  <c r="E22" i="57"/>
  <c r="F22" i="57" s="1"/>
  <c r="G22" i="57" s="1"/>
  <c r="H22" i="57" s="1"/>
  <c r="I22" i="57" s="1"/>
  <c r="J22" i="57" s="1"/>
  <c r="K22" i="57" s="1"/>
  <c r="L22" i="57" s="1"/>
  <c r="E23" i="57"/>
  <c r="F23" i="57" s="1"/>
  <c r="G23" i="57" s="1"/>
  <c r="H23" i="57" s="1"/>
  <c r="I23" i="57" s="1"/>
  <c r="J23" i="57" s="1"/>
  <c r="K23" i="57" s="1"/>
  <c r="L23" i="57" s="1"/>
  <c r="T12" i="57"/>
  <c r="T11" i="57"/>
  <c r="T13" i="57"/>
  <c r="O17" i="57"/>
  <c r="Q17" i="57" s="1"/>
  <c r="S17" i="57" s="1"/>
  <c r="I12" i="57"/>
  <c r="I13" i="57"/>
  <c r="E11" i="57"/>
  <c r="E21" i="57" s="1"/>
  <c r="B12" i="57"/>
  <c r="Q18" i="57" s="1"/>
  <c r="S18" i="57" s="1"/>
  <c r="B13" i="57"/>
  <c r="Q19" i="57" s="1"/>
  <c r="S19" i="57" s="1"/>
  <c r="E24" i="57" l="1"/>
  <c r="F21" i="57"/>
  <c r="F24" i="57" l="1"/>
  <c r="G21" i="57"/>
  <c r="M13" i="67"/>
  <c r="H21" i="57" l="1"/>
  <c r="G24" i="57"/>
  <c r="B43" i="66"/>
  <c r="I21" i="57" l="1"/>
  <c r="H24" i="57"/>
  <c r="AE44" i="66"/>
  <c r="AD44" i="66"/>
  <c r="B38" i="66"/>
  <c r="E15" i="66"/>
  <c r="J21" i="57" l="1"/>
  <c r="I24" i="57"/>
  <c r="I31" i="66"/>
  <c r="K21" i="57" l="1"/>
  <c r="J24" i="57"/>
  <c r="K7" i="67"/>
  <c r="R8" i="67" s="1"/>
  <c r="AB10" i="66"/>
  <c r="R10" i="67" s="1"/>
  <c r="C16" i="67"/>
  <c r="E16" i="67"/>
  <c r="G16" i="67"/>
  <c r="I16" i="67"/>
  <c r="K16" i="67"/>
  <c r="L16" i="67"/>
  <c r="M14" i="67"/>
  <c r="P14" i="67" s="1"/>
  <c r="V5" i="67" s="1"/>
  <c r="M15" i="67"/>
  <c r="P15" i="67" s="1"/>
  <c r="V6" i="67" s="1"/>
  <c r="L21" i="57" l="1"/>
  <c r="L24" i="57" s="1"/>
  <c r="K24" i="57"/>
  <c r="M16" i="67"/>
  <c r="AB24" i="66" s="1"/>
  <c r="J8" i="67"/>
  <c r="T3" i="67"/>
  <c r="P13" i="67" l="1"/>
  <c r="V4" i="67" s="1"/>
  <c r="V7" i="67" s="1"/>
  <c r="Q17" i="67" s="1"/>
  <c r="V23" i="66" l="1"/>
  <c r="V24" i="66"/>
  <c r="V25" i="66"/>
  <c r="V22" i="66"/>
  <c r="S24" i="66"/>
  <c r="S23" i="66"/>
  <c r="S22" i="66"/>
  <c r="R24" i="66"/>
  <c r="R25" i="66"/>
  <c r="R22" i="66"/>
  <c r="R23" i="66"/>
  <c r="S25" i="66"/>
  <c r="I12" i="66" l="1"/>
  <c r="AD38" i="66" l="1"/>
  <c r="AE39" i="66" l="1"/>
  <c r="AD39" i="66"/>
  <c r="N12" i="56" l="1"/>
  <c r="M12" i="56"/>
  <c r="L12" i="56"/>
  <c r="K12" i="56"/>
  <c r="S21" i="66" l="1"/>
  <c r="K46" i="55" l="1"/>
  <c r="Q12" i="63" l="1"/>
  <c r="K29" i="63" l="1"/>
  <c r="K28" i="63"/>
  <c r="R12" i="56"/>
  <c r="K26" i="63"/>
  <c r="H17" i="63"/>
  <c r="K23" i="63"/>
  <c r="K24" i="63"/>
  <c r="K16" i="63"/>
  <c r="K27" i="63"/>
  <c r="K20" i="63"/>
  <c r="K21" i="63"/>
  <c r="K25" i="63"/>
  <c r="K15" i="63"/>
  <c r="K22" i="63"/>
  <c r="AC35" i="66" l="1"/>
  <c r="Q13" i="57" l="1"/>
  <c r="P12" i="63"/>
  <c r="E25" i="57" l="1"/>
  <c r="M21" i="57"/>
  <c r="M24" i="57" s="1"/>
  <c r="E27" i="57"/>
  <c r="F27" i="57"/>
  <c r="N28" i="63"/>
  <c r="N29" i="63"/>
  <c r="G27" i="57"/>
  <c r="M27" i="57"/>
  <c r="N20" i="63"/>
  <c r="J27" i="57"/>
  <c r="H27" i="57"/>
  <c r="L27" i="57"/>
  <c r="I27" i="57"/>
  <c r="AH31" i="63" l="1"/>
  <c r="AH26" i="63"/>
  <c r="AH24" i="63"/>
  <c r="T18" i="63"/>
  <c r="AA26" i="63"/>
  <c r="AA24" i="63"/>
  <c r="AA22" i="63"/>
  <c r="U18" i="63"/>
  <c r="O21" i="66" l="1"/>
  <c r="AS49" i="66" l="1"/>
  <c r="AY49" i="66" s="1"/>
  <c r="B27" i="66"/>
  <c r="Q12" i="56" l="1"/>
  <c r="G29" i="56" s="1"/>
  <c r="B26" i="66"/>
  <c r="B22" i="66"/>
  <c r="B20" i="66"/>
  <c r="B18" i="66"/>
  <c r="B17" i="66"/>
  <c r="B16" i="66"/>
  <c r="AB8" i="66"/>
  <c r="AS48" i="66"/>
  <c r="AY48" i="66" s="1"/>
  <c r="AS47" i="66"/>
  <c r="AY47" i="66" s="1"/>
  <c r="AS46" i="66"/>
  <c r="AY46" i="66" s="1"/>
  <c r="AS45" i="66"/>
  <c r="AY45" i="66" s="1"/>
  <c r="AS44" i="66"/>
  <c r="AY44" i="66" s="1"/>
  <c r="AE45" i="66"/>
  <c r="AE43" i="66"/>
  <c r="AD43" i="66"/>
  <c r="A51" i="66" s="1"/>
  <c r="AS34" i="66"/>
  <c r="AY34" i="66" s="1"/>
  <c r="AS33" i="66"/>
  <c r="AY33" i="66" s="1"/>
  <c r="AS32" i="66"/>
  <c r="AY32" i="66" s="1"/>
  <c r="AS31" i="66"/>
  <c r="AY31" i="66" s="1"/>
  <c r="AS30" i="66"/>
  <c r="AY30" i="66" s="1"/>
  <c r="AS29" i="66"/>
  <c r="AY29" i="66" s="1"/>
  <c r="AS28" i="66"/>
  <c r="AY28" i="66" s="1"/>
  <c r="AS27" i="66"/>
  <c r="AY27" i="66" s="1"/>
  <c r="AS26" i="66"/>
  <c r="AY26" i="66" s="1"/>
  <c r="AS25" i="66"/>
  <c r="AY25" i="66" s="1"/>
  <c r="AS24" i="66"/>
  <c r="AY24" i="66" s="1"/>
  <c r="AS23" i="66"/>
  <c r="AY23" i="66" s="1"/>
  <c r="AS22" i="66"/>
  <c r="AY22" i="66" s="1"/>
  <c r="AT21" i="66"/>
  <c r="AS21" i="66"/>
  <c r="AY21" i="66" s="1"/>
  <c r="AT20" i="66"/>
  <c r="AS20" i="66"/>
  <c r="AY20" i="66" s="1"/>
  <c r="AT19" i="66"/>
  <c r="AS19" i="66"/>
  <c r="AY19" i="66" s="1"/>
  <c r="AU18" i="66"/>
  <c r="AT18" i="66"/>
  <c r="AS18" i="66"/>
  <c r="AY18" i="66" s="1"/>
  <c r="AD21" i="66"/>
  <c r="AD42" i="66" s="1"/>
  <c r="AZ17" i="66"/>
  <c r="AU17" i="66"/>
  <c r="AT17" i="66"/>
  <c r="AS17" i="66"/>
  <c r="AY17" i="66" s="1"/>
  <c r="BK16" i="66"/>
  <c r="B28" i="66" s="1"/>
  <c r="BJ16" i="66"/>
  <c r="BI16" i="66"/>
  <c r="BH16" i="66"/>
  <c r="BG16" i="66"/>
  <c r="BE16" i="66"/>
  <c r="BD16" i="66"/>
  <c r="BC16" i="66"/>
  <c r="AZ16" i="66"/>
  <c r="AT16" i="66"/>
  <c r="AS16" i="66"/>
  <c r="AY16" i="66" s="1"/>
  <c r="AL16" i="66"/>
  <c r="AU16" i="66" s="1"/>
  <c r="BJ15" i="66"/>
  <c r="BI15" i="66"/>
  <c r="BH15" i="66"/>
  <c r="BG15" i="66"/>
  <c r="BE15" i="66"/>
  <c r="BD15" i="66"/>
  <c r="BC15" i="66"/>
  <c r="AZ15" i="66"/>
  <c r="AT15" i="66"/>
  <c r="AS15" i="66"/>
  <c r="AY15" i="66" s="1"/>
  <c r="AL15" i="66"/>
  <c r="AU15" i="66" s="1"/>
  <c r="BJ14" i="66"/>
  <c r="BI14" i="66"/>
  <c r="BH14" i="66"/>
  <c r="BG14" i="66"/>
  <c r="BE14" i="66"/>
  <c r="BC14" i="66"/>
  <c r="AZ14" i="66"/>
  <c r="AT14" i="66"/>
  <c r="AS14" i="66"/>
  <c r="AY14" i="66" s="1"/>
  <c r="AL14" i="66"/>
  <c r="AU14" i="66" s="1"/>
  <c r="BJ13" i="66"/>
  <c r="BI13" i="66"/>
  <c r="BH13" i="66"/>
  <c r="BG13" i="66"/>
  <c r="BD13" i="66"/>
  <c r="BC13" i="66"/>
  <c r="AZ13" i="66"/>
  <c r="AT13" i="66"/>
  <c r="AS13" i="66"/>
  <c r="AY13" i="66" s="1"/>
  <c r="AL13" i="66"/>
  <c r="AU13" i="66" s="1"/>
  <c r="BL12" i="66"/>
  <c r="BK12" i="66"/>
  <c r="BJ12" i="66"/>
  <c r="BI12" i="66"/>
  <c r="BH12" i="66"/>
  <c r="BG12" i="66"/>
  <c r="BE12" i="66"/>
  <c r="AZ12" i="66"/>
  <c r="AT12" i="66"/>
  <c r="AS12" i="66"/>
  <c r="AY12" i="66" s="1"/>
  <c r="AL12" i="66"/>
  <c r="AS39" i="66" s="1"/>
  <c r="AY39" i="66" s="1"/>
  <c r="BK11" i="66"/>
  <c r="B19" i="66" s="1"/>
  <c r="BE11" i="66"/>
  <c r="BC11" i="66"/>
  <c r="AZ11" i="66"/>
  <c r="AT11" i="66"/>
  <c r="AS11" i="66"/>
  <c r="AY11" i="66" s="1"/>
  <c r="AL11" i="66"/>
  <c r="AS38" i="66" s="1"/>
  <c r="AY38" i="66" s="1"/>
  <c r="BJ10" i="66"/>
  <c r="BI10" i="66"/>
  <c r="AZ10" i="66"/>
  <c r="AX10" i="66"/>
  <c r="AW10" i="66"/>
  <c r="AT10" i="66"/>
  <c r="AS10" i="66"/>
  <c r="AY10" i="66" s="1"/>
  <c r="AL10" i="66"/>
  <c r="AS37" i="66" s="1"/>
  <c r="AY37" i="66" s="1"/>
  <c r="AZ9" i="66"/>
  <c r="AX9" i="66"/>
  <c r="AW9" i="66"/>
  <c r="AT9" i="66"/>
  <c r="AS9" i="66"/>
  <c r="AY9" i="66" s="1"/>
  <c r="AL9" i="66"/>
  <c r="AS36" i="66" s="1"/>
  <c r="AY36" i="66" s="1"/>
  <c r="AZ8" i="66"/>
  <c r="AX8" i="66"/>
  <c r="AW8" i="66"/>
  <c r="AV8" i="66"/>
  <c r="AT8" i="66"/>
  <c r="AS8" i="66"/>
  <c r="AY8" i="66" s="1"/>
  <c r="AL8" i="66"/>
  <c r="AS35" i="66" s="1"/>
  <c r="AY35" i="66" s="1"/>
  <c r="BM7" i="66"/>
  <c r="BL7" i="66"/>
  <c r="BK7" i="66"/>
  <c r="BJ7" i="66"/>
  <c r="BI7" i="66"/>
  <c r="BH7" i="66"/>
  <c r="BG7" i="66"/>
  <c r="BF7" i="66"/>
  <c r="BE7" i="66"/>
  <c r="BD7" i="66"/>
  <c r="BC7" i="66"/>
  <c r="AS7" i="66"/>
  <c r="AY3" i="66" s="1"/>
  <c r="AR7" i="66"/>
  <c r="AQ7" i="66"/>
  <c r="AP7" i="66"/>
  <c r="AO7" i="66"/>
  <c r="AN7" i="66"/>
  <c r="AX3" i="66" s="1"/>
  <c r="AM7" i="66"/>
  <c r="AW3" i="66" s="1"/>
  <c r="AL7" i="66"/>
  <c r="AK7" i="66"/>
  <c r="AJ7" i="66"/>
  <c r="AV3" i="66" s="1"/>
  <c r="AI7" i="66"/>
  <c r="BB6" i="66"/>
  <c r="AI6" i="66"/>
  <c r="AD6" i="66"/>
  <c r="AD36" i="66" s="1"/>
  <c r="AC6" i="66"/>
  <c r="AA6" i="66"/>
  <c r="AZ3" i="66"/>
  <c r="AT2" i="66"/>
  <c r="G30" i="56" l="1"/>
  <c r="O29" i="56"/>
  <c r="G31" i="56"/>
  <c r="AU12" i="66"/>
  <c r="AU8" i="66"/>
  <c r="AU11" i="66"/>
  <c r="AT3" i="66"/>
  <c r="AU10" i="66"/>
  <c r="AU3" i="66"/>
  <c r="AS43" i="66"/>
  <c r="AY43" i="66" s="1"/>
  <c r="V8" i="66"/>
  <c r="AS41" i="66"/>
  <c r="AY41" i="66" s="1"/>
  <c r="AU9" i="66"/>
  <c r="AS40" i="66"/>
  <c r="AY40" i="66" s="1"/>
  <c r="AS42" i="66"/>
  <c r="AY42" i="66" s="1"/>
  <c r="S7" i="55" l="1"/>
  <c r="AD9" i="55" s="1"/>
  <c r="L37" i="55" l="1"/>
  <c r="V18" i="63" l="1"/>
  <c r="M15" i="64" l="1"/>
  <c r="M16" i="64"/>
  <c r="M17" i="64"/>
  <c r="L15" i="64"/>
  <c r="L16" i="64"/>
  <c r="L17" i="64"/>
  <c r="K15" i="64"/>
  <c r="K16" i="64"/>
  <c r="K17" i="64"/>
  <c r="J14" i="64"/>
  <c r="J15" i="64"/>
  <c r="J16" i="64"/>
  <c r="J17" i="64"/>
  <c r="J29" i="64"/>
  <c r="F29" i="64"/>
  <c r="G25" i="64" l="1"/>
  <c r="G24" i="64"/>
  <c r="AF41" i="56" l="1"/>
  <c r="I26" i="64"/>
  <c r="U161" i="64" l="1"/>
  <c r="V161" i="64"/>
  <c r="U162" i="64"/>
  <c r="V162" i="64"/>
  <c r="U163" i="64"/>
  <c r="V163" i="64"/>
  <c r="U164" i="64"/>
  <c r="V164" i="64"/>
  <c r="U165" i="64"/>
  <c r="V165" i="64"/>
  <c r="U166" i="64"/>
  <c r="V166" i="64"/>
  <c r="U167" i="64"/>
  <c r="V167" i="64"/>
  <c r="AF18" i="56" l="1"/>
  <c r="X25" i="63" l="1"/>
  <c r="X18" i="63"/>
  <c r="W18" i="63"/>
  <c r="I47" i="57" l="1"/>
  <c r="S18" i="63" l="1"/>
  <c r="K7" i="59" l="1"/>
  <c r="G23" i="59" s="1"/>
  <c r="G23" i="64" s="1"/>
  <c r="P10" i="59" l="1"/>
  <c r="L7" i="64"/>
  <c r="E29" i="59"/>
  <c r="I29" i="64" l="1"/>
  <c r="E29" i="64"/>
  <c r="R48" i="55"/>
  <c r="K7" i="57" l="1"/>
  <c r="Q10" i="57" s="1"/>
  <c r="H16" i="63" l="1"/>
  <c r="C30" i="63"/>
  <c r="AD7" i="55"/>
  <c r="Y16" i="56" l="1"/>
  <c r="T25" i="59"/>
  <c r="G26" i="59" s="1"/>
  <c r="J21" i="59"/>
  <c r="J18" i="59"/>
  <c r="J13" i="59"/>
  <c r="J13" i="64" s="1"/>
  <c r="J12" i="59"/>
  <c r="T3" i="57"/>
  <c r="AB27" i="66" l="1"/>
  <c r="J12" i="64"/>
  <c r="G26" i="64"/>
  <c r="G27" i="59"/>
  <c r="J19" i="59"/>
  <c r="J18" i="64"/>
  <c r="J21" i="64"/>
  <c r="K7" i="63"/>
  <c r="P10" i="63" s="1"/>
  <c r="AB26" i="66" l="1"/>
  <c r="AB28" i="66"/>
  <c r="I29" i="59"/>
  <c r="O31" i="56"/>
  <c r="G27" i="64"/>
  <c r="W9" i="59"/>
  <c r="Q12" i="59" s="1"/>
  <c r="S3" i="59" s="1"/>
  <c r="J20" i="59"/>
  <c r="J20" i="64" s="1"/>
  <c r="J19" i="64"/>
  <c r="P8" i="63"/>
  <c r="U16" i="56"/>
  <c r="K18" i="56" s="1"/>
  <c r="L14" i="59"/>
  <c r="L14" i="64" s="1"/>
  <c r="M14" i="59"/>
  <c r="M14" i="64" s="1"/>
  <c r="K14" i="59"/>
  <c r="K14" i="64" s="1"/>
  <c r="F20" i="57"/>
  <c r="G20" i="57"/>
  <c r="H20" i="57"/>
  <c r="I20" i="57"/>
  <c r="J20" i="57"/>
  <c r="K20" i="57"/>
  <c r="L20" i="57"/>
  <c r="M20" i="57"/>
  <c r="N20" i="57"/>
  <c r="E20" i="57"/>
  <c r="E12" i="57"/>
  <c r="E13" i="57"/>
  <c r="T14" i="57" l="1"/>
  <c r="H29" i="63"/>
  <c r="AL31" i="63"/>
  <c r="AK31" i="63"/>
  <c r="AJ31" i="63"/>
  <c r="AI31" i="63"/>
  <c r="AG31" i="63"/>
  <c r="AL26" i="63"/>
  <c r="AK26" i="63"/>
  <c r="AJ26" i="63"/>
  <c r="AI26" i="63"/>
  <c r="AG26" i="63"/>
  <c r="AE26" i="63"/>
  <c r="AD26" i="63"/>
  <c r="AC26" i="63"/>
  <c r="AB26" i="63"/>
  <c r="Z26" i="63"/>
  <c r="AL24" i="63"/>
  <c r="AK24" i="63"/>
  <c r="AJ24" i="63"/>
  <c r="AI24" i="63"/>
  <c r="AG24" i="63"/>
  <c r="AE24" i="63"/>
  <c r="AD24" i="63"/>
  <c r="AC24" i="63"/>
  <c r="AB24" i="63"/>
  <c r="Z24" i="63"/>
  <c r="AE22" i="63"/>
  <c r="AD22" i="63"/>
  <c r="AC22" i="63"/>
  <c r="AB22" i="63"/>
  <c r="Z22" i="63"/>
  <c r="E11" i="63" l="1"/>
  <c r="O27" i="63"/>
  <c r="O26" i="63"/>
  <c r="N25" i="63"/>
  <c r="O23" i="63"/>
  <c r="N22" i="63"/>
  <c r="O25" i="63"/>
  <c r="O24" i="63"/>
  <c r="N23" i="63"/>
  <c r="O22" i="63"/>
  <c r="M28" i="63"/>
  <c r="N27" i="63"/>
  <c r="N24" i="63"/>
  <c r="M23" i="63"/>
  <c r="O21" i="63"/>
  <c r="M21" i="63" s="1"/>
  <c r="L16" i="63"/>
  <c r="N26" i="63"/>
  <c r="N21" i="63"/>
  <c r="N19" i="63"/>
  <c r="L15" i="63"/>
  <c r="O20" i="63"/>
  <c r="K19" i="63"/>
  <c r="H19" i="63" s="1"/>
  <c r="L23" i="63" l="1"/>
  <c r="M16" i="63"/>
  <c r="P16" i="63" s="1"/>
  <c r="L21" i="63"/>
  <c r="M15" i="63"/>
  <c r="L20" i="63"/>
  <c r="E28" i="57"/>
  <c r="M26" i="57"/>
  <c r="L26" i="57"/>
  <c r="J26" i="57"/>
  <c r="I26" i="57"/>
  <c r="H26" i="57"/>
  <c r="G26" i="57"/>
  <c r="G29" i="57" s="1"/>
  <c r="F26" i="57"/>
  <c r="E26" i="57"/>
  <c r="M25" i="57"/>
  <c r="L25" i="57"/>
  <c r="J25" i="57"/>
  <c r="W30" i="59" s="1"/>
  <c r="I25" i="57"/>
  <c r="H25" i="57"/>
  <c r="G25" i="57"/>
  <c r="G28" i="57" s="1"/>
  <c r="F25" i="57"/>
  <c r="A25" i="57"/>
  <c r="M16" i="57"/>
  <c r="L16" i="57"/>
  <c r="K16" i="57"/>
  <c r="J16" i="57"/>
  <c r="I16" i="57"/>
  <c r="H16" i="57"/>
  <c r="G16" i="57"/>
  <c r="F16" i="57"/>
  <c r="E16" i="57"/>
  <c r="M15" i="57"/>
  <c r="L15" i="57"/>
  <c r="K15" i="57"/>
  <c r="K27" i="57" s="1"/>
  <c r="J15" i="57"/>
  <c r="V30" i="59" s="1"/>
  <c r="I15" i="57"/>
  <c r="V29" i="59" s="1"/>
  <c r="H15" i="57"/>
  <c r="V28" i="59" s="1"/>
  <c r="G15" i="57"/>
  <c r="V27" i="59" s="1"/>
  <c r="F15" i="57"/>
  <c r="V26" i="59" s="1"/>
  <c r="E15" i="57"/>
  <c r="V25" i="59" s="1"/>
  <c r="I14" i="57"/>
  <c r="B14" i="57"/>
  <c r="L12" i="57"/>
  <c r="O18" i="57" s="1"/>
  <c r="W33" i="57" a="1"/>
  <c r="X33" i="57" s="1"/>
  <c r="S10" i="57"/>
  <c r="W32" i="57"/>
  <c r="X32" i="57" s="1"/>
  <c r="S9" i="57"/>
  <c r="AD30" i="57"/>
  <c r="AC30" i="57"/>
  <c r="AA30" i="57"/>
  <c r="AD29" i="57"/>
  <c r="AC29" i="57"/>
  <c r="AB29" i="57"/>
  <c r="AA29" i="57"/>
  <c r="U13" i="57"/>
  <c r="U12" i="57"/>
  <c r="U11" i="57"/>
  <c r="AB30" i="57"/>
  <c r="W33" i="57" l="1"/>
  <c r="L29" i="57"/>
  <c r="L28" i="57"/>
  <c r="M29" i="57"/>
  <c r="M28" i="57"/>
  <c r="F29" i="57"/>
  <c r="F28" i="57"/>
  <c r="H29" i="57"/>
  <c r="H28" i="57"/>
  <c r="I28" i="57"/>
  <c r="I29" i="57"/>
  <c r="E29" i="57"/>
  <c r="J28" i="57"/>
  <c r="J29" i="57"/>
  <c r="L13" i="57"/>
  <c r="O19" i="57" s="1"/>
  <c r="E14" i="57"/>
  <c r="K25" i="57"/>
  <c r="K28" i="57" s="1"/>
  <c r="K26" i="57"/>
  <c r="K29" i="57" s="1"/>
  <c r="O20" i="57" l="1"/>
  <c r="Q20" i="57" s="1"/>
  <c r="S20" i="57" s="1"/>
  <c r="AB25" i="66"/>
  <c r="V31" i="57"/>
  <c r="W25" i="59"/>
  <c r="X25" i="59" s="1"/>
  <c r="L14" i="57"/>
  <c r="W31" i="57" l="1"/>
  <c r="W26" i="59"/>
  <c r="X26" i="59" s="1"/>
  <c r="E30" i="56" l="1"/>
  <c r="E29" i="56"/>
  <c r="E31" i="56"/>
  <c r="X31" i="57"/>
  <c r="W27" i="59"/>
  <c r="X27" i="59" s="1"/>
  <c r="O30" i="56" l="1"/>
  <c r="Y31" i="57"/>
  <c r="W28" i="59"/>
  <c r="X28" i="59" s="1"/>
  <c r="Z31" i="57" l="1"/>
  <c r="W29" i="59"/>
  <c r="X29" i="59" s="1"/>
  <c r="V30" i="56"/>
  <c r="AA31" i="57"/>
  <c r="AB31" i="57" l="1"/>
  <c r="AD31" i="57" l="1"/>
  <c r="AC31" i="57"/>
  <c r="V36" i="56" l="1"/>
  <c r="V31" i="56" l="1"/>
  <c r="V35" i="56"/>
  <c r="K12" i="59"/>
  <c r="L12" i="59"/>
  <c r="M12" i="59"/>
  <c r="K13" i="59"/>
  <c r="K13" i="64" s="1"/>
  <c r="L13" i="59"/>
  <c r="L13" i="64" s="1"/>
  <c r="M13" i="59"/>
  <c r="M13" i="64" s="1"/>
  <c r="K18" i="59"/>
  <c r="L18" i="59"/>
  <c r="M18" i="59"/>
  <c r="K21" i="59"/>
  <c r="L21" i="59"/>
  <c r="L21" i="64" s="1"/>
  <c r="M21" i="59"/>
  <c r="M21" i="64" s="1"/>
  <c r="M19" i="59" l="1"/>
  <c r="M19" i="64" s="1"/>
  <c r="M18" i="64"/>
  <c r="L19" i="59"/>
  <c r="L19" i="64" s="1"/>
  <c r="L18" i="64"/>
  <c r="K19" i="59"/>
  <c r="K19" i="64" s="1"/>
  <c r="N19" i="64" s="1"/>
  <c r="K18" i="64"/>
  <c r="K21" i="64"/>
  <c r="N21" i="64" s="1"/>
  <c r="U11" i="59"/>
  <c r="X16" i="56"/>
  <c r="M12" i="64"/>
  <c r="W16" i="56"/>
  <c r="M18" i="56" s="1"/>
  <c r="L12" i="64"/>
  <c r="V16" i="56"/>
  <c r="L18" i="56" s="1"/>
  <c r="K12" i="64"/>
  <c r="L20" i="59"/>
  <c r="L20" i="64" s="1"/>
  <c r="M25" i="56"/>
  <c r="L25" i="56"/>
  <c r="K15" i="56"/>
  <c r="K25" i="56"/>
  <c r="N21" i="59"/>
  <c r="U14" i="57"/>
  <c r="L7" i="56"/>
  <c r="Q10" i="56" s="1"/>
  <c r="N25" i="56" l="1"/>
  <c r="N15" i="56"/>
  <c r="N18" i="56"/>
  <c r="M15" i="56"/>
  <c r="L15" i="56"/>
  <c r="M20" i="59"/>
  <c r="M20" i="64" s="1"/>
  <c r="N19" i="59"/>
  <c r="W7" i="59" s="1"/>
  <c r="Q8" i="59" s="1"/>
  <c r="S2" i="59" s="1"/>
  <c r="S4" i="59" s="1"/>
  <c r="B32" i="59" s="1"/>
  <c r="K20" i="59"/>
  <c r="K20" i="64" s="1"/>
  <c r="N20" i="64" s="1"/>
  <c r="U10" i="59"/>
  <c r="Q7" i="59" s="1"/>
  <c r="N11" i="59" s="1"/>
  <c r="Q8" i="56"/>
  <c r="K8" i="63"/>
  <c r="Q8" i="57"/>
  <c r="P8" i="59"/>
  <c r="Q9" i="59" l="1"/>
  <c r="N20" i="59"/>
  <c r="V168" i="59"/>
  <c r="U168" i="59"/>
  <c r="V167" i="59"/>
  <c r="U167" i="59"/>
  <c r="V166" i="59"/>
  <c r="U166" i="59"/>
  <c r="V165" i="59"/>
  <c r="U165" i="59"/>
  <c r="V164" i="59"/>
  <c r="U164" i="59"/>
  <c r="V163" i="59"/>
  <c r="U163" i="59"/>
  <c r="V162" i="59"/>
  <c r="U162" i="59"/>
  <c r="L8" i="59"/>
  <c r="L8" i="64" s="1"/>
  <c r="T7" i="57" l="1"/>
  <c r="T6" i="57"/>
  <c r="T5" i="57"/>
  <c r="J8" i="57"/>
  <c r="S7" i="57" l="1"/>
  <c r="S6" i="57"/>
  <c r="Z29" i="56"/>
  <c r="H15" i="63" l="1"/>
  <c r="P15" i="63" s="1"/>
  <c r="T8" i="57"/>
  <c r="AF113" i="56" l="1"/>
  <c r="AF112" i="56"/>
  <c r="AF111" i="56"/>
  <c r="AF110" i="56"/>
  <c r="AF109" i="56"/>
  <c r="AF108" i="56"/>
  <c r="AF107" i="56"/>
  <c r="AF106" i="56"/>
  <c r="AF105" i="56"/>
  <c r="AF104" i="56"/>
  <c r="AF103" i="56"/>
  <c r="AF102" i="56"/>
  <c r="AF101" i="56"/>
  <c r="AF100" i="56"/>
  <c r="AF99" i="56"/>
  <c r="AF97" i="56"/>
  <c r="AF96" i="56"/>
  <c r="AF95" i="56"/>
  <c r="AF94" i="56"/>
  <c r="AF93" i="56"/>
  <c r="AF92" i="56"/>
  <c r="AF91" i="56"/>
  <c r="AF90" i="56"/>
  <c r="AF89" i="56"/>
  <c r="AF88" i="56"/>
  <c r="AF87" i="56"/>
  <c r="AF86" i="56"/>
  <c r="AF85" i="56"/>
  <c r="AF84" i="56"/>
  <c r="AF83" i="56"/>
  <c r="AF81" i="56"/>
  <c r="AF80" i="56"/>
  <c r="AF79" i="56"/>
  <c r="AF78" i="56"/>
  <c r="AF77" i="56"/>
  <c r="AF76" i="56"/>
  <c r="AF75" i="56"/>
  <c r="AF74" i="56"/>
  <c r="AF73" i="56"/>
  <c r="AF72" i="56"/>
  <c r="X17" i="56" s="1"/>
  <c r="N20" i="56" s="1"/>
  <c r="N22" i="56" s="1"/>
  <c r="AF71" i="56"/>
  <c r="AF70" i="56"/>
  <c r="AF69" i="56"/>
  <c r="AF68" i="56"/>
  <c r="AF67" i="56"/>
  <c r="AF65" i="56"/>
  <c r="AF64" i="56"/>
  <c r="AF63" i="56"/>
  <c r="AF62" i="56"/>
  <c r="AF61" i="56"/>
  <c r="AF60" i="56"/>
  <c r="AF59" i="56"/>
  <c r="AF58" i="56"/>
  <c r="AF57" i="56"/>
  <c r="AF56" i="56"/>
  <c r="AF55" i="56"/>
  <c r="AF54" i="56"/>
  <c r="AF53" i="56"/>
  <c r="AF52" i="56"/>
  <c r="AF51" i="56"/>
  <c r="AF49" i="56"/>
  <c r="AF48" i="56"/>
  <c r="AF47" i="56"/>
  <c r="AF46" i="56"/>
  <c r="AF45" i="56"/>
  <c r="AF44" i="56"/>
  <c r="AF43" i="56"/>
  <c r="AF42" i="56"/>
  <c r="AF40" i="56"/>
  <c r="AF39" i="56"/>
  <c r="AF38" i="56"/>
  <c r="AF37" i="56"/>
  <c r="AF36" i="56"/>
  <c r="X36" i="56"/>
  <c r="AF34" i="56"/>
  <c r="AF33" i="56"/>
  <c r="AF32" i="56"/>
  <c r="AF31" i="56"/>
  <c r="AF30" i="56"/>
  <c r="V32" i="56"/>
  <c r="X32" i="56" s="1"/>
  <c r="AF29" i="56"/>
  <c r="Z34" i="56"/>
  <c r="X29" i="56"/>
  <c r="AF28" i="56"/>
  <c r="AF27" i="56"/>
  <c r="AF26" i="56"/>
  <c r="O23" i="56"/>
  <c r="H21" i="63" s="1"/>
  <c r="P21" i="63" s="1"/>
  <c r="AF25" i="56"/>
  <c r="AF24" i="56"/>
  <c r="AF23" i="56"/>
  <c r="AM22" i="56"/>
  <c r="AM24" i="56" s="1"/>
  <c r="AF22" i="56"/>
  <c r="AF21" i="56"/>
  <c r="AF20" i="56"/>
  <c r="AL22" i="56"/>
  <c r="AK22" i="56"/>
  <c r="AJ22" i="56"/>
  <c r="V17" i="56"/>
  <c r="U17" i="56"/>
  <c r="AF17" i="56"/>
  <c r="AF16" i="56"/>
  <c r="AF15" i="56"/>
  <c r="O15" i="56"/>
  <c r="AF14" i="56"/>
  <c r="AF13" i="56"/>
  <c r="AF12" i="56"/>
  <c r="AF11" i="56"/>
  <c r="AF10" i="56"/>
  <c r="AF9" i="56"/>
  <c r="AF8" i="56"/>
  <c r="K8" i="56"/>
  <c r="AF7" i="56"/>
  <c r="AY6" i="56"/>
  <c r="AY8" i="56" s="1"/>
  <c r="AX6" i="56"/>
  <c r="AX9" i="56" s="1"/>
  <c r="AW6" i="56"/>
  <c r="AW7" i="56" s="1"/>
  <c r="AV6" i="56"/>
  <c r="AV7" i="56" s="1"/>
  <c r="AS6" i="56"/>
  <c r="AS8" i="56" s="1"/>
  <c r="AR6" i="56"/>
  <c r="AR9" i="56" s="1"/>
  <c r="AQ6" i="56"/>
  <c r="AQ7" i="56" s="1"/>
  <c r="AP6" i="56"/>
  <c r="AP7" i="56" s="1"/>
  <c r="AM6" i="56"/>
  <c r="AM8" i="56" s="1"/>
  <c r="AL6" i="56"/>
  <c r="AL9" i="56" s="1"/>
  <c r="AK6" i="56"/>
  <c r="AK7" i="56" s="1"/>
  <c r="AJ6" i="56"/>
  <c r="AJ7" i="56" s="1"/>
  <c r="AF6" i="56"/>
  <c r="AB6" i="56"/>
  <c r="V6" i="56"/>
  <c r="AF5" i="56"/>
  <c r="AB5" i="56"/>
  <c r="AF4" i="56"/>
  <c r="Z32" i="56" l="1"/>
  <c r="W17" i="56"/>
  <c r="M20" i="56" s="1"/>
  <c r="M22" i="56" s="1"/>
  <c r="AR7" i="56"/>
  <c r="AR15" i="56" s="1"/>
  <c r="AJ8" i="56"/>
  <c r="AJ12" i="56" s="1"/>
  <c r="AJ14" i="56" s="1"/>
  <c r="AV8" i="56"/>
  <c r="AV12" i="56" s="1"/>
  <c r="AV14" i="56" s="1"/>
  <c r="Z30" i="56"/>
  <c r="Z31" i="56" s="1"/>
  <c r="AX7" i="56"/>
  <c r="AX15" i="56" s="1"/>
  <c r="AL7" i="56"/>
  <c r="AL15" i="56" s="1"/>
  <c r="AP8" i="56"/>
  <c r="AP12" i="56" s="1"/>
  <c r="AP14" i="56" s="1"/>
  <c r="N24" i="56"/>
  <c r="AJ25" i="56"/>
  <c r="AJ24" i="56"/>
  <c r="AJ23" i="56"/>
  <c r="AJ15" i="56"/>
  <c r="AP15" i="56"/>
  <c r="AV15" i="56"/>
  <c r="AK24" i="56"/>
  <c r="AK23" i="56"/>
  <c r="AK25" i="56"/>
  <c r="L20" i="56"/>
  <c r="L22" i="56" s="1"/>
  <c r="V18" i="56"/>
  <c r="AQ22" i="56" s="1"/>
  <c r="AK15" i="56"/>
  <c r="AQ15" i="56"/>
  <c r="AW15" i="56"/>
  <c r="K20" i="56"/>
  <c r="U18" i="56"/>
  <c r="Y17" i="56"/>
  <c r="AL24" i="56"/>
  <c r="AL23" i="56"/>
  <c r="AL25" i="56"/>
  <c r="AM9" i="56"/>
  <c r="AS9" i="56"/>
  <c r="AY9" i="56"/>
  <c r="AM23" i="56"/>
  <c r="X31" i="56"/>
  <c r="AM7" i="56"/>
  <c r="AM12" i="56" s="1"/>
  <c r="AM14" i="56" s="1"/>
  <c r="AS7" i="56"/>
  <c r="AY7" i="56"/>
  <c r="AK8" i="56"/>
  <c r="AK12" i="56" s="1"/>
  <c r="AK14" i="56" s="1"/>
  <c r="AQ8" i="56"/>
  <c r="AQ12" i="56" s="1"/>
  <c r="AQ14" i="56" s="1"/>
  <c r="AW8" i="56"/>
  <c r="AW12" i="56" s="1"/>
  <c r="AW14" i="56" s="1"/>
  <c r="AJ9" i="56"/>
  <c r="AJ16" i="56" s="1"/>
  <c r="AJ17" i="56" s="1"/>
  <c r="AP9" i="56"/>
  <c r="AP16" i="56" s="1"/>
  <c r="AP17" i="56" s="1"/>
  <c r="K13" i="56" s="1"/>
  <c r="AV9" i="56"/>
  <c r="AV16" i="56" s="1"/>
  <c r="AV17" i="56" s="1"/>
  <c r="K14" i="56" s="1"/>
  <c r="X18" i="56"/>
  <c r="AS22" i="56" s="1"/>
  <c r="X30" i="56"/>
  <c r="V34" i="56"/>
  <c r="X34" i="56" s="1"/>
  <c r="X35" i="56"/>
  <c r="AL8" i="56"/>
  <c r="AR8" i="56"/>
  <c r="AX8" i="56"/>
  <c r="AK9" i="56"/>
  <c r="AK16" i="56" s="1"/>
  <c r="AK17" i="56" s="1"/>
  <c r="AQ9" i="56"/>
  <c r="AQ16" i="56" s="1"/>
  <c r="AQ17" i="56" s="1"/>
  <c r="L13" i="56" s="1"/>
  <c r="AW9" i="56"/>
  <c r="AW16" i="56" s="1"/>
  <c r="AW17" i="56" s="1"/>
  <c r="L14" i="56" s="1"/>
  <c r="AM25" i="56"/>
  <c r="O25" i="56"/>
  <c r="H23" i="63" s="1"/>
  <c r="P23" i="63" s="1"/>
  <c r="V33" i="56"/>
  <c r="X33" i="56" s="1"/>
  <c r="Z28" i="56"/>
  <c r="U22" i="56" s="1"/>
  <c r="AX12" i="56" l="1"/>
  <c r="AX14" i="56" s="1"/>
  <c r="AR16" i="56"/>
  <c r="AR17" i="56" s="1"/>
  <c r="M13" i="56" s="1"/>
  <c r="K22" i="56"/>
  <c r="AB29" i="66"/>
  <c r="I29" i="66" s="1"/>
  <c r="W18" i="56"/>
  <c r="AR22" i="56" s="1"/>
  <c r="AR24" i="56" s="1"/>
  <c r="AR12" i="56"/>
  <c r="AR14" i="56" s="1"/>
  <c r="AL12" i="56"/>
  <c r="AL14" i="56" s="1"/>
  <c r="K26" i="56"/>
  <c r="M26" i="56"/>
  <c r="M27" i="56" s="1"/>
  <c r="N26" i="56"/>
  <c r="L26" i="56"/>
  <c r="L27" i="56" s="1"/>
  <c r="X37" i="56"/>
  <c r="Z35" i="56"/>
  <c r="Z36" i="56" s="1"/>
  <c r="Z37" i="56" s="1"/>
  <c r="Z33" i="56"/>
  <c r="H26" i="63" s="1"/>
  <c r="P26" i="63" s="1"/>
  <c r="AX16" i="56"/>
  <c r="AX17" i="56" s="1"/>
  <c r="M14" i="56" s="1"/>
  <c r="AL16" i="56"/>
  <c r="AL17" i="56" s="1"/>
  <c r="AK26" i="56"/>
  <c r="AK27" i="56" s="1"/>
  <c r="AL26" i="56"/>
  <c r="AL27" i="56" s="1"/>
  <c r="AJ28" i="56"/>
  <c r="AJ29" i="56" s="1"/>
  <c r="AJ30" i="56" s="1"/>
  <c r="K16" i="56" s="1"/>
  <c r="AY16" i="56"/>
  <c r="AY17" i="56" s="1"/>
  <c r="N14" i="56" s="1"/>
  <c r="AY15" i="56"/>
  <c r="AM28" i="56"/>
  <c r="AM29" i="56" s="1"/>
  <c r="AM30" i="56" s="1"/>
  <c r="N16" i="56" s="1"/>
  <c r="AP22" i="56"/>
  <c r="AQ24" i="56"/>
  <c r="AQ23" i="56"/>
  <c r="AQ25" i="56"/>
  <c r="AJ26" i="56"/>
  <c r="AJ27" i="56" s="1"/>
  <c r="M24" i="56"/>
  <c r="AS16" i="56"/>
  <c r="AS17" i="56" s="1"/>
  <c r="N13" i="56" s="1"/>
  <c r="AS15" i="56"/>
  <c r="AL28" i="56"/>
  <c r="AL29" i="56" s="1"/>
  <c r="AL30" i="56" s="1"/>
  <c r="M16" i="56" s="1"/>
  <c r="K24" i="56"/>
  <c r="O20" i="56"/>
  <c r="L24" i="56"/>
  <c r="AK28" i="56"/>
  <c r="AK29" i="56" s="1"/>
  <c r="AK30" i="56" s="1"/>
  <c r="L16" i="56" s="1"/>
  <c r="AY12" i="56"/>
  <c r="AY14" i="56" s="1"/>
  <c r="AS23" i="56"/>
  <c r="AS25" i="56"/>
  <c r="AS24" i="56"/>
  <c r="AM16" i="56"/>
  <c r="AM17" i="56" s="1"/>
  <c r="AM15" i="56"/>
  <c r="AM26" i="56"/>
  <c r="AM27" i="56" s="1"/>
  <c r="AS12" i="56"/>
  <c r="AS14" i="56" s="1"/>
  <c r="Y18" i="56" l="1"/>
  <c r="AT22" i="56" s="1"/>
  <c r="AT25" i="56" s="1"/>
  <c r="AR25" i="56"/>
  <c r="AR27" i="56" s="1"/>
  <c r="AR23" i="56"/>
  <c r="AR26" i="56" s="1"/>
  <c r="Z38" i="56"/>
  <c r="H27" i="63" s="1"/>
  <c r="U23" i="56"/>
  <c r="U24" i="56" s="1"/>
  <c r="H28" i="63" s="1"/>
  <c r="P28" i="63" s="1"/>
  <c r="AQ26" i="56"/>
  <c r="M21" i="56"/>
  <c r="H20" i="63"/>
  <c r="P20" i="63" s="1"/>
  <c r="AQ27" i="56"/>
  <c r="N27" i="56"/>
  <c r="K27" i="56"/>
  <c r="O26" i="56"/>
  <c r="H24" i="63" s="1"/>
  <c r="P24" i="63" s="1"/>
  <c r="O24" i="56"/>
  <c r="K21" i="56"/>
  <c r="O21" i="56" s="1"/>
  <c r="N21" i="56"/>
  <c r="L21" i="56"/>
  <c r="AS26" i="56"/>
  <c r="AS27" i="56"/>
  <c r="AS28" i="56" s="1"/>
  <c r="AS29" i="56" s="1"/>
  <c r="AP25" i="56"/>
  <c r="AP24" i="56"/>
  <c r="AP23" i="56"/>
  <c r="AT23" i="56" l="1"/>
  <c r="AT24" i="56"/>
  <c r="AT27" i="56" s="1"/>
  <c r="N19" i="56"/>
  <c r="X19" i="56" s="1"/>
  <c r="P27" i="63"/>
  <c r="O27" i="56"/>
  <c r="H25" i="63" s="1"/>
  <c r="P25" i="63" s="1"/>
  <c r="AQ28" i="56"/>
  <c r="AQ29" i="56" s="1"/>
  <c r="L19" i="56" s="1"/>
  <c r="V19" i="56" s="1"/>
  <c r="AR28" i="56"/>
  <c r="AR29" i="56" s="1"/>
  <c r="M19" i="56" s="1"/>
  <c r="W19" i="56" s="1"/>
  <c r="H22" i="63"/>
  <c r="P22" i="63" s="1"/>
  <c r="AP27" i="56"/>
  <c r="AP26" i="56"/>
  <c r="AT26" i="56" l="1"/>
  <c r="AP28" i="56"/>
  <c r="AP29" i="56" s="1"/>
  <c r="K19" i="56" s="1"/>
  <c r="U19" i="56" s="1"/>
  <c r="Y19" i="56" s="1"/>
  <c r="AT28" i="56"/>
  <c r="AT29" i="56" s="1"/>
  <c r="O19" i="56" s="1"/>
  <c r="AA39" i="55"/>
  <c r="X39" i="55"/>
  <c r="U39" i="55"/>
  <c r="R39" i="55"/>
  <c r="O39" i="55"/>
  <c r="L39" i="55"/>
  <c r="R37" i="55"/>
  <c r="O37" i="55"/>
  <c r="AA30" i="55"/>
  <c r="AA33" i="55" s="1"/>
  <c r="X30" i="55"/>
  <c r="X33" i="55" s="1"/>
  <c r="U30" i="55"/>
  <c r="U33" i="55" s="1"/>
  <c r="U35" i="55" s="1"/>
  <c r="R30" i="55"/>
  <c r="R33" i="55" s="1"/>
  <c r="O30" i="55"/>
  <c r="O33" i="55" s="1"/>
  <c r="L30" i="55"/>
  <c r="L33" i="55" s="1"/>
  <c r="L35" i="55" s="1"/>
  <c r="AH28" i="55"/>
  <c r="AF28" i="55"/>
  <c r="AD28" i="55"/>
  <c r="AA27" i="55"/>
  <c r="X27" i="55"/>
  <c r="U27" i="55"/>
  <c r="AH26" i="55"/>
  <c r="R31" i="55" s="1"/>
  <c r="R32" i="55" s="1"/>
  <c r="AF26" i="55"/>
  <c r="O31" i="55" s="1"/>
  <c r="O32" i="55" s="1"/>
  <c r="AD26" i="55"/>
  <c r="L31" i="55" s="1"/>
  <c r="L32" i="55" s="1"/>
  <c r="L34" i="55" s="1"/>
  <c r="AA26" i="55"/>
  <c r="AH32" i="55" s="1"/>
  <c r="X26" i="55"/>
  <c r="AF30" i="55" s="1"/>
  <c r="X31" i="55" s="1"/>
  <c r="X32" i="55" s="1"/>
  <c r="U26" i="55"/>
  <c r="AD30" i="55" s="1"/>
  <c r="U31" i="55" s="1"/>
  <c r="U32" i="55" s="1"/>
  <c r="U34" i="55" s="1"/>
  <c r="AH22" i="55"/>
  <c r="AF22" i="55"/>
  <c r="AD22" i="55"/>
  <c r="AA17" i="55"/>
  <c r="AA18" i="55" s="1"/>
  <c r="X17" i="55"/>
  <c r="X18" i="55" s="1"/>
  <c r="U17" i="55"/>
  <c r="U18" i="55" s="1"/>
  <c r="U22" i="55" s="1"/>
  <c r="R17" i="55"/>
  <c r="R18" i="55" s="1"/>
  <c r="O17" i="55"/>
  <c r="O18" i="55" s="1"/>
  <c r="L17" i="55"/>
  <c r="L21" i="55" s="1"/>
  <c r="AA16" i="55"/>
  <c r="AA19" i="55" s="1"/>
  <c r="X16" i="55"/>
  <c r="X19" i="55" s="1"/>
  <c r="U16" i="55"/>
  <c r="U19" i="55" s="1"/>
  <c r="U23" i="55" s="1"/>
  <c r="R16" i="55"/>
  <c r="R19" i="55" s="1"/>
  <c r="O16" i="55"/>
  <c r="O19" i="55" s="1"/>
  <c r="L16" i="55"/>
  <c r="L19" i="55" s="1"/>
  <c r="L23" i="55" s="1"/>
  <c r="AA12" i="55"/>
  <c r="X12" i="55"/>
  <c r="U12" i="55"/>
  <c r="R12" i="55"/>
  <c r="O12" i="55"/>
  <c r="L12" i="55"/>
  <c r="AA11" i="55"/>
  <c r="AA40" i="55" s="1"/>
  <c r="X11" i="55"/>
  <c r="X40" i="55" s="1"/>
  <c r="U11" i="55"/>
  <c r="U40" i="55" s="1"/>
  <c r="U41" i="55" s="1"/>
  <c r="R11" i="55"/>
  <c r="R40" i="55" s="1"/>
  <c r="O11" i="55"/>
  <c r="O40" i="55" s="1"/>
  <c r="L11" i="55"/>
  <c r="V8" i="55"/>
  <c r="U21" i="55" l="1"/>
  <c r="L18" i="55"/>
  <c r="L22" i="55" s="1"/>
  <c r="AH30" i="55"/>
  <c r="AA31" i="55" s="1"/>
  <c r="AA32" i="55" s="1"/>
  <c r="AD32" i="55"/>
  <c r="L40" i="55"/>
  <c r="L41" i="55" s="1"/>
  <c r="L20" i="55"/>
  <c r="U20" i="55" s="1"/>
  <c r="L43" i="55"/>
  <c r="L42" i="55"/>
  <c r="AF32" i="55"/>
  <c r="X30" i="59" l="1"/>
  <c r="Y25" i="59" s="1"/>
  <c r="L25" i="59" s="1"/>
  <c r="L25" i="64" s="1"/>
  <c r="T26" i="64" l="1"/>
  <c r="T29" i="64"/>
  <c r="T28" i="64"/>
  <c r="T27" i="64"/>
  <c r="S27" i="59"/>
  <c r="S29" i="59"/>
  <c r="S30" i="59"/>
  <c r="S28" i="59"/>
  <c r="U26" i="64" l="1"/>
  <c r="T27" i="59"/>
  <c r="Q11" i="5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Mercy Alejandra Rivera Fonseca</author>
    <author>Karen Daniela Flórez Barón</author>
  </authors>
  <commentList>
    <comment ref="AA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Mercy Alejandra Rivera Fonseca:</t>
        </r>
        <r>
          <rPr>
            <sz val="9"/>
            <color indexed="81"/>
            <rFont val="Tahoma"/>
            <family val="2"/>
          </rPr>
          <t xml:space="preserve">
Diligenciar</t>
        </r>
      </text>
    </comment>
    <comment ref="AA11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Karen Daniela Flórez Barón:</t>
        </r>
        <r>
          <rPr>
            <sz val="9"/>
            <color indexed="81"/>
            <rFont val="Tahoma"/>
            <family val="2"/>
          </rPr>
          <t xml:space="preserve">
Diligenciar
</t>
        </r>
      </text>
    </comment>
    <comment ref="B2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Mercy Alejandra Rivera Fonseca:</t>
        </r>
        <r>
          <rPr>
            <sz val="9"/>
            <color indexed="81"/>
            <rFont val="Tahoma"/>
            <family val="2"/>
          </rPr>
          <t xml:space="preserve">
Cuando tenemos planta 1 y planta 2, va primero el volumen de planta 1 y luego el de planta 2.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Daniela Flórez Barón</author>
    <author>Mercy Alejandra Rivera Fonseca</author>
  </authors>
  <commentList>
    <comment ref="R2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Karen Daniela Flórez Barón:</t>
        </r>
        <r>
          <rPr>
            <sz val="9"/>
            <color indexed="81"/>
            <rFont val="Tahoma"/>
            <family val="2"/>
          </rPr>
          <t xml:space="preserve">
Diligenciar</t>
        </r>
      </text>
    </comment>
    <comment ref="S25" authorId="1" shapeId="0" xr:uid="{00000000-0006-0000-0400-000002000000}">
      <text>
        <r>
          <rPr>
            <b/>
            <sz val="9"/>
            <color indexed="81"/>
            <rFont val="Tahoma"/>
            <family val="2"/>
          </rPr>
          <t>Mercy Alejandra Rivera Fonseca:</t>
        </r>
        <r>
          <rPr>
            <sz val="9"/>
            <color indexed="81"/>
            <rFont val="Tahoma"/>
            <family val="2"/>
          </rPr>
          <t xml:space="preserve">
Diligenciar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Daniela Flórez Barón</author>
  </authors>
  <commentList>
    <comment ref="L4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Karen Daniela Flórez Barón:</t>
        </r>
        <r>
          <rPr>
            <sz val="9"/>
            <color indexed="81"/>
            <rFont val="Tahoma"/>
            <family val="2"/>
          </rPr>
          <t xml:space="preserve">
Digitar
</t>
        </r>
      </text>
    </comment>
  </commentList>
</comments>
</file>

<file path=xl/sharedStrings.xml><?xml version="1.0" encoding="utf-8"?>
<sst xmlns="http://schemas.openxmlformats.org/spreadsheetml/2006/main" count="939" uniqueCount="509">
  <si>
    <t>1"</t>
  </si>
  <si>
    <t>3/4"</t>
  </si>
  <si>
    <t>3/8"</t>
  </si>
  <si>
    <t>Observaciones:</t>
  </si>
  <si>
    <t>1/2"</t>
  </si>
  <si>
    <t>PROMEDIO</t>
  </si>
  <si>
    <t>Nº</t>
  </si>
  <si>
    <t xml:space="preserve">Especificación </t>
  </si>
  <si>
    <t>Promedio</t>
  </si>
  <si>
    <t>N° 4</t>
  </si>
  <si>
    <t>mm</t>
  </si>
  <si>
    <t>Contenido de asfalto (%)</t>
  </si>
  <si>
    <t>% pasa Min</t>
  </si>
  <si>
    <t>% pasa Max</t>
  </si>
  <si>
    <t>N° 10</t>
  </si>
  <si>
    <t>N° 40</t>
  </si>
  <si>
    <t>N° 80</t>
  </si>
  <si>
    <t>N° 200</t>
  </si>
  <si>
    <t>Solvente utilizado:</t>
  </si>
  <si>
    <t>Gasolina</t>
  </si>
  <si>
    <t>Masa total seca antes de lavado (g):</t>
  </si>
  <si>
    <t>Rangos de tolerancia formula de trabajo</t>
  </si>
  <si>
    <t xml:space="preserve">Tamices </t>
  </si>
  <si>
    <t>N° de muestra</t>
  </si>
  <si>
    <t>INFORME DE ENSAYO</t>
  </si>
  <si>
    <t>ESMasaR (mm)</t>
  </si>
  <si>
    <t>FACTOR</t>
  </si>
  <si>
    <t>Formula de trabajo</t>
  </si>
  <si>
    <t>Tabla 510.4</t>
  </si>
  <si>
    <t>Masa total de agregado en la mezcla (g)</t>
  </si>
  <si>
    <t>Masa de pasa No 200 por lavado (g)</t>
  </si>
  <si>
    <t>N° muestra</t>
  </si>
  <si>
    <t>MD-12</t>
  </si>
  <si>
    <t>CALCULO DEL IPA INDICE DE PELICULA DE ASFALTO  (INV-E-741-13)</t>
  </si>
  <si>
    <t>tamiz (mm)</t>
  </si>
  <si>
    <t>alterno</t>
  </si>
  <si>
    <t>%</t>
  </si>
  <si>
    <t>g</t>
  </si>
  <si>
    <t>Cliente:</t>
  </si>
  <si>
    <t>Procedencia:</t>
  </si>
  <si>
    <t>min</t>
  </si>
  <si>
    <t xml:space="preserve">Estabilidad </t>
  </si>
  <si>
    <t>Flujo</t>
  </si>
  <si>
    <t>FT</t>
  </si>
  <si>
    <t>Jornada:</t>
  </si>
  <si>
    <t>Vacíos en agregados minerales (VAM)</t>
  </si>
  <si>
    <t>N/A</t>
  </si>
  <si>
    <t xml:space="preserve">Relación Estabilidad/ Flujo </t>
  </si>
  <si>
    <t>Vacíos llenos de asfalto (VFA)</t>
  </si>
  <si>
    <t>kgf/mm</t>
  </si>
  <si>
    <t>Fecha de ejecución:</t>
  </si>
  <si>
    <t>Placa Y/o Móvil</t>
  </si>
  <si>
    <t>Masa seca total después de lavado (g):</t>
  </si>
  <si>
    <t>Max</t>
  </si>
  <si>
    <t>máx.</t>
  </si>
  <si>
    <t>Código:</t>
  </si>
  <si>
    <t>Fecha de recepción:</t>
  </si>
  <si>
    <t>Fecha de producción:</t>
  </si>
  <si>
    <t>kgf</t>
  </si>
  <si>
    <t>Contenido de asfalto</t>
  </si>
  <si>
    <t>°C</t>
  </si>
  <si>
    <t>Vacíos con aire (Va)</t>
  </si>
  <si>
    <t>Norma de ensayo</t>
  </si>
  <si>
    <t>INV E 748-13</t>
  </si>
  <si>
    <t>INV E 732-13</t>
  </si>
  <si>
    <t>Gse</t>
  </si>
  <si>
    <t>Gsb</t>
  </si>
  <si>
    <t xml:space="preserve">Gb </t>
  </si>
  <si>
    <t>Efectiva del agregado</t>
  </si>
  <si>
    <t>Bulk del agregado combinado</t>
  </si>
  <si>
    <t>Asfalto</t>
  </si>
  <si>
    <t>Temperatura del agua</t>
  </si>
  <si>
    <t>Pasa N° 200</t>
  </si>
  <si>
    <t>Total pasa N° 200</t>
  </si>
  <si>
    <t>CRITERIOS</t>
  </si>
  <si>
    <t>RESULTADO</t>
  </si>
  <si>
    <t>Compactación</t>
  </si>
  <si>
    <t>F: Vol. llenante Mezcla</t>
  </si>
  <si>
    <t>A: Vol. Asfalto efectivo en la mezcla</t>
  </si>
  <si>
    <t>Característica</t>
  </si>
  <si>
    <t>N° de ensayo:</t>
  </si>
  <si>
    <t>Recipiente :</t>
  </si>
  <si>
    <t>INV E 735-13</t>
  </si>
  <si>
    <t>W2  masa del agua (g):</t>
  </si>
  <si>
    <t>W3  masa del agregado mineral extraído (g):</t>
  </si>
  <si>
    <t>W4 masa del material mineral en el extracto (g):</t>
  </si>
  <si>
    <t>Diferencia de masa %</t>
  </si>
  <si>
    <t>Control de la calidad de la mezcla</t>
  </si>
  <si>
    <t>INV E 782-13</t>
  </si>
  <si>
    <t>Ver grafica</t>
  </si>
  <si>
    <t>INV E 745-13</t>
  </si>
  <si>
    <t>Relación Llenante / ligante efectivo (P0.075/Pbe)</t>
  </si>
  <si>
    <t>INV E 799-13</t>
  </si>
  <si>
    <t>INV E 736-13</t>
  </si>
  <si>
    <t>INV E 741-13</t>
  </si>
  <si>
    <t>Nº  muestra</t>
  </si>
  <si>
    <t xml:space="preserve">. </t>
  </si>
  <si>
    <t>A: masa en el aire de la muestra seca:</t>
  </si>
  <si>
    <t>Agregado grueso</t>
  </si>
  <si>
    <t>Agregado fino</t>
  </si>
  <si>
    <t>llenante mineral</t>
  </si>
  <si>
    <t>Control de la composición de la mezcla</t>
  </si>
  <si>
    <t>Granulometría</t>
  </si>
  <si>
    <t>Índice de película de asfalto</t>
  </si>
  <si>
    <t>Gravedad especifica máxima teórica a 25°C</t>
  </si>
  <si>
    <t>Tamaño máximo nominal:</t>
  </si>
  <si>
    <t>ART%0,5≥ARI%
ARI%≤ART%+0,5</t>
  </si>
  <si>
    <t>G1</t>
  </si>
  <si>
    <t>G2</t>
  </si>
  <si>
    <t>G3</t>
  </si>
  <si>
    <t>MD-10</t>
  </si>
  <si>
    <t>Reportar</t>
  </si>
  <si>
    <t>MD-20</t>
  </si>
  <si>
    <t>Aprobó</t>
  </si>
  <si>
    <t>D: masa de la tapa + picnómetro lleno de agua a 25°:</t>
  </si>
  <si>
    <t xml:space="preserve">Gravedad específica Bulk a 25° C </t>
  </si>
  <si>
    <t>Absorción de agua</t>
  </si>
  <si>
    <t>Gmm:Gravedad especifica máxima  teórica:</t>
  </si>
  <si>
    <t>Bromuro de n-propilo</t>
  </si>
  <si>
    <t>Tricloroetileno</t>
  </si>
  <si>
    <t xml:space="preserve">Cloruro de  Metileno </t>
  </si>
  <si>
    <t>--</t>
  </si>
  <si>
    <t>Gravedad especifica máxima de mezclas asfálticas para pavimentos INV 735-13</t>
  </si>
  <si>
    <t>FIN DEL INFORME DE ENSAYO</t>
  </si>
  <si>
    <t xml:space="preserve">Numero del espécimen </t>
  </si>
  <si>
    <t>A: Masa del espécimen seco en el aire</t>
  </si>
  <si>
    <t>C: Masa del espécimen sumergido en agua</t>
  </si>
  <si>
    <t xml:space="preserve">Reportar </t>
  </si>
  <si>
    <t>Verificación del porcentaje individual:</t>
  </si>
  <si>
    <t xml:space="preserve">Grupo </t>
  </si>
  <si>
    <t xml:space="preserve">Humedo </t>
  </si>
  <si>
    <t xml:space="preserve">Seco </t>
  </si>
  <si>
    <t>Especimen  N°.</t>
  </si>
  <si>
    <t xml:space="preserve">D: Diámetro, mm </t>
  </si>
  <si>
    <t xml:space="preserve">A: Masa seca al  aire                    </t>
  </si>
  <si>
    <t xml:space="preserve">B: Masa    SSS                             </t>
  </si>
  <si>
    <t xml:space="preserve">E: Volumen del espécimen </t>
  </si>
  <si>
    <t>F: Gravedad específica bulk</t>
  </si>
  <si>
    <t>H: Porcentaje de vacíos</t>
  </si>
  <si>
    <t xml:space="preserve">I: Volumen de vacíos </t>
  </si>
  <si>
    <t>P:Carga</t>
  </si>
  <si>
    <t>kN</t>
  </si>
  <si>
    <t xml:space="preserve">P':Carga </t>
  </si>
  <si>
    <t>N</t>
  </si>
  <si>
    <t>Acondicionamiento :</t>
  </si>
  <si>
    <t xml:space="preserve">Saturación mediante vacío </t>
  </si>
  <si>
    <t>24 horas en agua a 60ºC</t>
  </si>
  <si>
    <t xml:space="preserve">B":Masa    SSS                             </t>
  </si>
  <si>
    <t xml:space="preserve">E":Volumen del espécimen </t>
  </si>
  <si>
    <t xml:space="preserve">J":Volumen absoluto del agua </t>
  </si>
  <si>
    <t xml:space="preserve">Expansión </t>
  </si>
  <si>
    <t>kPa</t>
  </si>
  <si>
    <t>Promedio  porcentaje de saturación</t>
  </si>
  <si>
    <t xml:space="preserve">Promedio  de expansión </t>
  </si>
  <si>
    <t xml:space="preserve">RRT: Relación de resistencia a la tensión </t>
  </si>
  <si>
    <t xml:space="preserve">Criterio de aceptación     </t>
  </si>
  <si>
    <t>Rth≥80%Rts</t>
  </si>
  <si>
    <t>Daño por humedad (visual)</t>
  </si>
  <si>
    <t>FIN DEL INFORME DE  ENSAYO</t>
  </si>
  <si>
    <t>E: masa del  picnómetro con la  tapa,  el  agua y  la muestra a 25°:</t>
  </si>
  <si>
    <t>Planta:</t>
  </si>
  <si>
    <t>Grado de saturación</t>
  </si>
  <si>
    <t>CÓDIGO:  GLAB-FM-029</t>
  </si>
  <si>
    <t>CÓDIGO: GLAB-FM-030</t>
  </si>
  <si>
    <t xml:space="preserve">Criterio </t>
  </si>
  <si>
    <t>1 1/2"</t>
  </si>
  <si>
    <t>Sede de Producción La Esmeralda</t>
  </si>
  <si>
    <t>Sede de Producción La Esmeralda (obra)</t>
  </si>
  <si>
    <t>Gerencia de Producción</t>
  </si>
  <si>
    <t>Gerencia de Intervención</t>
  </si>
  <si>
    <t>Masas del filtro (g):</t>
  </si>
  <si>
    <t>Antes</t>
  </si>
  <si>
    <t>Después</t>
  </si>
  <si>
    <t>Masa total (g)</t>
  </si>
  <si>
    <t>% Que pasa</t>
  </si>
  <si>
    <t>B-C: Masa del volumen de agua correspondiente al volumen del espécimen</t>
  </si>
  <si>
    <t>Llenante mineral</t>
  </si>
  <si>
    <t>Procedimiento :</t>
  </si>
  <si>
    <t>% Pasa mín</t>
  </si>
  <si>
    <t>% Pasa máx</t>
  </si>
  <si>
    <t>Masa retenida
 (g)</t>
  </si>
  <si>
    <t>Fórmula de trabajo</t>
  </si>
  <si>
    <t>Máx.</t>
  </si>
  <si>
    <t>Promedio gravedad específica bulk</t>
  </si>
  <si>
    <t>Promedio porcentaje de vacíos</t>
  </si>
  <si>
    <t xml:space="preserve">Promedio volumen de vacíos </t>
  </si>
  <si>
    <t>Laboratorio de suelos asfaltos y pavimentos de la UAERMV 
Sede de Producción Parque Minero Industrial El Mochuelo Kilometro 3 vía Pasquilla localidad Ciudad Bolívar, Bogotá D.C. - Colombia
Tel: 3779555 Ext. 1145   E- mail: p.laboratorio@umv.gov.co</t>
  </si>
  <si>
    <t>Espesor del espécimen (Método A, con calibrador)</t>
  </si>
  <si>
    <t>B: Masa en el aire del espécimen saturado y superficialmente seco SSS</t>
  </si>
  <si>
    <t>Densidad de la mezcla a 25° C</t>
  </si>
  <si>
    <t>REDONDEOS ESTABILIDAD Y FLUJO - NO TOCAR - OJO</t>
  </si>
  <si>
    <t>Redondeo para temperatura mezcla</t>
  </si>
  <si>
    <t>Redondeo para temperatura ensayo</t>
  </si>
  <si>
    <t>Valor redon:</t>
  </si>
  <si>
    <t>Nº1</t>
  </si>
  <si>
    <t>Nº2</t>
  </si>
  <si>
    <t>Nº3</t>
  </si>
  <si>
    <t>Nº4</t>
  </si>
  <si>
    <t>Redondeo para altura probetas</t>
  </si>
  <si>
    <t>Redondeo para Estabili. Marshall Indiv. Y promedio correg.</t>
  </si>
  <si>
    <t>Nº5</t>
  </si>
  <si>
    <r>
      <t>W</t>
    </r>
    <r>
      <rPr>
        <sz val="8"/>
        <rFont val="Calibri"/>
        <family val="2"/>
      </rPr>
      <t>1: masa de la porción de ensayo (g)</t>
    </r>
    <r>
      <rPr>
        <sz val="8"/>
        <rFont val="Calibri"/>
        <family val="2"/>
        <scheme val="minor"/>
      </rPr>
      <t>:</t>
    </r>
  </si>
  <si>
    <t>CÓDIGO: GLAB-FM-097</t>
  </si>
  <si>
    <t>CÓDIGO: GLAB-FM-098</t>
  </si>
  <si>
    <t>Laboratorio de suelos, asfaltos y pavimentos de la UAERMV 
Sede de Producción Parque Minero Industrial El Mochuelo Kilometro 3 vía Pasquilla localidad Ciudad Bolívar, Bogotá D.C. - Colombia
Tel: 3779555 Ext. 1145   E- mail: p.laboratorio@umv.gov.co</t>
  </si>
  <si>
    <t>CÓDIGO: GLAB-FM-099</t>
  </si>
  <si>
    <t>Temperatura de mezcla</t>
  </si>
  <si>
    <t>Temperatura de compactación</t>
  </si>
  <si>
    <t>Altura probeta</t>
  </si>
  <si>
    <t>Estabilidad medida</t>
  </si>
  <si>
    <t xml:space="preserve"> kN</t>
  </si>
  <si>
    <t>Factor de corrección (Tabla 748-1)</t>
  </si>
  <si>
    <t>-</t>
  </si>
  <si>
    <t>Estabilidad individual corregida, Ei</t>
  </si>
  <si>
    <t>Estabilidad individual corregida, Ei - Sin redondeo</t>
  </si>
  <si>
    <t xml:space="preserve"> kgf</t>
  </si>
  <si>
    <t>lbf</t>
  </si>
  <si>
    <t>Verificación individual de la estabilidad</t>
  </si>
  <si>
    <t>0,8≥Em</t>
  </si>
  <si>
    <t xml:space="preserve"> mm</t>
  </si>
  <si>
    <t>Relación estabilidad/ Flujo</t>
  </si>
  <si>
    <t xml:space="preserve"> %</t>
  </si>
  <si>
    <t>Especificaciones</t>
  </si>
  <si>
    <t>Jornada</t>
  </si>
  <si>
    <t xml:space="preserve">Verificacion porcentaje de asfalto </t>
  </si>
  <si>
    <t xml:space="preserve">Suma </t>
  </si>
  <si>
    <t>Verificación individual
(0,5% del promedio)</t>
  </si>
  <si>
    <t>Sumatoria</t>
  </si>
  <si>
    <t xml:space="preserve">Perdida de masa por granulometria </t>
  </si>
  <si>
    <t xml:space="preserve">Gravedad especifica de las formulas de trabajo </t>
  </si>
  <si>
    <t>Mezcla</t>
  </si>
  <si>
    <t>Espesores individuales</t>
  </si>
  <si>
    <t>a:</t>
  </si>
  <si>
    <t>b:</t>
  </si>
  <si>
    <t>c:</t>
  </si>
  <si>
    <t>d:</t>
  </si>
  <si>
    <t>e:</t>
  </si>
  <si>
    <t>f:</t>
  </si>
  <si>
    <t>g:</t>
  </si>
  <si>
    <t xml:space="preserve">constante norma de ensayo </t>
  </si>
  <si>
    <t>% Pasas</t>
  </si>
  <si>
    <t xml:space="preserve">SE individual </t>
  </si>
  <si>
    <t xml:space="preserve">Pb=Contenido total de asfalto </t>
  </si>
  <si>
    <t xml:space="preserve">Db: Densidad del ligante </t>
  </si>
  <si>
    <t xml:space="preserve">Pb volumen: </t>
  </si>
  <si>
    <t>Pba masa</t>
  </si>
  <si>
    <t xml:space="preserve">Pba </t>
  </si>
  <si>
    <t>Pbe</t>
  </si>
  <si>
    <t>Pg</t>
  </si>
  <si>
    <t>Pba volumen</t>
  </si>
  <si>
    <t>Pbe volumen</t>
  </si>
  <si>
    <t>Diámetros individuales</t>
  </si>
  <si>
    <t xml:space="preserve">Tamaño maximo  nominal </t>
  </si>
  <si>
    <t xml:space="preserve">Tamaño minimo de la muestra </t>
  </si>
  <si>
    <t xml:space="preserve">Verificación del tamaño </t>
  </si>
  <si>
    <t>Factor de corrección espesores</t>
  </si>
  <si>
    <t xml:space="preserve">Temperatura ensayo </t>
  </si>
  <si>
    <t>Temperaturas</t>
  </si>
  <si>
    <t>Ps</t>
  </si>
  <si>
    <t xml:space="preserve">cv: Concentración real </t>
  </si>
  <si>
    <t xml:space="preserve">Concentración de llenante </t>
  </si>
  <si>
    <r>
      <t>SE: Superficie especifica del agregado combinado (m</t>
    </r>
    <r>
      <rPr>
        <b/>
        <sz val="9"/>
        <color theme="1"/>
        <rFont val="Calibri"/>
        <family val="2"/>
      </rPr>
      <t>²</t>
    </r>
    <r>
      <rPr>
        <b/>
        <sz val="9"/>
        <color theme="1"/>
        <rFont val="Arial"/>
        <family val="2"/>
      </rPr>
      <t>/Kg)</t>
    </r>
  </si>
  <si>
    <t>CÓDIGO: GLAB-FM-170</t>
  </si>
  <si>
    <t>VERSIÓN: 3</t>
  </si>
  <si>
    <t>Especificación técnica</t>
  </si>
  <si>
    <t>INFORME DE ENSAYO 
CONTROL DE LA COMPOSICIÓN Y DE LA CALIDAD DE LA MEZCLA ASFÁLTICA DENSA EN CALIENTE</t>
  </si>
  <si>
    <t>N° 8</t>
  </si>
  <si>
    <t>Tamices</t>
  </si>
  <si>
    <t>MD 10 -MD 12</t>
  </si>
  <si>
    <t xml:space="preserve">Grafica </t>
  </si>
  <si>
    <t>Tabla Especificacion granulometria</t>
  </si>
  <si>
    <t>Grafica tamiz No 8</t>
  </si>
  <si>
    <t>Tamiz</t>
  </si>
  <si>
    <t>%pasa</t>
  </si>
  <si>
    <t>% Retenido acomulado</t>
  </si>
  <si>
    <t>MIN</t>
  </si>
  <si>
    <t>MAX</t>
  </si>
  <si>
    <t>VERIFICACIÓN DEL ALCANCE DE ACREDITACIÓN INV E-733-13</t>
  </si>
  <si>
    <t>VERIFICACIÓN DEL ALCANCE DE ACREDITACIÓN INV E-735-13</t>
  </si>
  <si>
    <t>Contenido de asfalto caucho</t>
  </si>
  <si>
    <t xml:space="preserve">El contenido de asfalto caucho se calcula tomando el </t>
  </si>
  <si>
    <t>% de caucho</t>
  </si>
  <si>
    <t xml:space="preserve">según el certificado de calidad del contratista con consecutivo </t>
  </si>
  <si>
    <t>Fecha de aplicación 2021/02/03</t>
  </si>
  <si>
    <t>Formula de trabajo del 2020/11/06</t>
  </si>
  <si>
    <t>---</t>
  </si>
  <si>
    <t>Auxiliar Técnico</t>
  </si>
  <si>
    <t xml:space="preserve">Procedencia </t>
  </si>
  <si>
    <t>MGCR Tipo I</t>
  </si>
  <si>
    <t>Anexo A,
 Art 467-13</t>
  </si>
  <si>
    <t>Diametro</t>
  </si>
  <si>
    <t>T: Espesor mm.</t>
  </si>
  <si>
    <t>Espesor</t>
  </si>
  <si>
    <t>cm³</t>
  </si>
  <si>
    <t>Gravedad específica máxima (Rice)</t>
  </si>
  <si>
    <t>t":Espesor</t>
  </si>
  <si>
    <t>Rt: Resistencia</t>
  </si>
  <si>
    <t>Rts: Promedio  resistencia</t>
  </si>
  <si>
    <t>SI</t>
  </si>
  <si>
    <t>NO</t>
  </si>
  <si>
    <t xml:space="preserve"> </t>
  </si>
  <si>
    <t xml:space="preserve">A: Masa seca al  aire     </t>
  </si>
  <si>
    <t xml:space="preserve">I: Volumen de vacíos  </t>
  </si>
  <si>
    <t xml:space="preserve">B: Masa    SSS </t>
  </si>
  <si>
    <t>INFORME DE ENSAYO 
EVALUACIÓN DE LA SUSCEPTIBILIDAD AL AGUA DE LAS MEZCLAS DE CONCRETO ASFALTICO UTILIZANDO LA PRUEBA DE TRACCIÓN INDIRECTA (TSR) INV E 725-13</t>
  </si>
  <si>
    <t>Paginas</t>
  </si>
  <si>
    <t>Pagina</t>
  </si>
  <si>
    <t>de</t>
  </si>
  <si>
    <t>Pagina xx de xx</t>
  </si>
  <si>
    <t>INFORME DE ENSAYO
ESTABILIDAD Y FLUJO DE LA MEZCLA ASFÁLTICA DENSA EN CALIENTE 
INV E 748-13</t>
  </si>
  <si>
    <t>1,25≥EFT</t>
  </si>
  <si>
    <r>
      <t>Vacíos con aire (V</t>
    </r>
    <r>
      <rPr>
        <vertAlign val="subscript"/>
        <sz val="9"/>
        <rFont val="Arial"/>
        <family val="2"/>
      </rPr>
      <t>a</t>
    </r>
    <r>
      <rPr>
        <sz val="9"/>
        <rFont val="Arial"/>
        <family val="2"/>
      </rPr>
      <t>)</t>
    </r>
  </si>
  <si>
    <t xml:space="preserve">Fecha de ejecución: </t>
  </si>
  <si>
    <t>MGCR Tipo 1</t>
  </si>
  <si>
    <t>Fresado</t>
  </si>
  <si>
    <t>Base estabilizada</t>
  </si>
  <si>
    <t>INFORME DE ENSAYO
GRAVEDAD ESPECÍFICA BULK INV E 733-13 Y MÁXIMA  DE MEZCLA ASFÁLTICA INV 735-13</t>
  </si>
  <si>
    <t xml:space="preserve">Diámetro del espécimen </t>
  </si>
  <si>
    <t xml:space="preserve"> kg/m³</t>
  </si>
  <si>
    <t>Pesado en el aire</t>
  </si>
  <si>
    <t>Picnómetro de vacío (figura 735-1)</t>
  </si>
  <si>
    <t>CÓDIGO: GLAB-FM-176</t>
  </si>
  <si>
    <r>
      <t>m</t>
    </r>
    <r>
      <rPr>
        <sz val="10"/>
        <color theme="0"/>
        <rFont val="Calibri"/>
        <family val="2"/>
      </rPr>
      <t>³</t>
    </r>
  </si>
  <si>
    <t>Servicios</t>
  </si>
  <si>
    <t>Mezcla asfaltica</t>
  </si>
  <si>
    <t>Subdirección Técnica de Mejoramiento de la Malla Vial</t>
  </si>
  <si>
    <t>Nombre y apellido</t>
  </si>
  <si>
    <t>Rol</t>
  </si>
  <si>
    <t>Firma</t>
  </si>
  <si>
    <t>Densidades</t>
  </si>
  <si>
    <t>Apiques</t>
  </si>
  <si>
    <t>Base granular tipo A</t>
  </si>
  <si>
    <t>Ver perfil estratigráfico del suelo INV E-101 y 102-13</t>
  </si>
  <si>
    <t>Cemento asfaltico CA-14</t>
  </si>
  <si>
    <t>Emulsión asfaltica CRL-1 (60-100)</t>
  </si>
  <si>
    <t>Grava 1"</t>
  </si>
  <si>
    <t>Base granular Tipo A</t>
  </si>
  <si>
    <t>MR-43</t>
  </si>
  <si>
    <t>Localidad:</t>
  </si>
  <si>
    <t>Barrio:</t>
  </si>
  <si>
    <t>Identificación:</t>
  </si>
  <si>
    <t>Núcleos</t>
  </si>
  <si>
    <t>Base granular tipo B</t>
  </si>
  <si>
    <t>Cemento asfaltico modificado con GCR</t>
  </si>
  <si>
    <t>Emulsión asfaltica CRL-1 (100-250)</t>
  </si>
  <si>
    <r>
      <t xml:space="preserve">Grava </t>
    </r>
    <r>
      <rPr>
        <sz val="10"/>
        <color theme="1"/>
        <rFont val="Calibri"/>
        <family val="2"/>
      </rPr>
      <t>¾</t>
    </r>
    <r>
      <rPr>
        <sz val="10"/>
        <color theme="1"/>
        <rFont val="Arial"/>
        <family val="2"/>
      </rPr>
      <t>"</t>
    </r>
  </si>
  <si>
    <t>Base granular Tipo B</t>
  </si>
  <si>
    <t>3000 psi</t>
  </si>
  <si>
    <t>Dirección:</t>
  </si>
  <si>
    <t>Lote:</t>
  </si>
  <si>
    <t>Vehículo:</t>
  </si>
  <si>
    <t>CIV:</t>
  </si>
  <si>
    <t>Subdirección Técnica de Producción e intervención</t>
  </si>
  <si>
    <t>Diseños</t>
  </si>
  <si>
    <t>Base granular tipo C</t>
  </si>
  <si>
    <t>MGCR-Tipo 1</t>
  </si>
  <si>
    <t>Asfalto modificado para sello de fisuras</t>
  </si>
  <si>
    <t>Emulsión asfaltica CRR-1</t>
  </si>
  <si>
    <r>
      <t xml:space="preserve">Grava </t>
    </r>
    <r>
      <rPr>
        <sz val="10"/>
        <color theme="1"/>
        <rFont val="Calibri"/>
        <family val="2"/>
      </rPr>
      <t>½</t>
    </r>
    <r>
      <rPr>
        <sz val="10"/>
        <color theme="1"/>
        <rFont val="Arial"/>
        <family val="2"/>
      </rPr>
      <t>"</t>
    </r>
  </si>
  <si>
    <t>Base granular Tipo C</t>
  </si>
  <si>
    <t>2500 psi</t>
  </si>
  <si>
    <t>Placa:</t>
  </si>
  <si>
    <t>Remisión / Despacho:</t>
  </si>
  <si>
    <t>Material ensayado:</t>
  </si>
  <si>
    <t>Saturnino Rincón Beltrán</t>
  </si>
  <si>
    <t>Técnico Operativo</t>
  </si>
  <si>
    <t>Cemento asfaltico</t>
  </si>
  <si>
    <t>Sub-base granular  tipo A</t>
  </si>
  <si>
    <t>Capa 1 MD-12 y Capa 2 MGCR-Tipo 1</t>
  </si>
  <si>
    <t>Arena triturada de rio</t>
  </si>
  <si>
    <t xml:space="preserve">Sub-base granular Tipo A </t>
  </si>
  <si>
    <t>Pavimento asfaltico reciclado MBR</t>
  </si>
  <si>
    <t>Frecuencia:</t>
  </si>
  <si>
    <t>Muestra tomada en:</t>
  </si>
  <si>
    <t>Descripción:</t>
  </si>
  <si>
    <t>Emulsión asfaltica</t>
  </si>
  <si>
    <t>Sub-base granular  tipo B</t>
  </si>
  <si>
    <t>Capa 1 MGCR Tipo 1 y capa 2 MD-12</t>
  </si>
  <si>
    <t>Arena triturada de cantera</t>
  </si>
  <si>
    <t>Sub-base granular Tipo B</t>
  </si>
  <si>
    <t>CIVs:</t>
  </si>
  <si>
    <t>PK:</t>
  </si>
  <si>
    <t>Materiales pétreos</t>
  </si>
  <si>
    <t>Sub-base granular  tipo C</t>
  </si>
  <si>
    <t>Arena natural</t>
  </si>
  <si>
    <t>Sub-base granular Tipo C</t>
  </si>
  <si>
    <t>Fresado estabilizado con emulsión y cemento</t>
  </si>
  <si>
    <t>Fecha de instalación:</t>
  </si>
  <si>
    <t>Fuente:</t>
  </si>
  <si>
    <t>Materiales granulares</t>
  </si>
  <si>
    <t>Remanente</t>
  </si>
  <si>
    <t>Arena de peña</t>
  </si>
  <si>
    <t>Piedra rajón</t>
  </si>
  <si>
    <t>Apique:</t>
  </si>
  <si>
    <t>Volumen del lote:</t>
  </si>
  <si>
    <t>Agregados combinados MD-10</t>
  </si>
  <si>
    <t>Recebo común</t>
  </si>
  <si>
    <t>Concreto hidráulico</t>
  </si>
  <si>
    <t>Base estabilizada con emulsión y cemento</t>
  </si>
  <si>
    <t>Agregados combinados MD-12</t>
  </si>
  <si>
    <t>Material filtrante de 3"</t>
  </si>
  <si>
    <t>Otros</t>
  </si>
  <si>
    <t xml:space="preserve">70%SBG-A + 30% Fresado </t>
  </si>
  <si>
    <t>Agregados combinados MGCR Tipo 1</t>
  </si>
  <si>
    <t>Material filtrante de 1"</t>
  </si>
  <si>
    <t>Cindy Nathaly Sastoque G</t>
  </si>
  <si>
    <t>Coordinador Técnico</t>
  </si>
  <si>
    <t>Wilintong Contreras Camacho</t>
  </si>
  <si>
    <t>Líder Operativo</t>
  </si>
  <si>
    <t>Fecha de emisión:</t>
  </si>
  <si>
    <t>Descargos:</t>
  </si>
  <si>
    <t>Laboratorio de suelos, asfaltos y pavimentos de la UAERMV
Sede de Producción Parque Minero Industrial El Mochuelo Kilometro 3 vía Pasquilla localidad Ciudad Bolívar, Bogotá D.C. - Colombia
Tel: 3779555 Ext 1145   E- mail: p.laboratorio@umv.gov.co</t>
  </si>
  <si>
    <t>Mín</t>
  </si>
  <si>
    <t>Máx</t>
  </si>
  <si>
    <t>ARF%-0,3≥ARI%
ARI%≤ARF%+0,3</t>
  </si>
  <si>
    <r>
      <t>0,9≥E</t>
    </r>
    <r>
      <rPr>
        <sz val="6"/>
        <color theme="1" tint="0.499984740745262"/>
        <rFont val="Arial"/>
        <family val="2"/>
      </rPr>
      <t>FT</t>
    </r>
  </si>
  <si>
    <t>0,8≥FT≤1,20</t>
  </si>
  <si>
    <t>FT-0,3≥FT≤FT+0,3</t>
  </si>
  <si>
    <t>µm</t>
  </si>
  <si>
    <t>Frecuencia</t>
  </si>
  <si>
    <t>Diaria</t>
  </si>
  <si>
    <t>Uno</t>
  </si>
  <si>
    <t>Diurna</t>
  </si>
  <si>
    <t>Material</t>
  </si>
  <si>
    <t>RICE</t>
  </si>
  <si>
    <t xml:space="preserve">Quinicenal </t>
  </si>
  <si>
    <t>Planta</t>
  </si>
  <si>
    <t>Dos</t>
  </si>
  <si>
    <t>Uno y Dos</t>
  </si>
  <si>
    <t>Nocturna</t>
  </si>
  <si>
    <t>Planta del contratista Obra</t>
  </si>
  <si>
    <t>MD-12 Contratista Cto 455 2021</t>
  </si>
  <si>
    <t>MD-10 Contratista Cto 455 2021</t>
  </si>
  <si>
    <t>Verificación de 1g</t>
  </si>
  <si>
    <t xml:space="preserve">INV E 733-13, Verificación cumplimiento de la absorción, alcance y precision </t>
  </si>
  <si>
    <t>INV E 735-13, Verificación cumplimiento alcance y el tamaño de la muestra</t>
  </si>
  <si>
    <t>golpes
/cara</t>
  </si>
  <si>
    <t>ESPECIFICACIÓN TÉCNICA IDU  SECCION 510-11
 Categoría de trafico T4-T5</t>
  </si>
  <si>
    <t>ESPECIFICACIÓN TÉCNICA ARTICULO 467-13 PARTICULAR
Categoría de transito NT2-NT3</t>
  </si>
  <si>
    <t>Rangos Tolerancia min - max</t>
  </si>
  <si>
    <t>Sede de Producción La Esmeralda, Convenio Kennedy (obra)</t>
  </si>
  <si>
    <t xml:space="preserve">Tamaño mínimo de la muestra </t>
  </si>
  <si>
    <t xml:space="preserve">Tamaño máximo  nominal </t>
  </si>
  <si>
    <t>CÓDIGO: GLAB-FM-174</t>
  </si>
  <si>
    <t>INFORME DE ENSAYO
GRAVEDAD ESPECÍFICA BULK Y MÁXIMA  DE MEZCLA ASFÁLTICA</t>
  </si>
  <si>
    <t>Verificación de la precisión de la gravedad especifica Bulk</t>
  </si>
  <si>
    <t>Verificación de la absorción</t>
  </si>
  <si>
    <t>Planta del contratista</t>
  </si>
  <si>
    <t>Convenio Kennedy</t>
  </si>
  <si>
    <t>Convenio IDU</t>
  </si>
  <si>
    <t>si</t>
  </si>
  <si>
    <t>no</t>
  </si>
  <si>
    <t>Fórmula</t>
  </si>
  <si>
    <t>F1</t>
  </si>
  <si>
    <t>F2</t>
  </si>
  <si>
    <t xml:space="preserve">C: Masa sumergida en agua              </t>
  </si>
  <si>
    <t xml:space="preserve">C":Masa sumergida en agua              </t>
  </si>
  <si>
    <t>Sede de Producción La Esmeralda, Convenio IDU (obra)</t>
  </si>
  <si>
    <t>Karen Flórez Barón</t>
  </si>
  <si>
    <t>Auxiliar de Acreditación</t>
  </si>
  <si>
    <t>Estabilidad y flujo de mezclas asfálticas en caliente empleando el equipo Marshall INV E-748-13</t>
  </si>
  <si>
    <t>Gravedad específica (Gse, Gsb, G3, Gb), INV E 799-13</t>
  </si>
  <si>
    <t>Juan Camilo Váquiro</t>
  </si>
  <si>
    <t>Formula de trabajo 1 de MD-12</t>
  </si>
  <si>
    <t>Formula de trabajo 2 de MD-12</t>
  </si>
  <si>
    <t>Formula de trabajo de MGCR-Tipo I</t>
  </si>
  <si>
    <t xml:space="preserve">40% ATR; 43% grava de 1/2 Cocuy; 17% grava de 3/4 Cocuy </t>
  </si>
  <si>
    <t>VERSIÓN: 4</t>
  </si>
  <si>
    <t>FECHA DE APLICACIÓN: OCTUBRE 2022</t>
  </si>
  <si>
    <t>VERSIÓN: 14</t>
  </si>
  <si>
    <t>INFORME DE ENSAYO
ANÁLISIS GRANULOMÉTRICO DE LOS AGREGADOS EXTRAÍDOS DE MEZCLAS ASFÁLTICAS INV E-782-13</t>
  </si>
  <si>
    <t>Gravedad específica Bulk y densidad de mezclas asfálticas compactadas no absorbentes empleando especímenes saturados  y superficialmente secos INV E 733-13</t>
  </si>
  <si>
    <t>Gravedad específica bulk y densidad de mezclas asfálticas compactadas no absorbentes empleando especímenes saturados  y superficialmente secos INV E 733-13</t>
  </si>
  <si>
    <t>VERSIÓN: 6</t>
  </si>
  <si>
    <t xml:space="preserve">Numero de espécimen </t>
  </si>
  <si>
    <t xml:space="preserve">espesores de espécimen </t>
  </si>
  <si>
    <t xml:space="preserve">INV 745-13 Concentración critica del llenante </t>
  </si>
  <si>
    <t>Flujo (Método A)</t>
  </si>
  <si>
    <t>Vacíos en el agregado mineral (VAM)</t>
  </si>
  <si>
    <r>
      <t>Ha (</t>
    </r>
    <r>
      <rPr>
        <b/>
        <sz val="10"/>
        <color theme="1"/>
        <rFont val="Calibri"/>
        <family val="2"/>
      </rPr>
      <t>µ</t>
    </r>
    <r>
      <rPr>
        <b/>
        <sz val="9.5"/>
        <color theme="1"/>
        <rFont val="Arial"/>
        <family val="2"/>
      </rPr>
      <t xml:space="preserve">m) espesor medio de película de asfalto </t>
    </r>
  </si>
  <si>
    <t>Redondeo para temperatura compactación</t>
  </si>
  <si>
    <t>VERSIÓN: 9</t>
  </si>
  <si>
    <t>Espécimen  N°.</t>
  </si>
  <si>
    <t>Complemento</t>
  </si>
  <si>
    <t>Formula de trabajo del dic 2021 DM-4,02-21-11-02</t>
  </si>
  <si>
    <t>Formula de trabajo F2 DEL OCT/2021 OE-11,09-21-10-51</t>
  </si>
  <si>
    <t>Fecha de aplicación 2021/02/03 DM-4,03-20-09-08</t>
  </si>
  <si>
    <t>Formula de trabajo del 2020/11/30 DM-4,04-20-09-07</t>
  </si>
  <si>
    <t>% vacíos</t>
  </si>
  <si>
    <t>Misionalidad</t>
  </si>
  <si>
    <t>Fondiger</t>
  </si>
  <si>
    <t xml:space="preserve">60% ATR de paguey; 25% grava de 1/2 Cocuy; 15% grava de 3/4 Cocuy </t>
  </si>
  <si>
    <t xml:space="preserve">De acuerdo a la validación del informe OE-23-03-43-V1 solicitada por el cliente </t>
  </si>
  <si>
    <t>Convenios</t>
  </si>
  <si>
    <t>INFORME DE ENSAYO
EXTRACCIÓN CUANTITATIVA DEL ASFALTO EN MEZCLAS PARA PAVIMENTOS 
INV E 732-13 / MÉTODO A (CENTRIFUGACIÓN)</t>
  </si>
  <si>
    <t>VERSIÓN: 5</t>
  </si>
  <si>
    <t>FECHA DE APLICACIÓN: MAYO 2023</t>
  </si>
  <si>
    <t>Subdirección de intervención de la infraestructura</t>
  </si>
  <si>
    <t>60% ATR Guayuriba; 25% grava de 1/2 Cocuy; 15% grava de 3/4 Cocuy</t>
  </si>
  <si>
    <t>FECHA DE APLICACIÓN: SEPTIEMBRE 2023</t>
  </si>
  <si>
    <t>Ensayos realizados:</t>
  </si>
  <si>
    <t>1. Los resultados emitidos corresponden únicamente a la muestra recibida y ensayada.</t>
  </si>
  <si>
    <t>2. El laboratorio de suelos, asfaltos y pavimentos de la UAERMV no se hace responsable por la validez de la información suministrada por el cliente, la cual corresponde a la identificación y fuente de la muestra sometida a ensayo. Esta información se encuentra en cursiva y subrayada.
3. Este informe no puede ser reproducido en su totalidad, ni parcialmente, sin la autorización escrita del laboratorio de suelos, asfaltos y pavimentos de la UAERMV. Los informes de ensayo sin firma no son validos.</t>
  </si>
  <si>
    <t>Mercy Alejandra Rivera Fonseca</t>
  </si>
  <si>
    <t>Líder de Acreditación</t>
  </si>
  <si>
    <t>Ensayos Realizados</t>
  </si>
  <si>
    <t>El valor de RICE con el que se realizaron los calculos de los vacíos corresponde al resultado de la muestra MA-</t>
  </si>
  <si>
    <t>Especificación</t>
  </si>
  <si>
    <t>FECHA DE APLICACIÓN: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</si>
</sst>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&quot;$&quot;\ #,##0.00_);\(&quot;$&quot;\ #,##0.00\)"/>
    <numFmt numFmtId="167" formatCode="#,##0.00\ &quot;€&quot;;[Red]\-#,##0.00\ &quot;€&quot;"/>
    <numFmt numFmtId="168" formatCode="_-* #,##0.00\ &quot;€&quot;_-;\-* #,##0.00\ &quot;€&quot;_-;_-* &quot;-&quot;??\ &quot;€&quot;_-;_-@_-"/>
    <numFmt numFmtId="169" formatCode="_-* #,##0.00\ _€_-;\-* #,##0.00\ _€_-;_-* &quot;-&quot;??\ _€_-;_-@_-"/>
    <numFmt numFmtId="170" formatCode="0.0"/>
    <numFmt numFmtId="171" formatCode="0.0%"/>
    <numFmt numFmtId="172" formatCode="#,##0\ &quot;$&quot;;\-#,##0\ &quot;$&quot;"/>
    <numFmt numFmtId="173" formatCode="0.000"/>
    <numFmt numFmtId="174" formatCode="0.0000"/>
    <numFmt numFmtId="175" formatCode="_(* #,##0.00000_);_(* \(#,##0.00000\);_(* &quot;-&quot;??_);_(@_)"/>
    <numFmt numFmtId="176" formatCode="_([$€]* #,##0.00_);_([$€]* \(#,##0.00\);_([$€]* &quot;-&quot;??_);_(@_)"/>
    <numFmt numFmtId="177" formatCode="_ [$€-2]\ * #,##0.00_ ;_ [$€-2]\ * \-#,##0.00_ ;_ [$€-2]\ * &quot;-&quot;??_ "/>
    <numFmt numFmtId="178" formatCode="#,##0\ &quot;$&quot;;[Red]\-#,##0\ &quot;$&quot;"/>
    <numFmt numFmtId="179" formatCode="_-* #,##0\ _P_t_s_-;\-* #,##0\ _P_t_s_-;_-* &quot;-&quot;??\ _P_t_s_-;_-@_-"/>
    <numFmt numFmtId="180" formatCode="_(* #,##0.000_);_(* \(#,##0.000\);_(* &quot;-&quot;??_);_(@_)"/>
    <numFmt numFmtId="181" formatCode="_ * #,##0.00_ ;_ * \-#,##0.00_ ;_ * &quot;-&quot;??_ ;_ @_ "/>
    <numFmt numFmtId="182" formatCode="_-* #,##0.0\ _P_t_s_-;\-* #,##0.0\ _P_t_s_-;_-* &quot;-&quot;??\ _P_t_s_-;_-@_-"/>
    <numFmt numFmtId="183" formatCode="_ * #,##0_ ;_ * \-#,##0_ ;_ * &quot;-&quot;_ ;_ @_ "/>
    <numFmt numFmtId="184" formatCode="&quot;$&quot;#,##0\ ;\(&quot;$&quot;#,##0\)"/>
    <numFmt numFmtId="185" formatCode="General_)"/>
    <numFmt numFmtId="186" formatCode="#,##0.00\ &quot;$&quot;;\-#,##0.00\ &quot;$&quot;"/>
    <numFmt numFmtId="187" formatCode="000"/>
    <numFmt numFmtId="188" formatCode="#,##0.000"/>
    <numFmt numFmtId="189" formatCode="#,##0.0"/>
    <numFmt numFmtId="190" formatCode="yyyy\-mm\-dd;@"/>
  </numFmts>
  <fonts count="13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indexed="24"/>
      <name val="Modern"/>
      <family val="3"/>
      <charset val="255"/>
    </font>
    <font>
      <sz val="10"/>
      <name val="Helv"/>
    </font>
    <font>
      <b/>
      <sz val="10"/>
      <color indexed="24"/>
      <name val="Modern"/>
      <family val="3"/>
      <charset val="255"/>
    </font>
    <font>
      <sz val="8"/>
      <color indexed="24"/>
      <name val="Arial"/>
      <family val="2"/>
    </font>
    <font>
      <sz val="10"/>
      <color indexed="24"/>
      <name val="Arial"/>
      <family val="2"/>
    </font>
    <font>
      <sz val="8"/>
      <name val="Courier"/>
      <family val="3"/>
    </font>
    <font>
      <sz val="10"/>
      <color indexed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theme="0"/>
      <name val="Arial"/>
      <family val="2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b/>
      <sz val="8"/>
      <color indexed="12"/>
      <name val="Arial"/>
      <family val="2"/>
    </font>
    <font>
      <sz val="12"/>
      <name val="Arial"/>
      <family val="2"/>
    </font>
    <font>
      <sz val="7"/>
      <color theme="0" tint="-0.499984740745262"/>
      <name val="Arial"/>
      <family val="2"/>
    </font>
    <font>
      <sz val="10"/>
      <name val="Times New Roman"/>
      <family val="1"/>
    </font>
    <font>
      <sz val="8"/>
      <color rgb="FFFF0000"/>
      <name val="Arial"/>
      <family val="2"/>
    </font>
    <font>
      <sz val="8"/>
      <color theme="1" tint="0.499984740745262"/>
      <name val="Arial"/>
      <family val="2"/>
    </font>
    <font>
      <sz val="10"/>
      <color indexed="63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sz val="9"/>
      <color theme="0"/>
      <name val="Arial"/>
      <family val="2"/>
    </font>
    <font>
      <sz val="9"/>
      <color indexed="63"/>
      <name val="Arial"/>
      <family val="2"/>
    </font>
    <font>
      <sz val="8"/>
      <color theme="0" tint="-0.499984740745262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 tint="0.499984740745262"/>
      <name val="Arial"/>
      <family val="2"/>
    </font>
    <font>
      <b/>
      <sz val="9"/>
      <name val="Calibri"/>
      <family val="2"/>
    </font>
    <font>
      <b/>
      <sz val="8"/>
      <color theme="1" tint="0.499984740745262"/>
      <name val="Arial"/>
      <family val="2"/>
    </font>
    <font>
      <b/>
      <sz val="7"/>
      <name val="Arial"/>
      <family val="2"/>
    </font>
    <font>
      <sz val="7"/>
      <name val="Calibri"/>
      <family val="2"/>
      <scheme val="minor"/>
    </font>
    <font>
      <sz val="8"/>
      <color theme="0" tint="-0.499984740745262"/>
      <name val="Arial"/>
      <family val="2"/>
    </font>
    <font>
      <sz val="8"/>
      <color theme="1"/>
      <name val="Arial"/>
      <family val="2"/>
    </font>
    <font>
      <b/>
      <sz val="6"/>
      <name val="Arial"/>
      <family val="2"/>
    </font>
    <font>
      <sz val="7"/>
      <color theme="1"/>
      <name val="Arial"/>
      <family val="2"/>
    </font>
    <font>
      <sz val="6"/>
      <name val="Calibri"/>
      <family val="2"/>
      <scheme val="minor"/>
    </font>
    <font>
      <b/>
      <sz val="8"/>
      <color theme="1"/>
      <name val="Arial"/>
      <family val="2"/>
    </font>
    <font>
      <sz val="6"/>
      <name val="Arial"/>
      <family val="2"/>
    </font>
    <font>
      <b/>
      <sz val="8"/>
      <color rgb="FF00B050"/>
      <name val="Arial"/>
      <family val="2"/>
    </font>
    <font>
      <sz val="6"/>
      <color theme="1" tint="0.499984740745262"/>
      <name val="Arial"/>
      <family val="2"/>
    </font>
    <font>
      <sz val="8"/>
      <name val="Calibri"/>
      <family val="2"/>
    </font>
    <font>
      <sz val="8.5"/>
      <name val="Arial"/>
      <family val="2"/>
    </font>
    <font>
      <b/>
      <sz val="14"/>
      <color rgb="FFFF0000"/>
      <name val="Calibri"/>
      <family val="2"/>
      <scheme val="minor"/>
    </font>
    <font>
      <sz val="10"/>
      <color indexed="63"/>
      <name val="Calibri"/>
      <family val="2"/>
      <scheme val="minor"/>
    </font>
    <font>
      <b/>
      <sz val="10"/>
      <color indexed="63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"/>
      <color rgb="FF00B050"/>
      <name val="Calibri"/>
      <family val="2"/>
      <scheme val="minor"/>
    </font>
    <font>
      <sz val="8"/>
      <color rgb="FF00B050"/>
      <name val="Arial"/>
      <family val="2"/>
    </font>
    <font>
      <sz val="10"/>
      <color rgb="FF00B050"/>
      <name val="Arial"/>
      <family val="2"/>
    </font>
    <font>
      <sz val="8"/>
      <color rgb="FF00B05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10"/>
      <color theme="1"/>
      <name val="Arial"/>
      <family val="2"/>
    </font>
    <font>
      <b/>
      <sz val="8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7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9.5"/>
      <color theme="1"/>
      <name val="Arial"/>
      <family val="2"/>
    </font>
    <font>
      <sz val="6"/>
      <color theme="1"/>
      <name val="Calibri"/>
      <family val="2"/>
      <scheme val="minor"/>
    </font>
    <font>
      <sz val="6"/>
      <color theme="1"/>
      <name val="Arial"/>
      <family val="2"/>
    </font>
    <font>
      <b/>
      <sz val="7"/>
      <color rgb="FFFF0000"/>
      <name val="Arial"/>
      <family val="2"/>
    </font>
    <font>
      <b/>
      <sz val="6"/>
      <color rgb="FFFF0000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 tint="0.499984740745262"/>
      <name val="Arial"/>
      <family val="2"/>
    </font>
    <font>
      <sz val="9"/>
      <color theme="1" tint="0.499984740745262"/>
      <name val="Arial"/>
      <family val="2"/>
    </font>
    <font>
      <b/>
      <sz val="9"/>
      <color theme="1" tint="0.499984740745262"/>
      <name val="Arial"/>
      <family val="2"/>
    </font>
    <font>
      <u/>
      <sz val="8"/>
      <color theme="1"/>
      <name val="Arial"/>
      <family val="2"/>
    </font>
    <font>
      <b/>
      <sz val="12"/>
      <name val="Arial"/>
      <family val="2"/>
    </font>
    <font>
      <i/>
      <sz val="8"/>
      <name val="Arial"/>
      <family val="2"/>
    </font>
    <font>
      <b/>
      <i/>
      <sz val="9"/>
      <name val="Arial"/>
      <family val="2"/>
    </font>
    <font>
      <sz val="10"/>
      <name val="MS Sans Serif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9"/>
      <name val="Arial"/>
      <family val="2"/>
    </font>
    <font>
      <sz val="9"/>
      <color theme="0" tint="-0.499984740745262"/>
      <name val="Arial"/>
      <family val="2"/>
    </font>
    <font>
      <sz val="9"/>
      <color theme="0" tint="-0.499984740745262"/>
      <name val="Calibri"/>
      <family val="2"/>
      <scheme val="minor"/>
    </font>
    <font>
      <b/>
      <sz val="9"/>
      <color rgb="FFFF0000"/>
      <name val="Arial"/>
      <family val="2"/>
    </font>
    <font>
      <sz val="10"/>
      <color theme="0" tint="-0.499984740745262"/>
      <name val="Arial"/>
      <family val="2"/>
    </font>
    <font>
      <sz val="10"/>
      <color theme="0"/>
      <name val="Calibri"/>
      <family val="2"/>
    </font>
    <font>
      <sz val="10"/>
      <color theme="1"/>
      <name val="Calibri"/>
      <family val="2"/>
    </font>
    <font>
      <i/>
      <u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theme="0" tint="-0.249977111117893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b/>
      <sz val="10"/>
      <color theme="1" tint="4.9989318521683403E-2"/>
      <name val="Arial"/>
      <family val="2"/>
    </font>
    <font>
      <b/>
      <sz val="10"/>
      <color theme="1" tint="4.9989318521683403E-2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gray0625">
        <fgColor theme="0" tint="-0.14996795556505021"/>
        <bgColor indexed="65"/>
      </patternFill>
    </fill>
    <fill>
      <patternFill patternType="gray125">
        <fgColor theme="0" tint="-4.9989318521683403E-2"/>
        <bgColor theme="0"/>
      </patternFill>
    </fill>
    <fill>
      <patternFill patternType="gray0625">
        <fgColor theme="0" tint="-0.24994659260841701"/>
        <bgColor indexed="65"/>
      </patternFill>
    </fill>
    <fill>
      <patternFill patternType="gray0625">
        <fgColor theme="0" tint="-0.24994659260841701"/>
        <bgColor theme="0"/>
      </patternFill>
    </fill>
    <fill>
      <patternFill patternType="solid">
        <fgColor theme="0"/>
        <bgColor theme="0" tint="-0.14996795556505021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 tint="-0.14996795556505021"/>
      </patternFill>
    </fill>
    <fill>
      <patternFill patternType="gray125">
        <fgColor theme="0" tint="-4.9989318521683403E-2"/>
        <bgColor rgb="FF00B050"/>
      </patternFill>
    </fill>
    <fill>
      <patternFill patternType="solid">
        <fgColor indexed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gray0625">
        <bgColor theme="9" tint="0.39994506668294322"/>
      </patternFill>
    </fill>
  </fills>
  <borders count="18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/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dashed">
        <color theme="0" tint="-0.499984740745262"/>
      </right>
      <top/>
      <bottom style="thin">
        <color indexed="64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dashed">
        <color theme="0" tint="-0.499984740745262"/>
      </bottom>
      <diagonal/>
    </border>
    <border>
      <left/>
      <right/>
      <top style="thin">
        <color theme="1"/>
      </top>
      <bottom style="dashed">
        <color theme="0" tint="-0.499984740745262"/>
      </bottom>
      <diagonal/>
    </border>
    <border>
      <left/>
      <right style="thin">
        <color theme="1"/>
      </right>
      <top style="thin">
        <color theme="1"/>
      </top>
      <bottom style="dashed">
        <color theme="0" tint="-0.499984740745262"/>
      </bottom>
      <diagonal/>
    </border>
    <border>
      <left style="thin">
        <color theme="1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theme="1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indexed="64"/>
      </left>
      <right style="thin">
        <color indexed="64"/>
      </right>
      <top style="dashed">
        <color theme="0" tint="-0.499984740745262"/>
      </top>
      <bottom/>
      <diagonal/>
    </border>
    <border>
      <left style="thin">
        <color indexed="64"/>
      </left>
      <right/>
      <top style="dashed">
        <color theme="0" tint="-0.499984740745262"/>
      </top>
      <bottom style="thin">
        <color theme="1"/>
      </bottom>
      <diagonal/>
    </border>
    <border>
      <left/>
      <right/>
      <top style="dashed">
        <color theme="0" tint="-0.499984740745262"/>
      </top>
      <bottom style="thin">
        <color theme="1"/>
      </bottom>
      <diagonal/>
    </border>
    <border>
      <left/>
      <right style="thin">
        <color indexed="64"/>
      </right>
      <top style="dashed">
        <color theme="0" tint="-0.499984740745262"/>
      </top>
      <bottom style="thin">
        <color theme="1"/>
      </bottom>
      <diagonal/>
    </border>
    <border>
      <left/>
      <right style="dashed">
        <color theme="0" tint="-0.499984740745262"/>
      </right>
      <top style="thin">
        <color theme="1"/>
      </top>
      <bottom style="dashed">
        <color theme="0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dashed">
        <color theme="0" tint="-0.499984740745262"/>
      </bottom>
      <diagonal/>
    </border>
    <border>
      <left style="thin">
        <color theme="1"/>
      </left>
      <right style="thin">
        <color theme="1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thin">
        <color indexed="64"/>
      </right>
      <top style="thin">
        <color theme="1"/>
      </top>
      <bottom style="dashed">
        <color theme="0" tint="-0.499984740745262"/>
      </bottom>
      <diagonal/>
    </border>
    <border>
      <left style="thin">
        <color indexed="64"/>
      </left>
      <right/>
      <top style="thin">
        <color theme="1"/>
      </top>
      <bottom style="dashed">
        <color theme="0" tint="-0.499984740745262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 style="dashed">
        <color theme="0" tint="-0.14999847407452621"/>
      </bottom>
      <diagonal/>
    </border>
    <border>
      <left/>
      <right style="dashed">
        <color theme="0" tint="-0.14999847407452621"/>
      </right>
      <top style="thin">
        <color indexed="64"/>
      </top>
      <bottom/>
      <diagonal/>
    </border>
    <border>
      <left/>
      <right style="dashed">
        <color theme="0" tint="-0.14999847407452621"/>
      </right>
      <top/>
      <bottom/>
      <diagonal/>
    </border>
    <border>
      <left/>
      <right style="dashed">
        <color theme="0" tint="-0.14999847407452621"/>
      </right>
      <top/>
      <bottom style="dashed">
        <color theme="0" tint="-0.14999847407452621"/>
      </bottom>
      <diagonal/>
    </border>
    <border>
      <left/>
      <right/>
      <top style="dashed">
        <color theme="0" tint="-0.14999847407452621"/>
      </top>
      <bottom/>
      <diagonal/>
    </border>
    <border>
      <left style="dashed">
        <color theme="0" tint="-0.14999847407452621"/>
      </left>
      <right/>
      <top/>
      <bottom/>
      <diagonal/>
    </border>
    <border>
      <left style="dashed">
        <color theme="0" tint="-0.14999847407452621"/>
      </left>
      <right/>
      <top style="thin">
        <color indexed="64"/>
      </top>
      <bottom/>
      <diagonal/>
    </border>
    <border>
      <left style="dashed">
        <color theme="0" tint="-0.14999847407452621"/>
      </left>
      <right/>
      <top/>
      <bottom style="dashed">
        <color theme="0" tint="-0.14999847407452621"/>
      </bottom>
      <diagonal/>
    </border>
    <border>
      <left style="thin">
        <color indexed="64"/>
      </left>
      <right style="dashed">
        <color theme="0" tint="-0.14999847407452621"/>
      </right>
      <top/>
      <bottom/>
      <diagonal/>
    </border>
    <border>
      <left/>
      <right/>
      <top style="double">
        <color theme="1"/>
      </top>
      <bottom style="double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/>
      <top style="dashed">
        <color theme="0" tint="-0.499984740745262"/>
      </top>
      <bottom style="dashed">
        <color theme="0" tint="-0.499984740745262"/>
      </bottom>
      <diagonal/>
    </border>
    <border>
      <left/>
      <right style="dashed">
        <color theme="1" tint="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1"/>
      </left>
      <right/>
      <top style="dashed">
        <color theme="0" tint="-0.499984740745262"/>
      </top>
      <bottom style="thin">
        <color indexed="64"/>
      </bottom>
      <diagonal/>
    </border>
    <border>
      <left/>
      <right/>
      <top style="dashed">
        <color theme="0" tint="-0.499984740745262"/>
      </top>
      <bottom style="thin">
        <color indexed="64"/>
      </bottom>
      <diagonal/>
    </border>
    <border>
      <left/>
      <right style="thin">
        <color theme="1"/>
      </right>
      <top style="dashed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0.499984740745262"/>
      </top>
      <bottom style="thin">
        <color indexed="64"/>
      </bottom>
      <diagonal/>
    </border>
    <border>
      <left/>
      <right style="dashed">
        <color theme="0" tint="-0.249977111117893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 style="dashed">
        <color theme="0" tint="-0.249977111117893"/>
      </right>
      <top style="thin">
        <color theme="1"/>
      </top>
      <bottom style="dashed">
        <color theme="0" tint="-0.499984740745262"/>
      </bottom>
      <diagonal/>
    </border>
    <border>
      <left style="dashed">
        <color theme="0" tint="-0.249977111117893"/>
      </left>
      <right style="dashed">
        <color theme="0" tint="-0.249977111117893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1"/>
      </left>
      <right style="dashed">
        <color theme="0" tint="-0.249977111117893"/>
      </right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249977111117893"/>
      </left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indexed="64"/>
      </right>
      <top/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/>
      <bottom style="dashed">
        <color theme="0" tint="-4.9989318521683403E-2"/>
      </bottom>
      <diagonal/>
    </border>
    <border>
      <left style="dashed">
        <color theme="0" tint="-4.9989318521683403E-2"/>
      </left>
      <right style="dashed">
        <color theme="0" tint="-4.9989318521683403E-2"/>
      </right>
      <top/>
      <bottom style="dashed">
        <color theme="0" tint="-4.9989318521683403E-2"/>
      </bottom>
      <diagonal/>
    </border>
    <border>
      <left style="dashed">
        <color theme="0" tint="-4.9989318521683403E-2"/>
      </left>
      <right/>
      <top/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/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indexed="64"/>
      </right>
      <top/>
      <bottom style="dashed">
        <color theme="0" tint="-4.9989318521683403E-2"/>
      </bottom>
      <diagonal/>
    </border>
    <border>
      <left style="thin">
        <color indexed="64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 style="thin">
        <color indexed="64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/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indexed="64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 style="thin">
        <color theme="1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indexed="64"/>
      </left>
      <right/>
      <top style="dashed">
        <color theme="0" tint="-4.9989318521683403E-2"/>
      </top>
      <bottom/>
      <diagonal/>
    </border>
    <border>
      <left/>
      <right/>
      <top style="dashed">
        <color theme="0" tint="-4.9989318521683403E-2"/>
      </top>
      <bottom/>
      <diagonal/>
    </border>
    <border>
      <left/>
      <right style="thin">
        <color indexed="64"/>
      </right>
      <top style="dashed">
        <color theme="0" tint="-4.9989318521683403E-2"/>
      </top>
      <bottom/>
      <diagonal/>
    </border>
    <border>
      <left style="thin">
        <color indexed="64"/>
      </left>
      <right style="dashed">
        <color theme="0" tint="-4.9989318521683403E-2"/>
      </right>
      <top style="dashed">
        <color theme="0" tint="-4.9989318521683403E-2"/>
      </top>
      <bottom/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/>
      <diagonal/>
    </border>
    <border>
      <left style="dashed">
        <color theme="0" tint="-4.9989318521683403E-2"/>
      </left>
      <right/>
      <top style="dashed">
        <color theme="0" tint="-4.9989318521683403E-2"/>
      </top>
      <bottom/>
      <diagonal/>
    </border>
    <border>
      <left style="thin">
        <color theme="1"/>
      </left>
      <right style="dashed">
        <color theme="0" tint="-4.9989318521683403E-2"/>
      </right>
      <top style="dashed">
        <color theme="0" tint="-4.9989318521683403E-2"/>
      </top>
      <bottom/>
      <diagonal/>
    </border>
    <border>
      <left style="dashed">
        <color theme="0" tint="-4.9989318521683403E-2"/>
      </left>
      <right style="thin">
        <color indexed="64"/>
      </right>
      <top style="dashed">
        <color theme="0" tint="-4.9989318521683403E-2"/>
      </top>
      <bottom/>
      <diagonal/>
    </border>
    <border>
      <left style="thin">
        <color indexed="64"/>
      </left>
      <right/>
      <top style="dashed">
        <color theme="0" tint="-4.9989318521683403E-2"/>
      </top>
      <bottom style="thin">
        <color indexed="64"/>
      </bottom>
      <diagonal/>
    </border>
    <border>
      <left/>
      <right/>
      <top style="dashed">
        <color theme="0" tint="-4.9989318521683403E-2"/>
      </top>
      <bottom style="thin">
        <color indexed="64"/>
      </bottom>
      <diagonal/>
    </border>
    <border>
      <left/>
      <right style="thin">
        <color indexed="64"/>
      </right>
      <top style="dashed">
        <color theme="0" tint="-4.9989318521683403E-2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 style="dashed">
        <color theme="0" tint="-0.14999847407452621"/>
      </left>
      <right/>
      <top style="dashed">
        <color theme="0" tint="-0.14999847407452621"/>
      </top>
      <bottom style="thin">
        <color indexed="64"/>
      </bottom>
      <diagonal/>
    </border>
    <border>
      <left/>
      <right/>
      <top style="dashed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dashed">
        <color theme="0" tint="-0.14999847407452621"/>
      </right>
      <top style="thin">
        <color indexed="64"/>
      </top>
      <bottom/>
      <diagonal/>
    </border>
    <border>
      <left style="thin">
        <color indexed="64"/>
      </left>
      <right style="dashed">
        <color theme="0" tint="-0.14999847407452621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ashed">
        <color theme="0" tint="-0.249977111117893"/>
      </left>
      <right/>
      <top style="thin">
        <color theme="1"/>
      </top>
      <bottom style="dashed">
        <color theme="0" tint="-0.499984740745262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ashed">
        <color theme="0" tint="-4.9989318521683403E-2"/>
      </right>
      <top/>
      <bottom/>
      <diagonal/>
    </border>
    <border>
      <left style="dashed">
        <color theme="0" tint="-4.9989318521683403E-2"/>
      </left>
      <right style="dashed">
        <color theme="0" tint="-4.9989318521683403E-2"/>
      </right>
      <top/>
      <bottom/>
      <diagonal/>
    </border>
    <border>
      <left style="dashed">
        <color theme="0" tint="-4.9989318521683403E-2"/>
      </left>
      <right style="thin">
        <color indexed="64"/>
      </right>
      <top/>
      <bottom/>
      <diagonal/>
    </border>
    <border>
      <left/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/>
      <bottom style="thin">
        <color indexed="64"/>
      </bottom>
      <diagonal/>
    </border>
    <border>
      <left style="dashed">
        <color theme="0" tint="-4.9989318521683403E-2"/>
      </left>
      <right style="dashed">
        <color theme="0" tint="-4.9989318521683403E-2"/>
      </right>
      <top/>
      <bottom style="thin">
        <color indexed="64"/>
      </bottom>
      <diagonal/>
    </border>
    <border>
      <left style="dashed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theme="0" tint="-4.9989318521683403E-2"/>
      </bottom>
      <diagonal/>
    </border>
    <border>
      <left/>
      <right/>
      <top style="thin">
        <color indexed="64"/>
      </top>
      <bottom style="dashed">
        <color theme="0" tint="-4.9989318521683403E-2"/>
      </bottom>
      <diagonal/>
    </border>
    <border>
      <left/>
      <right style="thin">
        <color indexed="64"/>
      </right>
      <top style="thin">
        <color indexed="64"/>
      </top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 style="thin">
        <color indexed="64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thin">
        <color indexed="64"/>
      </top>
      <bottom style="dashed">
        <color theme="0" tint="-4.9989318521683403E-2"/>
      </bottom>
      <diagonal/>
    </border>
    <border>
      <left style="dashed">
        <color theme="0" tint="-4.9989318521683403E-2"/>
      </left>
      <right/>
      <top style="thin">
        <color indexed="64"/>
      </top>
      <bottom style="dashed">
        <color theme="0" tint="-4.9989318521683403E-2"/>
      </bottom>
      <diagonal/>
    </border>
    <border>
      <left style="thin">
        <color theme="1"/>
      </left>
      <right style="dashed">
        <color theme="0" tint="-4.9989318521683403E-2"/>
      </right>
      <top style="thin">
        <color indexed="64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indexed="64"/>
      </right>
      <top style="thin">
        <color indexed="64"/>
      </top>
      <bottom style="dashed">
        <color theme="0" tint="-4.9989318521683403E-2"/>
      </bottom>
      <diagonal/>
    </border>
    <border>
      <left style="thin">
        <color indexed="64"/>
      </left>
      <right style="dashed">
        <color theme="0" tint="-4.9989318521683403E-2"/>
      </right>
      <top style="dashed">
        <color theme="0" tint="-4.9989318521683403E-2"/>
      </top>
      <bottom style="thin">
        <color indexed="64"/>
      </bottom>
      <diagonal/>
    </border>
    <border>
      <left style="dashed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 style="thin">
        <color indexed="64"/>
      </bottom>
      <diagonal/>
    </border>
    <border>
      <left style="dashed">
        <color theme="0" tint="-4.9989318521683403E-2"/>
      </left>
      <right/>
      <top style="dashed">
        <color theme="0" tint="-4.9989318521683403E-2"/>
      </top>
      <bottom style="thin">
        <color indexed="64"/>
      </bottom>
      <diagonal/>
    </border>
    <border>
      <left style="thin">
        <color theme="1"/>
      </left>
      <right style="dashed">
        <color theme="0" tint="-4.9989318521683403E-2"/>
      </right>
      <top style="dashed">
        <color theme="0" tint="-4.9989318521683403E-2"/>
      </top>
      <bottom style="thin">
        <color indexed="64"/>
      </bottom>
      <diagonal/>
    </border>
    <border>
      <left style="dashed">
        <color theme="0" tint="-4.9989318521683403E-2"/>
      </left>
      <right style="thin">
        <color indexed="64"/>
      </right>
      <top style="dashed">
        <color theme="0" tint="-4.9989318521683403E-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ashed">
        <color theme="0" tint="-0.499984740745262"/>
      </left>
      <right style="dashed">
        <color theme="0" tint="-0.499984740745262"/>
      </right>
      <top/>
      <bottom style="dashed">
        <color theme="0" tint="-0.499984740745262"/>
      </bottom>
      <diagonal/>
    </border>
    <border>
      <left/>
      <right/>
      <top/>
      <bottom style="dashed">
        <color theme="0" tint="-0.499984740745262"/>
      </bottom>
      <diagonal/>
    </border>
    <border>
      <left style="dashed">
        <color theme="0" tint="-0.499984740745262"/>
      </left>
      <right style="dashed">
        <color theme="0" tint="-0.499984740745262"/>
      </right>
      <top style="thin">
        <color theme="1"/>
      </top>
      <bottom style="dashed">
        <color theme="0" tint="-0.34998626667073579"/>
      </bottom>
      <diagonal/>
    </border>
    <border>
      <left/>
      <right style="thin">
        <color theme="1"/>
      </right>
      <top style="thin">
        <color theme="1"/>
      </top>
      <bottom style="dashed">
        <color theme="0" tint="-0.34998626667073579"/>
      </bottom>
      <diagonal/>
    </border>
    <border>
      <left style="dashed">
        <color theme="1" tint="0.499984740745262"/>
      </left>
      <right style="dashed">
        <color theme="0" tint="-0.499984740745262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dashed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dashed">
        <color theme="0" tint="-4.9989318521683403E-2"/>
      </left>
      <right style="thin">
        <color theme="0" tint="-4.9989318521683403E-2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indexed="64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thin">
        <color indexed="64"/>
      </right>
      <top/>
      <bottom style="double">
        <color theme="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theme="1"/>
      </top>
      <bottom style="double">
        <color indexed="64"/>
      </bottom>
      <diagonal/>
    </border>
    <border>
      <left/>
      <right style="thin">
        <color indexed="64"/>
      </right>
      <top style="double">
        <color theme="1"/>
      </top>
      <bottom style="double">
        <color indexed="64"/>
      </bottom>
      <diagonal/>
    </border>
  </borders>
  <cellStyleXfs count="215">
    <xf numFmtId="0" fontId="0" fillId="0" borderId="0"/>
    <xf numFmtId="172" fontId="19" fillId="0" borderId="1">
      <alignment horizontal="right"/>
    </xf>
    <xf numFmtId="2" fontId="21" fillId="0" borderId="0"/>
    <xf numFmtId="173" fontId="21" fillId="0" borderId="0"/>
    <xf numFmtId="174" fontId="22" fillId="0" borderId="0"/>
    <xf numFmtId="175" fontId="19" fillId="0" borderId="1">
      <alignment horizontal="right"/>
    </xf>
    <xf numFmtId="172" fontId="19" fillId="0" borderId="0">
      <protection locked="0"/>
    </xf>
    <xf numFmtId="3" fontId="2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2" fontId="19" fillId="0" borderId="0">
      <protection locked="0"/>
    </xf>
    <xf numFmtId="166" fontId="19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0" borderId="0"/>
    <xf numFmtId="176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172" fontId="19" fillId="0" borderId="0">
      <protection locked="0"/>
    </xf>
    <xf numFmtId="2" fontId="2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2" fontId="19" fillId="0" borderId="0">
      <protection locked="0"/>
    </xf>
    <xf numFmtId="172" fontId="19" fillId="0" borderId="0">
      <protection locked="0"/>
    </xf>
    <xf numFmtId="178" fontId="19" fillId="0" borderId="0">
      <alignment horizontal="right"/>
    </xf>
    <xf numFmtId="179" fontId="19" fillId="0" borderId="0" applyFont="0" applyFill="0" applyBorder="0" applyAlignment="0">
      <alignment horizontal="center"/>
    </xf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>
      <alignment horizontal="right"/>
    </xf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84" fontId="27" fillId="0" borderId="0" applyFont="0" applyFill="0" applyBorder="0" applyAlignment="0" applyProtection="0"/>
    <xf numFmtId="185" fontId="28" fillId="0" borderId="0"/>
    <xf numFmtId="186" fontId="19" fillId="0" borderId="0" applyFont="0" applyFill="0" applyBorder="0" applyAlignment="0">
      <alignment horizontal="center"/>
    </xf>
    <xf numFmtId="0" fontId="32" fillId="0" borderId="0"/>
    <xf numFmtId="0" fontId="19" fillId="0" borderId="0"/>
    <xf numFmtId="1" fontId="19" fillId="0" borderId="0"/>
    <xf numFmtId="1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0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24" fillId="0" borderId="0"/>
    <xf numFmtId="172" fontId="19" fillId="0" borderId="0">
      <protection locked="0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9" fillId="0" borderId="0">
      <alignment vertical="top"/>
    </xf>
    <xf numFmtId="0" fontId="18" fillId="0" borderId="0"/>
    <xf numFmtId="0" fontId="18" fillId="0" borderId="0"/>
    <xf numFmtId="166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6" fontId="17" fillId="0" borderId="0" applyFont="0" applyFill="0" applyBorder="0" applyAlignment="0" applyProtection="0"/>
    <xf numFmtId="0" fontId="48" fillId="0" borderId="0"/>
    <xf numFmtId="0" fontId="19" fillId="0" borderId="0"/>
    <xf numFmtId="0" fontId="5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6" fontId="16" fillId="0" borderId="0" applyFont="0" applyFill="0" applyBorder="0" applyAlignment="0" applyProtection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112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932">
    <xf numFmtId="0" fontId="0" fillId="0" borderId="0" xfId="0"/>
    <xf numFmtId="0" fontId="45" fillId="0" borderId="0" xfId="0" applyFont="1" applyAlignment="1">
      <alignment horizontal="center" vertical="center"/>
    </xf>
    <xf numFmtId="173" fontId="45" fillId="0" borderId="0" xfId="0" applyNumberFormat="1" applyFont="1" applyAlignment="1">
      <alignment horizontal="center" vertical="center"/>
    </xf>
    <xf numFmtId="170" fontId="47" fillId="0" borderId="0" xfId="0" applyNumberFormat="1" applyFont="1" applyAlignment="1">
      <alignment horizontal="center" vertical="center"/>
    </xf>
    <xf numFmtId="173" fontId="47" fillId="0" borderId="0" xfId="0" applyNumberFormat="1" applyFont="1" applyAlignment="1">
      <alignment horizontal="center" vertical="center"/>
    </xf>
    <xf numFmtId="170" fontId="74" fillId="0" borderId="0" xfId="0" applyNumberFormat="1" applyFont="1" applyAlignment="1">
      <alignment horizontal="center" vertical="center"/>
    </xf>
    <xf numFmtId="173" fontId="74" fillId="0" borderId="0" xfId="0" applyNumberFormat="1" applyFont="1" applyAlignment="1">
      <alignment horizontal="center" vertical="center"/>
    </xf>
    <xf numFmtId="170" fontId="59" fillId="0" borderId="0" xfId="0" applyNumberFormat="1" applyFont="1" applyAlignment="1" applyProtection="1">
      <alignment horizontal="center" vertical="center"/>
      <protection locked="0"/>
    </xf>
    <xf numFmtId="0" fontId="73" fillId="0" borderId="19" xfId="150" applyFont="1" applyBorder="1" applyAlignment="1">
      <alignment wrapText="1"/>
    </xf>
    <xf numFmtId="1" fontId="36" fillId="0" borderId="0" xfId="0" applyNumberFormat="1" applyFont="1" applyAlignment="1" applyProtection="1">
      <alignment vertical="center" wrapText="1"/>
      <protection locked="0"/>
    </xf>
    <xf numFmtId="170" fontId="58" fillId="0" borderId="15" xfId="0" applyNumberFormat="1" applyFont="1" applyBorder="1" applyAlignment="1" applyProtection="1">
      <alignment horizontal="center" vertical="center" wrapText="1"/>
      <protection locked="0"/>
    </xf>
    <xf numFmtId="170" fontId="59" fillId="0" borderId="9" xfId="0" applyNumberFormat="1" applyFont="1" applyBorder="1" applyAlignment="1" applyProtection="1">
      <alignment horizontal="center" vertical="center"/>
      <protection locked="0"/>
    </xf>
    <xf numFmtId="170" fontId="59" fillId="0" borderId="10" xfId="0" applyNumberFormat="1" applyFont="1" applyBorder="1" applyAlignment="1" applyProtection="1">
      <alignment horizontal="center" vertical="center"/>
      <protection locked="0"/>
    </xf>
    <xf numFmtId="170" fontId="59" fillId="0" borderId="11" xfId="0" applyNumberFormat="1" applyFont="1" applyBorder="1" applyAlignment="1" applyProtection="1">
      <alignment horizontal="center" vertical="center"/>
      <protection locked="0"/>
    </xf>
    <xf numFmtId="0" fontId="19" fillId="0" borderId="0" xfId="82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44" fillId="2" borderId="31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170" fontId="21" fillId="4" borderId="21" xfId="0" applyNumberFormat="1" applyFont="1" applyFill="1" applyBorder="1" applyAlignment="1">
      <alignment horizontal="center" vertical="center"/>
    </xf>
    <xf numFmtId="170" fontId="21" fillId="4" borderId="39" xfId="0" applyNumberFormat="1" applyFont="1" applyFill="1" applyBorder="1" applyAlignment="1">
      <alignment horizontal="center" vertical="center"/>
    </xf>
    <xf numFmtId="0" fontId="21" fillId="4" borderId="44" xfId="0" applyFont="1" applyFill="1" applyBorder="1" applyAlignment="1">
      <alignment horizontal="center" vertical="center"/>
    </xf>
    <xf numFmtId="1" fontId="21" fillId="4" borderId="45" xfId="0" applyNumberFormat="1" applyFont="1" applyFill="1" applyBorder="1" applyAlignment="1">
      <alignment horizontal="center" vertical="center"/>
    </xf>
    <xf numFmtId="1" fontId="52" fillId="4" borderId="38" xfId="0" applyNumberFormat="1" applyFont="1" applyFill="1" applyBorder="1" applyAlignment="1">
      <alignment horizontal="center" vertical="center"/>
    </xf>
    <xf numFmtId="170" fontId="21" fillId="4" borderId="45" xfId="0" applyNumberFormat="1" applyFont="1" applyFill="1" applyBorder="1" applyAlignment="1">
      <alignment horizontal="center" vertical="center"/>
    </xf>
    <xf numFmtId="170" fontId="52" fillId="4" borderId="38" xfId="0" applyNumberFormat="1" applyFont="1" applyFill="1" applyBorder="1" applyAlignment="1">
      <alignment horizontal="center" vertical="center"/>
    </xf>
    <xf numFmtId="0" fontId="70" fillId="4" borderId="27" xfId="0" applyFont="1" applyFill="1" applyBorder="1" applyAlignment="1">
      <alignment horizontal="center" vertical="center"/>
    </xf>
    <xf numFmtId="170" fontId="21" fillId="4" borderId="45" xfId="0" applyNumberFormat="1" applyFont="1" applyFill="1" applyBorder="1" applyAlignment="1">
      <alignment horizontal="center" vertical="center" wrapText="1"/>
    </xf>
    <xf numFmtId="0" fontId="68" fillId="4" borderId="27" xfId="0" applyFont="1" applyFill="1" applyBorder="1" applyAlignment="1">
      <alignment horizontal="center" vertical="center"/>
    </xf>
    <xf numFmtId="2" fontId="21" fillId="4" borderId="45" xfId="0" applyNumberFormat="1" applyFont="1" applyFill="1" applyBorder="1" applyAlignment="1">
      <alignment horizontal="center" vertical="center"/>
    </xf>
    <xf numFmtId="0" fontId="52" fillId="0" borderId="38" xfId="0" applyFont="1" applyBorder="1" applyAlignment="1">
      <alignment horizontal="center" vertical="center"/>
    </xf>
    <xf numFmtId="170" fontId="58" fillId="0" borderId="13" xfId="0" applyNumberFormat="1" applyFont="1" applyBorder="1" applyAlignment="1">
      <alignment horizontal="center" vertical="center"/>
    </xf>
    <xf numFmtId="1" fontId="36" fillId="0" borderId="11" xfId="0" applyNumberFormat="1" applyFont="1" applyBorder="1" applyAlignment="1">
      <alignment horizontal="center" vertical="center" wrapText="1"/>
    </xf>
    <xf numFmtId="0" fontId="33" fillId="0" borderId="0" xfId="0" applyFont="1"/>
    <xf numFmtId="170" fontId="59" fillId="0" borderId="13" xfId="0" applyNumberFormat="1" applyFont="1" applyBorder="1" applyAlignment="1">
      <alignment horizontal="center" vertical="center"/>
    </xf>
    <xf numFmtId="170" fontId="59" fillId="0" borderId="5" xfId="0" applyNumberFormat="1" applyFont="1" applyBorder="1" applyAlignment="1">
      <alignment horizontal="center" vertical="center"/>
    </xf>
    <xf numFmtId="1" fontId="59" fillId="0" borderId="0" xfId="0" applyNumberFormat="1" applyFont="1" applyAlignment="1">
      <alignment horizontal="center" vertical="center"/>
    </xf>
    <xf numFmtId="1" fontId="59" fillId="0" borderId="11" xfId="0" applyNumberFormat="1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52" fillId="4" borderId="68" xfId="0" applyFont="1" applyFill="1" applyBorder="1" applyAlignment="1">
      <alignment horizontal="center" vertical="center"/>
    </xf>
    <xf numFmtId="170" fontId="52" fillId="4" borderId="68" xfId="0" applyNumberFormat="1" applyFont="1" applyFill="1" applyBorder="1" applyAlignment="1">
      <alignment horizontal="center" vertical="center"/>
    </xf>
    <xf numFmtId="1" fontId="52" fillId="4" borderId="68" xfId="0" applyNumberFormat="1" applyFont="1" applyFill="1" applyBorder="1" applyAlignment="1">
      <alignment horizontal="center" vertical="center"/>
    </xf>
    <xf numFmtId="0" fontId="19" fillId="0" borderId="0" xfId="82"/>
    <xf numFmtId="0" fontId="33" fillId="0" borderId="15" xfId="0" applyFont="1" applyBorder="1"/>
    <xf numFmtId="0" fontId="21" fillId="14" borderId="0" xfId="0" applyFont="1" applyFill="1" applyAlignment="1">
      <alignment vertical="center"/>
    </xf>
    <xf numFmtId="12" fontId="67" fillId="4" borderId="0" xfId="0" applyNumberFormat="1" applyFont="1" applyFill="1" applyAlignment="1">
      <alignment vertical="center"/>
    </xf>
    <xf numFmtId="0" fontId="67" fillId="4" borderId="0" xfId="0" applyFont="1" applyFill="1" applyAlignment="1">
      <alignment vertical="center" wrapText="1"/>
    </xf>
    <xf numFmtId="1" fontId="67" fillId="4" borderId="0" xfId="0" applyNumberFormat="1" applyFont="1" applyFill="1" applyAlignment="1">
      <alignment vertical="center"/>
    </xf>
    <xf numFmtId="0" fontId="0" fillId="0" borderId="0" xfId="0" applyAlignment="1">
      <alignment horizontal="center" vertical="center"/>
    </xf>
    <xf numFmtId="1" fontId="59" fillId="0" borderId="12" xfId="0" applyNumberFormat="1" applyFont="1" applyBorder="1" applyAlignment="1">
      <alignment horizontal="center" vertical="center"/>
    </xf>
    <xf numFmtId="1" fontId="59" fillId="0" borderId="5" xfId="0" applyNumberFormat="1" applyFont="1" applyBorder="1" applyAlignment="1">
      <alignment horizontal="center" vertical="center"/>
    </xf>
    <xf numFmtId="173" fontId="21" fillId="0" borderId="71" xfId="0" applyNumberFormat="1" applyFont="1" applyBorder="1" applyAlignment="1">
      <alignment horizontal="center" vertical="center"/>
    </xf>
    <xf numFmtId="0" fontId="33" fillId="0" borderId="11" xfId="0" applyFont="1" applyBorder="1"/>
    <xf numFmtId="1" fontId="59" fillId="0" borderId="10" xfId="0" applyNumberFormat="1" applyFont="1" applyBorder="1" applyAlignment="1">
      <alignment horizontal="center" vertical="center"/>
    </xf>
    <xf numFmtId="0" fontId="19" fillId="0" borderId="0" xfId="78"/>
    <xf numFmtId="0" fontId="44" fillId="0" borderId="0" xfId="78" applyFont="1"/>
    <xf numFmtId="0" fontId="19" fillId="0" borderId="0" xfId="193"/>
    <xf numFmtId="2" fontId="44" fillId="0" borderId="10" xfId="193" applyNumberFormat="1" applyFont="1" applyBorder="1" applyProtection="1">
      <protection locked="0"/>
    </xf>
    <xf numFmtId="2" fontId="44" fillId="0" borderId="14" xfId="193" applyNumberFormat="1" applyFont="1" applyBorder="1" applyProtection="1">
      <protection locked="0"/>
    </xf>
    <xf numFmtId="2" fontId="44" fillId="0" borderId="9" xfId="193" applyNumberFormat="1" applyFont="1" applyBorder="1" applyProtection="1">
      <protection locked="0"/>
    </xf>
    <xf numFmtId="2" fontId="44" fillId="0" borderId="5" xfId="193" applyNumberFormat="1" applyFont="1" applyBorder="1" applyProtection="1">
      <protection locked="0"/>
    </xf>
    <xf numFmtId="2" fontId="44" fillId="0" borderId="13" xfId="193" applyNumberFormat="1" applyFont="1" applyBorder="1" applyProtection="1">
      <protection locked="0"/>
    </xf>
    <xf numFmtId="2" fontId="44" fillId="0" borderId="12" xfId="193" applyNumberFormat="1" applyFont="1" applyBorder="1" applyProtection="1">
      <protection locked="0"/>
    </xf>
    <xf numFmtId="0" fontId="19" fillId="0" borderId="11" xfId="193" applyBorder="1"/>
    <xf numFmtId="2" fontId="44" fillId="0" borderId="11" xfId="193" applyNumberFormat="1" applyFont="1" applyBorder="1"/>
    <xf numFmtId="2" fontId="44" fillId="0" borderId="0" xfId="193" applyNumberFormat="1" applyFont="1"/>
    <xf numFmtId="0" fontId="19" fillId="0" borderId="0" xfId="78" applyAlignment="1">
      <alignment vertical="center"/>
    </xf>
    <xf numFmtId="0" fontId="19" fillId="0" borderId="0" xfId="89" applyAlignment="1">
      <alignment vertical="center"/>
    </xf>
    <xf numFmtId="0" fontId="63" fillId="0" borderId="0" xfId="0" applyFont="1" applyAlignment="1">
      <alignment horizontal="center" vertical="center" wrapText="1"/>
    </xf>
    <xf numFmtId="0" fontId="62" fillId="0" borderId="0" xfId="149" applyFont="1" applyAlignment="1">
      <alignment horizontal="left" vertical="center" wrapText="1"/>
    </xf>
    <xf numFmtId="0" fontId="34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 wrapText="1"/>
    </xf>
    <xf numFmtId="0" fontId="33" fillId="16" borderId="0" xfId="0" applyFont="1" applyFill="1" applyAlignment="1">
      <alignment horizontal="center"/>
    </xf>
    <xf numFmtId="171" fontId="60" fillId="0" borderId="0" xfId="0" applyNumberFormat="1" applyFont="1" applyAlignment="1">
      <alignment horizontal="center" vertical="center" wrapText="1"/>
    </xf>
    <xf numFmtId="0" fontId="22" fillId="3" borderId="0" xfId="0" applyFont="1" applyFill="1" applyAlignment="1">
      <alignment horizontal="center" vertical="center" wrapText="1"/>
    </xf>
    <xf numFmtId="170" fontId="21" fillId="4" borderId="0" xfId="0" applyNumberFormat="1" applyFont="1" applyFill="1" applyAlignment="1">
      <alignment horizontal="center" vertical="center" wrapText="1"/>
    </xf>
    <xf numFmtId="0" fontId="70" fillId="4" borderId="0" xfId="0" applyFont="1" applyFill="1" applyAlignment="1">
      <alignment horizontal="center" vertical="center"/>
    </xf>
    <xf numFmtId="0" fontId="21" fillId="18" borderId="0" xfId="0" applyFont="1" applyFill="1" applyAlignment="1">
      <alignment horizontal="center" vertical="center"/>
    </xf>
    <xf numFmtId="0" fontId="44" fillId="0" borderId="0" xfId="150" applyFont="1" applyAlignment="1">
      <alignment horizontal="center"/>
    </xf>
    <xf numFmtId="0" fontId="36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170" fontId="46" fillId="0" borderId="0" xfId="0" applyNumberFormat="1" applyFont="1" applyAlignment="1">
      <alignment horizontal="center" vertical="center"/>
    </xf>
    <xf numFmtId="173" fontId="46" fillId="0" borderId="0" xfId="0" applyNumberFormat="1" applyFont="1" applyAlignment="1">
      <alignment horizontal="center" vertical="center"/>
    </xf>
    <xf numFmtId="170" fontId="45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73" fillId="0" borderId="59" xfId="150" applyFont="1" applyBorder="1" applyAlignment="1">
      <alignment wrapText="1"/>
    </xf>
    <xf numFmtId="0" fontId="73" fillId="0" borderId="20" xfId="150" applyFont="1" applyBorder="1" applyAlignment="1">
      <alignment wrapText="1"/>
    </xf>
    <xf numFmtId="0" fontId="21" fillId="4" borderId="60" xfId="0" applyFont="1" applyFill="1" applyBorder="1" applyAlignment="1">
      <alignment horizontal="left" vertical="center"/>
    </xf>
    <xf numFmtId="0" fontId="21" fillId="4" borderId="27" xfId="0" applyFont="1" applyFill="1" applyBorder="1" applyAlignment="1">
      <alignment horizontal="left" vertical="center"/>
    </xf>
    <xf numFmtId="0" fontId="39" fillId="0" borderId="102" xfId="0" applyFont="1" applyBorder="1"/>
    <xf numFmtId="0" fontId="33" fillId="0" borderId="103" xfId="0" applyFont="1" applyBorder="1"/>
    <xf numFmtId="0" fontId="53" fillId="0" borderId="103" xfId="75" applyNumberFormat="1" applyFont="1" applyBorder="1"/>
    <xf numFmtId="0" fontId="20" fillId="0" borderId="103" xfId="0" applyFont="1" applyBorder="1" applyAlignment="1">
      <alignment vertical="center"/>
    </xf>
    <xf numFmtId="0" fontId="20" fillId="0" borderId="103" xfId="0" applyFont="1" applyBorder="1" applyAlignment="1" applyProtection="1">
      <alignment vertical="center"/>
      <protection locked="0"/>
    </xf>
    <xf numFmtId="0" fontId="20" fillId="0" borderId="104" xfId="0" applyFont="1" applyBorder="1" applyAlignment="1" applyProtection="1">
      <alignment vertical="center"/>
      <protection locked="0"/>
    </xf>
    <xf numFmtId="170" fontId="0" fillId="14" borderId="0" xfId="0" applyNumberFormat="1" applyFill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0" fontId="39" fillId="0" borderId="105" xfId="0" applyFont="1" applyBorder="1"/>
    <xf numFmtId="0" fontId="34" fillId="0" borderId="0" xfId="0" applyFont="1" applyAlignment="1">
      <alignment vertical="center"/>
    </xf>
    <xf numFmtId="0" fontId="20" fillId="0" borderId="106" xfId="0" applyFont="1" applyBorder="1" applyAlignment="1" applyProtection="1">
      <alignment vertical="center"/>
      <protection locked="0"/>
    </xf>
    <xf numFmtId="0" fontId="34" fillId="0" borderId="2" xfId="0" applyFont="1" applyBorder="1" applyAlignment="1">
      <alignment vertical="center"/>
    </xf>
    <xf numFmtId="0" fontId="79" fillId="0" borderId="2" xfId="75" applyNumberFormat="1" applyFont="1" applyBorder="1" applyAlignment="1">
      <alignment horizontal="center" vertical="center"/>
    </xf>
    <xf numFmtId="0" fontId="79" fillId="0" borderId="0" xfId="75" applyNumberFormat="1" applyFont="1"/>
    <xf numFmtId="0" fontId="34" fillId="0" borderId="2" xfId="0" applyFont="1" applyBorder="1" applyAlignment="1">
      <alignment horizontal="center" vertical="center"/>
    </xf>
    <xf numFmtId="2" fontId="0" fillId="14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8" fillId="0" borderId="105" xfId="75" applyNumberFormat="1" applyFont="1" applyBorder="1"/>
    <xf numFmtId="0" fontId="80" fillId="0" borderId="2" xfId="75" applyNumberFormat="1" applyFont="1" applyBorder="1" applyAlignment="1">
      <alignment horizontal="center" vertical="center"/>
    </xf>
    <xf numFmtId="0" fontId="81" fillId="0" borderId="105" xfId="0" applyFont="1" applyBorder="1" applyAlignment="1">
      <alignment vertical="center"/>
    </xf>
    <xf numFmtId="1" fontId="33" fillId="0" borderId="2" xfId="0" applyNumberFormat="1" applyFont="1" applyBorder="1" applyAlignment="1">
      <alignment horizontal="center" vertical="center"/>
    </xf>
    <xf numFmtId="0" fontId="38" fillId="0" borderId="105" xfId="0" applyFont="1" applyBorder="1" applyAlignment="1">
      <alignment vertical="center"/>
    </xf>
    <xf numFmtId="0" fontId="33" fillId="0" borderId="0" xfId="0" applyFont="1" applyAlignment="1">
      <alignment vertical="center"/>
    </xf>
    <xf numFmtId="0" fontId="19" fillId="0" borderId="106" xfId="0" applyFont="1" applyBorder="1" applyAlignment="1" applyProtection="1">
      <alignment vertical="center"/>
      <protection locked="0"/>
    </xf>
    <xf numFmtId="0" fontId="33" fillId="0" borderId="106" xfId="0" applyFont="1" applyBorder="1" applyProtection="1">
      <protection locked="0"/>
    </xf>
    <xf numFmtId="0" fontId="33" fillId="0" borderId="0" xfId="0" applyFont="1" applyProtection="1">
      <protection locked="0"/>
    </xf>
    <xf numFmtId="0" fontId="33" fillId="0" borderId="2" xfId="0" applyFont="1" applyBorder="1" applyAlignment="1" applyProtection="1">
      <alignment horizontal="center" vertical="center"/>
      <protection locked="0"/>
    </xf>
    <xf numFmtId="170" fontId="79" fillId="0" borderId="2" xfId="75" applyNumberFormat="1" applyFont="1" applyBorder="1" applyAlignment="1">
      <alignment horizontal="center" vertical="center"/>
    </xf>
    <xf numFmtId="0" fontId="33" fillId="0" borderId="2" xfId="0" applyFont="1" applyBorder="1" applyAlignment="1" applyProtection="1">
      <alignment horizontal="center"/>
      <protection locked="0"/>
    </xf>
    <xf numFmtId="1" fontId="33" fillId="0" borderId="0" xfId="0" applyNumberFormat="1" applyFont="1" applyAlignment="1">
      <alignment horizontal="center" vertical="center"/>
    </xf>
    <xf numFmtId="0" fontId="39" fillId="0" borderId="107" xfId="0" applyFont="1" applyBorder="1"/>
    <xf numFmtId="0" fontId="33" fillId="0" borderId="101" xfId="0" applyFont="1" applyBorder="1"/>
    <xf numFmtId="0" fontId="33" fillId="0" borderId="101" xfId="0" applyFont="1" applyBorder="1" applyAlignment="1">
      <alignment horizontal="center" vertical="center"/>
    </xf>
    <xf numFmtId="0" fontId="33" fillId="0" borderId="101" xfId="0" applyFont="1" applyBorder="1" applyProtection="1">
      <protection locked="0"/>
    </xf>
    <xf numFmtId="0" fontId="33" fillId="0" borderId="108" xfId="0" applyFont="1" applyBorder="1" applyProtection="1">
      <protection locked="0"/>
    </xf>
    <xf numFmtId="170" fontId="0" fillId="14" borderId="0" xfId="0" applyNumberFormat="1" applyFill="1" applyAlignment="1" applyProtection="1">
      <alignment horizontal="center" vertical="center"/>
      <protection locked="0"/>
    </xf>
    <xf numFmtId="170" fontId="0" fillId="0" borderId="0" xfId="0" applyNumberFormat="1" applyAlignment="1" applyProtection="1">
      <alignment horizontal="center" vertical="center"/>
      <protection locked="0"/>
    </xf>
    <xf numFmtId="16" fontId="36" fillId="3" borderId="10" xfId="0" applyNumberFormat="1" applyFont="1" applyFill="1" applyBorder="1" applyAlignment="1">
      <alignment horizontal="center" vertical="center"/>
    </xf>
    <xf numFmtId="0" fontId="36" fillId="3" borderId="10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center" vertical="center"/>
    </xf>
    <xf numFmtId="170" fontId="59" fillId="0" borderId="12" xfId="0" applyNumberFormat="1" applyFont="1" applyBorder="1" applyAlignment="1">
      <alignment horizontal="center" vertical="center"/>
    </xf>
    <xf numFmtId="1" fontId="61" fillId="4" borderId="12" xfId="0" applyNumberFormat="1" applyFont="1" applyFill="1" applyBorder="1" applyAlignment="1">
      <alignment horizontal="center" vertical="center"/>
    </xf>
    <xf numFmtId="1" fontId="61" fillId="4" borderId="5" xfId="0" applyNumberFormat="1" applyFont="1" applyFill="1" applyBorder="1" applyAlignment="1">
      <alignment horizontal="center" vertical="center"/>
    </xf>
    <xf numFmtId="170" fontId="61" fillId="4" borderId="13" xfId="0" applyNumberFormat="1" applyFont="1" applyFill="1" applyBorder="1" applyAlignment="1">
      <alignment horizontal="center" vertical="center"/>
    </xf>
    <xf numFmtId="1" fontId="59" fillId="0" borderId="9" xfId="0" applyNumberFormat="1" applyFont="1" applyBorder="1" applyAlignment="1">
      <alignment horizontal="center" vertical="center"/>
    </xf>
    <xf numFmtId="0" fontId="42" fillId="4" borderId="10" xfId="0" applyFont="1" applyFill="1" applyBorder="1" applyAlignment="1">
      <alignment horizontal="center" vertical="center"/>
    </xf>
    <xf numFmtId="0" fontId="42" fillId="4" borderId="15" xfId="0" applyFont="1" applyFill="1" applyBorder="1" applyAlignment="1">
      <alignment horizontal="center" vertical="center"/>
    </xf>
    <xf numFmtId="0" fontId="42" fillId="4" borderId="49" xfId="0" applyFont="1" applyFill="1" applyBorder="1" applyAlignment="1">
      <alignment horizontal="center" vertical="center"/>
    </xf>
    <xf numFmtId="1" fontId="21" fillId="18" borderId="0" xfId="0" applyNumberFormat="1" applyFont="1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170" fontId="21" fillId="18" borderId="0" xfId="0" applyNumberFormat="1" applyFont="1" applyFill="1" applyAlignment="1">
      <alignment horizontal="center" vertical="center"/>
    </xf>
    <xf numFmtId="0" fontId="42" fillId="3" borderId="0" xfId="0" applyFont="1" applyFill="1" applyAlignment="1">
      <alignment horizontal="center" vertical="center"/>
    </xf>
    <xf numFmtId="187" fontId="21" fillId="0" borderId="0" xfId="0" applyNumberFormat="1" applyFont="1" applyAlignment="1">
      <alignment horizontal="left"/>
    </xf>
    <xf numFmtId="0" fontId="51" fillId="0" borderId="0" xfId="0" applyFont="1" applyAlignment="1">
      <alignment horizontal="left" vertical="center"/>
    </xf>
    <xf numFmtId="190" fontId="21" fillId="0" borderId="0" xfId="0" applyNumberFormat="1" applyFont="1" applyAlignment="1">
      <alignment horizontal="left" vertical="center"/>
    </xf>
    <xf numFmtId="0" fontId="64" fillId="4" borderId="0" xfId="197" applyFont="1" applyFill="1" applyAlignment="1">
      <alignment horizontal="center" vertical="center" wrapText="1"/>
    </xf>
    <xf numFmtId="0" fontId="41" fillId="0" borderId="11" xfId="0" applyFont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39" fillId="0" borderId="0" xfId="0" applyFont="1"/>
    <xf numFmtId="0" fontId="80" fillId="0" borderId="0" xfId="75" applyNumberFormat="1" applyFont="1" applyAlignment="1">
      <alignment horizontal="center" vertical="center"/>
    </xf>
    <xf numFmtId="0" fontId="63" fillId="0" borderId="11" xfId="0" applyFont="1" applyBorder="1" applyAlignment="1">
      <alignment horizontal="center" vertical="center" wrapText="1"/>
    </xf>
    <xf numFmtId="0" fontId="62" fillId="0" borderId="11" xfId="149" applyFont="1" applyBorder="1" applyAlignment="1">
      <alignment horizontal="left" vertical="center" wrapText="1"/>
    </xf>
    <xf numFmtId="0" fontId="84" fillId="0" borderId="0" xfId="0" applyFont="1" applyAlignment="1">
      <alignment horizontal="center"/>
    </xf>
    <xf numFmtId="171" fontId="33" fillId="0" borderId="0" xfId="0" applyNumberFormat="1" applyFont="1" applyAlignment="1">
      <alignment horizontal="center"/>
    </xf>
    <xf numFmtId="170" fontId="59" fillId="0" borderId="14" xfId="0" applyNumberFormat="1" applyFont="1" applyBorder="1" applyAlignment="1">
      <alignment horizontal="center" vertical="center"/>
    </xf>
    <xf numFmtId="0" fontId="86" fillId="12" borderId="0" xfId="75" applyNumberFormat="1" applyFont="1" applyFill="1" applyAlignment="1">
      <alignment horizontal="center"/>
    </xf>
    <xf numFmtId="0" fontId="86" fillId="13" borderId="0" xfId="75" applyNumberFormat="1" applyFont="1" applyFill="1" applyAlignment="1">
      <alignment horizontal="center"/>
    </xf>
    <xf numFmtId="0" fontId="86" fillId="0" borderId="0" xfId="75" applyNumberFormat="1" applyFont="1" applyAlignment="1">
      <alignment horizontal="center"/>
    </xf>
    <xf numFmtId="0" fontId="86" fillId="0" borderId="0" xfId="75" applyNumberFormat="1" applyFont="1" applyAlignment="1">
      <alignment horizontal="center" vertical="center"/>
    </xf>
    <xf numFmtId="1" fontId="22" fillId="0" borderId="0" xfId="0" applyNumberFormat="1" applyFont="1" applyAlignment="1">
      <alignment horizontal="center" vertical="center"/>
    </xf>
    <xf numFmtId="170" fontId="21" fillId="0" borderId="0" xfId="0" applyNumberFormat="1" applyFont="1" applyAlignment="1">
      <alignment horizontal="center" vertical="center"/>
    </xf>
    <xf numFmtId="173" fontId="21" fillId="0" borderId="0" xfId="0" applyNumberFormat="1" applyFont="1" applyAlignment="1">
      <alignment horizontal="center" vertical="center"/>
    </xf>
    <xf numFmtId="170" fontId="51" fillId="0" borderId="0" xfId="0" applyNumberFormat="1" applyFont="1" applyAlignment="1">
      <alignment horizontal="center" vertical="center"/>
    </xf>
    <xf numFmtId="170" fontId="19" fillId="0" borderId="0" xfId="0" applyNumberFormat="1" applyFont="1" applyAlignment="1">
      <alignment vertical="center"/>
    </xf>
    <xf numFmtId="0" fontId="52" fillId="4" borderId="0" xfId="0" applyFont="1" applyFill="1" applyAlignment="1">
      <alignment horizontal="center" vertical="center"/>
    </xf>
    <xf numFmtId="1" fontId="52" fillId="4" borderId="0" xfId="0" applyNumberFormat="1" applyFont="1" applyFill="1" applyAlignment="1">
      <alignment horizontal="center" vertical="center"/>
    </xf>
    <xf numFmtId="170" fontId="52" fillId="4" borderId="0" xfId="0" applyNumberFormat="1" applyFont="1" applyFill="1" applyAlignment="1">
      <alignment horizontal="center" vertical="center"/>
    </xf>
    <xf numFmtId="0" fontId="33" fillId="0" borderId="0" xfId="0" applyFont="1" applyAlignment="1">
      <alignment horizontal="center"/>
    </xf>
    <xf numFmtId="0" fontId="0" fillId="2" borderId="0" xfId="0" applyFill="1" applyAlignment="1">
      <alignment horizontal="center" vertical="center"/>
    </xf>
    <xf numFmtId="2" fontId="60" fillId="0" borderId="0" xfId="125" applyNumberFormat="1" applyFont="1" applyBorder="1" applyAlignment="1" applyProtection="1">
      <alignment horizontal="center" vertical="center" wrapText="1"/>
    </xf>
    <xf numFmtId="0" fontId="36" fillId="0" borderId="0" xfId="0" applyFont="1" applyAlignment="1">
      <alignment horizontal="center" vertical="center"/>
    </xf>
    <xf numFmtId="170" fontId="59" fillId="0" borderId="0" xfId="0" applyNumberFormat="1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170" fontId="74" fillId="0" borderId="23" xfId="0" applyNumberFormat="1" applyFont="1" applyBorder="1" applyAlignment="1">
      <alignment horizontal="center" vertical="center"/>
    </xf>
    <xf numFmtId="173" fontId="74" fillId="0" borderId="117" xfId="0" applyNumberFormat="1" applyFont="1" applyBorder="1" applyAlignment="1">
      <alignment horizontal="center" vertical="center"/>
    </xf>
    <xf numFmtId="170" fontId="47" fillId="0" borderId="23" xfId="0" applyNumberFormat="1" applyFont="1" applyBorder="1" applyAlignment="1">
      <alignment horizontal="center" vertical="center"/>
    </xf>
    <xf numFmtId="173" fontId="47" fillId="0" borderId="117" xfId="0" applyNumberFormat="1" applyFont="1" applyBorder="1" applyAlignment="1">
      <alignment horizontal="center" vertical="center"/>
    </xf>
    <xf numFmtId="170" fontId="74" fillId="19" borderId="24" xfId="0" applyNumberFormat="1" applyFont="1" applyFill="1" applyBorder="1" applyAlignment="1">
      <alignment horizontal="center" vertical="center"/>
    </xf>
    <xf numFmtId="173" fontId="74" fillId="0" borderId="118" xfId="0" applyNumberFormat="1" applyFont="1" applyBorder="1" applyAlignment="1">
      <alignment horizontal="center" vertical="center"/>
    </xf>
    <xf numFmtId="0" fontId="45" fillId="0" borderId="23" xfId="0" applyFont="1" applyBorder="1" applyAlignment="1">
      <alignment horizontal="center" vertical="center"/>
    </xf>
    <xf numFmtId="0" fontId="45" fillId="0" borderId="117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2" fontId="34" fillId="0" borderId="2" xfId="0" applyNumberFormat="1" applyFont="1" applyBorder="1" applyAlignment="1">
      <alignment horizontal="center" vertical="center"/>
    </xf>
    <xf numFmtId="0" fontId="91" fillId="0" borderId="0" xfId="0" applyFont="1" applyProtection="1">
      <protection locked="0"/>
    </xf>
    <xf numFmtId="0" fontId="22" fillId="0" borderId="0" xfId="0" applyFont="1" applyAlignment="1">
      <alignment horizontal="left" vertical="center"/>
    </xf>
    <xf numFmtId="1" fontId="21" fillId="0" borderId="0" xfId="0" applyNumberFormat="1" applyFont="1" applyAlignment="1">
      <alignment horizontal="center" vertical="center"/>
    </xf>
    <xf numFmtId="0" fontId="49" fillId="0" borderId="0" xfId="149" applyFont="1" applyAlignment="1">
      <alignment horizontal="center" wrapText="1"/>
    </xf>
    <xf numFmtId="1" fontId="21" fillId="0" borderId="0" xfId="0" applyNumberFormat="1" applyFont="1" applyAlignment="1">
      <alignment horizontal="center" vertical="center" wrapText="1"/>
    </xf>
    <xf numFmtId="12" fontId="21" fillId="0" borderId="0" xfId="0" applyNumberFormat="1" applyFont="1" applyAlignment="1">
      <alignment horizontal="left" vertical="center"/>
    </xf>
    <xf numFmtId="12" fontId="21" fillId="0" borderId="0" xfId="0" applyNumberFormat="1" applyFont="1" applyAlignment="1">
      <alignment horizontal="center" vertical="center"/>
    </xf>
    <xf numFmtId="189" fontId="20" fillId="0" borderId="0" xfId="0" applyNumberFormat="1" applyFont="1" applyAlignment="1">
      <alignment horizontal="center" vertical="center"/>
    </xf>
    <xf numFmtId="12" fontId="22" fillId="0" borderId="0" xfId="0" applyNumberFormat="1" applyFont="1" applyAlignment="1">
      <alignment vertical="center"/>
    </xf>
    <xf numFmtId="0" fontId="53" fillId="6" borderId="0" xfId="75" applyNumberFormat="1" applyFont="1" applyFill="1" applyAlignment="1">
      <alignment horizontal="center"/>
    </xf>
    <xf numFmtId="12" fontId="21" fillId="0" borderId="0" xfId="0" applyNumberFormat="1" applyFont="1" applyAlignment="1">
      <alignment vertical="center"/>
    </xf>
    <xf numFmtId="0" fontId="53" fillId="0" borderId="0" xfId="75" applyNumberFormat="1" applyFont="1"/>
    <xf numFmtId="1" fontId="21" fillId="0" borderId="0" xfId="0" applyNumberFormat="1" applyFont="1" applyAlignment="1">
      <alignment horizontal="left" vertical="center"/>
    </xf>
    <xf numFmtId="170" fontId="22" fillId="0" borderId="0" xfId="0" applyNumberFormat="1" applyFont="1" applyAlignment="1">
      <alignment horizontal="center" vertical="center"/>
    </xf>
    <xf numFmtId="0" fontId="55" fillId="6" borderId="0" xfId="75" applyNumberFormat="1" applyFont="1" applyFill="1"/>
    <xf numFmtId="2" fontId="53" fillId="0" borderId="0" xfId="75" applyNumberFormat="1" applyFont="1" applyAlignment="1">
      <alignment horizontal="center"/>
    </xf>
    <xf numFmtId="188" fontId="21" fillId="0" borderId="0" xfId="0" applyNumberFormat="1" applyFont="1" applyAlignment="1">
      <alignment horizontal="left" vertical="center"/>
    </xf>
    <xf numFmtId="170" fontId="53" fillId="0" borderId="0" xfId="75" applyNumberFormat="1" applyFont="1" applyAlignment="1">
      <alignment horizontal="center"/>
    </xf>
    <xf numFmtId="0" fontId="54" fillId="0" borderId="0" xfId="75" applyNumberFormat="1" applyFont="1" applyAlignment="1">
      <alignment horizontal="center" wrapText="1"/>
    </xf>
    <xf numFmtId="0" fontId="53" fillId="0" borderId="0" xfId="75" applyNumberFormat="1" applyFont="1" applyAlignment="1">
      <alignment horizontal="left"/>
    </xf>
    <xf numFmtId="173" fontId="53" fillId="0" borderId="0" xfId="75" applyNumberFormat="1" applyFont="1" applyAlignment="1">
      <alignment horizontal="center"/>
    </xf>
    <xf numFmtId="0" fontId="57" fillId="6" borderId="0" xfId="75" applyNumberFormat="1" applyFont="1" applyFill="1" applyAlignment="1">
      <alignment horizontal="center"/>
    </xf>
    <xf numFmtId="0" fontId="53" fillId="0" borderId="0" xfId="75" applyNumberFormat="1" applyFont="1" applyAlignment="1">
      <alignment horizontal="center"/>
    </xf>
    <xf numFmtId="1" fontId="53" fillId="0" borderId="0" xfId="75" applyFont="1" applyAlignment="1">
      <alignment horizontal="center"/>
    </xf>
    <xf numFmtId="0" fontId="40" fillId="7" borderId="0" xfId="75" applyNumberFormat="1" applyFont="1" applyFill="1"/>
    <xf numFmtId="0" fontId="53" fillId="5" borderId="0" xfId="75" applyNumberFormat="1" applyFont="1" applyFill="1"/>
    <xf numFmtId="0" fontId="56" fillId="7" borderId="0" xfId="75" applyNumberFormat="1" applyFont="1" applyFill="1" applyAlignment="1">
      <alignment vertical="center" wrapText="1"/>
    </xf>
    <xf numFmtId="0" fontId="55" fillId="5" borderId="0" xfId="75" applyNumberFormat="1" applyFont="1" applyFill="1"/>
    <xf numFmtId="0" fontId="57" fillId="8" borderId="0" xfId="75" applyNumberFormat="1" applyFont="1" applyFill="1" applyAlignment="1">
      <alignment vertical="center" wrapText="1"/>
    </xf>
    <xf numFmtId="0" fontId="53" fillId="8" borderId="0" xfId="75" applyNumberFormat="1" applyFont="1" applyFill="1"/>
    <xf numFmtId="0" fontId="53" fillId="9" borderId="0" xfId="75" applyNumberFormat="1" applyFont="1" applyFill="1"/>
    <xf numFmtId="0" fontId="53" fillId="4" borderId="0" xfId="75" applyNumberFormat="1" applyFont="1" applyFill="1" applyAlignment="1">
      <alignment horizontal="center"/>
    </xf>
    <xf numFmtId="0" fontId="53" fillId="10" borderId="0" xfId="75" applyNumberFormat="1" applyFont="1" applyFill="1"/>
    <xf numFmtId="0" fontId="53" fillId="4" borderId="0" xfId="75" applyNumberFormat="1" applyFont="1" applyFill="1"/>
    <xf numFmtId="10" fontId="22" fillId="4" borderId="0" xfId="0" applyNumberFormat="1" applyFont="1" applyFill="1" applyAlignment="1">
      <alignment horizontal="center" vertical="center"/>
    </xf>
    <xf numFmtId="173" fontId="21" fillId="4" borderId="0" xfId="0" applyNumberFormat="1" applyFont="1" applyFill="1" applyAlignment="1">
      <alignment horizontal="center" vertical="center" wrapText="1"/>
    </xf>
    <xf numFmtId="1" fontId="21" fillId="4" borderId="0" xfId="0" applyNumberFormat="1" applyFont="1" applyFill="1" applyAlignment="1">
      <alignment horizontal="center" vertical="center" wrapText="1"/>
    </xf>
    <xf numFmtId="173" fontId="21" fillId="4" borderId="0" xfId="0" applyNumberFormat="1" applyFont="1" applyFill="1" applyAlignment="1">
      <alignment horizontal="center" vertical="center"/>
    </xf>
    <xf numFmtId="0" fontId="66" fillId="0" borderId="0" xfId="0" applyFont="1"/>
    <xf numFmtId="12" fontId="21" fillId="0" borderId="0" xfId="0" applyNumberFormat="1" applyFont="1" applyAlignment="1">
      <alignment horizontal="left" vertical="center" wrapText="1"/>
    </xf>
    <xf numFmtId="12" fontId="21" fillId="0" borderId="0" xfId="0" applyNumberFormat="1" applyFont="1" applyAlignment="1">
      <alignment horizontal="center" vertical="center" wrapText="1"/>
    </xf>
    <xf numFmtId="12" fontId="31" fillId="0" borderId="0" xfId="0" applyNumberFormat="1" applyFont="1" applyAlignment="1">
      <alignment horizontal="left" vertical="center"/>
    </xf>
    <xf numFmtId="0" fontId="21" fillId="4" borderId="60" xfId="0" applyFont="1" applyFill="1" applyBorder="1" applyAlignment="1">
      <alignment vertical="center"/>
    </xf>
    <xf numFmtId="0" fontId="21" fillId="4" borderId="27" xfId="0" applyFont="1" applyFill="1" applyBorder="1" applyAlignment="1">
      <alignment vertical="center"/>
    </xf>
    <xf numFmtId="0" fontId="91" fillId="0" borderId="0" xfId="0" applyFont="1"/>
    <xf numFmtId="0" fontId="70" fillId="0" borderId="0" xfId="149" applyFont="1" applyAlignment="1">
      <alignment horizontal="left" vertical="center" wrapText="1"/>
    </xf>
    <xf numFmtId="0" fontId="91" fillId="0" borderId="11" xfId="0" applyFont="1" applyBorder="1"/>
    <xf numFmtId="0" fontId="91" fillId="0" borderId="15" xfId="0" applyFont="1" applyBorder="1"/>
    <xf numFmtId="187" fontId="68" fillId="0" borderId="0" xfId="0" applyNumberFormat="1" applyFont="1" applyAlignment="1">
      <alignment horizontal="left" vertical="center"/>
    </xf>
    <xf numFmtId="0" fontId="91" fillId="0" borderId="5" xfId="0" applyFont="1" applyBorder="1" applyProtection="1">
      <protection locked="0"/>
    </xf>
    <xf numFmtId="0" fontId="91" fillId="0" borderId="13" xfId="0" applyFont="1" applyBorder="1"/>
    <xf numFmtId="190" fontId="68" fillId="0" borderId="0" xfId="0" applyNumberFormat="1" applyFont="1" applyAlignment="1">
      <alignment horizontal="left" vertical="center"/>
    </xf>
    <xf numFmtId="0" fontId="68" fillId="0" borderId="0" xfId="0" applyFont="1" applyAlignment="1">
      <alignment horizontal="left" vertical="center" wrapText="1"/>
    </xf>
    <xf numFmtId="0" fontId="91" fillId="0" borderId="0" xfId="0" applyFont="1" applyAlignment="1">
      <alignment horizontal="center" vertical="center"/>
    </xf>
    <xf numFmtId="0" fontId="91" fillId="0" borderId="11" xfId="0" applyFont="1" applyBorder="1" applyAlignment="1">
      <alignment horizontal="center" vertical="center"/>
    </xf>
    <xf numFmtId="0" fontId="68" fillId="4" borderId="11" xfId="0" applyFont="1" applyFill="1" applyBorder="1" applyAlignment="1">
      <alignment horizontal="center" vertical="center"/>
    </xf>
    <xf numFmtId="0" fontId="72" fillId="4" borderId="11" xfId="195" applyFont="1" applyFill="1" applyBorder="1" applyAlignment="1">
      <alignment horizontal="center" vertical="center" wrapText="1"/>
    </xf>
    <xf numFmtId="0" fontId="72" fillId="4" borderId="0" xfId="195" applyFont="1" applyFill="1" applyAlignment="1">
      <alignment horizontal="center" vertical="center" wrapText="1"/>
    </xf>
    <xf numFmtId="0" fontId="68" fillId="4" borderId="11" xfId="195" applyFont="1" applyFill="1" applyBorder="1" applyAlignment="1">
      <alignment horizontal="center" vertical="center" wrapText="1"/>
    </xf>
    <xf numFmtId="0" fontId="68" fillId="4" borderId="0" xfId="195" applyFont="1" applyFill="1" applyAlignment="1">
      <alignment horizontal="center" vertical="center" wrapText="1"/>
    </xf>
    <xf numFmtId="0" fontId="72" fillId="15" borderId="11" xfId="195" applyFont="1" applyFill="1" applyBorder="1" applyAlignment="1">
      <alignment horizontal="center" vertical="center" wrapText="1"/>
    </xf>
    <xf numFmtId="0" fontId="72" fillId="15" borderId="0" xfId="195" applyFont="1" applyFill="1" applyAlignment="1">
      <alignment horizontal="center" vertical="center" wrapText="1"/>
    </xf>
    <xf numFmtId="170" fontId="68" fillId="4" borderId="11" xfId="195" applyNumberFormat="1" applyFont="1" applyFill="1" applyBorder="1" applyAlignment="1">
      <alignment horizontal="center" vertical="center" wrapText="1"/>
    </xf>
    <xf numFmtId="170" fontId="68" fillId="4" borderId="0" xfId="195" applyNumberFormat="1" applyFont="1" applyFill="1" applyAlignment="1">
      <alignment horizontal="center" vertical="center" wrapText="1"/>
    </xf>
    <xf numFmtId="1" fontId="68" fillId="4" borderId="11" xfId="195" applyNumberFormat="1" applyFont="1" applyFill="1" applyBorder="1" applyAlignment="1">
      <alignment horizontal="center" vertical="center" wrapText="1"/>
    </xf>
    <xf numFmtId="1" fontId="68" fillId="4" borderId="0" xfId="195" applyNumberFormat="1" applyFont="1" applyFill="1" applyAlignment="1">
      <alignment horizontal="center" vertical="center" wrapText="1"/>
    </xf>
    <xf numFmtId="0" fontId="72" fillId="15" borderId="12" xfId="195" applyFont="1" applyFill="1" applyBorder="1" applyAlignment="1">
      <alignment horizontal="center" vertical="center" wrapText="1"/>
    </xf>
    <xf numFmtId="0" fontId="72" fillId="15" borderId="5" xfId="195" applyFont="1" applyFill="1" applyBorder="1" applyAlignment="1">
      <alignment horizontal="center" vertical="center" wrapText="1"/>
    </xf>
    <xf numFmtId="0" fontId="91" fillId="0" borderId="14" xfId="0" applyFont="1" applyBorder="1" applyAlignment="1">
      <alignment horizontal="center"/>
    </xf>
    <xf numFmtId="0" fontId="91" fillId="0" borderId="15" xfId="0" applyFont="1" applyBorder="1" applyAlignment="1">
      <alignment horizontal="center"/>
    </xf>
    <xf numFmtId="0" fontId="91" fillId="0" borderId="13" xfId="0" applyFont="1" applyBorder="1" applyAlignment="1">
      <alignment horizontal="center"/>
    </xf>
    <xf numFmtId="171" fontId="61" fillId="0" borderId="10" xfId="0" applyNumberFormat="1" applyFont="1" applyBorder="1" applyAlignment="1">
      <alignment horizontal="center" vertical="center"/>
    </xf>
    <xf numFmtId="0" fontId="89" fillId="0" borderId="0" xfId="82" applyFont="1"/>
    <xf numFmtId="0" fontId="60" fillId="0" borderId="0" xfId="0" applyFont="1" applyAlignment="1">
      <alignment horizontal="center" vertical="center"/>
    </xf>
    <xf numFmtId="0" fontId="60" fillId="0" borderId="130" xfId="0" applyFont="1" applyBorder="1" applyAlignment="1">
      <alignment horizontal="center" vertical="center" wrapText="1"/>
    </xf>
    <xf numFmtId="171" fontId="91" fillId="0" borderId="131" xfId="0" applyNumberFormat="1" applyFont="1" applyBorder="1" applyAlignment="1">
      <alignment horizontal="center"/>
    </xf>
    <xf numFmtId="170" fontId="91" fillId="0" borderId="125" xfId="0" applyNumberFormat="1" applyFont="1" applyBorder="1" applyAlignment="1">
      <alignment horizontal="center"/>
    </xf>
    <xf numFmtId="170" fontId="91" fillId="0" borderId="11" xfId="0" applyNumberFormat="1" applyFont="1" applyBorder="1" applyAlignment="1">
      <alignment horizontal="center"/>
    </xf>
    <xf numFmtId="170" fontId="91" fillId="0" borderId="126" xfId="0" applyNumberFormat="1" applyFont="1" applyBorder="1" applyAlignment="1">
      <alignment horizontal="center"/>
    </xf>
    <xf numFmtId="170" fontId="91" fillId="0" borderId="134" xfId="0" applyNumberFormat="1" applyFont="1" applyBorder="1" applyAlignment="1">
      <alignment horizontal="center"/>
    </xf>
    <xf numFmtId="0" fontId="89" fillId="0" borderId="0" xfId="0" applyFont="1" applyAlignment="1">
      <alignment vertical="center"/>
    </xf>
    <xf numFmtId="0" fontId="91" fillId="0" borderId="2" xfId="0" applyFont="1" applyBorder="1" applyAlignment="1" applyProtection="1">
      <alignment horizontal="center" vertical="center"/>
      <protection locked="0"/>
    </xf>
    <xf numFmtId="0" fontId="91" fillId="0" borderId="124" xfId="0" applyFont="1" applyBorder="1" applyAlignment="1" applyProtection="1">
      <alignment horizontal="center" vertical="center"/>
      <protection locked="0"/>
    </xf>
    <xf numFmtId="0" fontId="91" fillId="0" borderId="128" xfId="0" applyFont="1" applyBorder="1" applyAlignment="1" applyProtection="1">
      <alignment horizontal="center" vertical="center"/>
      <protection locked="0"/>
    </xf>
    <xf numFmtId="0" fontId="91" fillId="0" borderId="129" xfId="0" applyFont="1" applyBorder="1" applyAlignment="1" applyProtection="1">
      <alignment horizontal="center" vertical="center"/>
      <protection locked="0"/>
    </xf>
    <xf numFmtId="173" fontId="68" fillId="0" borderId="0" xfId="0" applyNumberFormat="1" applyFont="1" applyAlignment="1">
      <alignment horizontal="center" vertical="center"/>
    </xf>
    <xf numFmtId="173" fontId="72" fillId="0" borderId="0" xfId="0" applyNumberFormat="1" applyFont="1" applyAlignment="1">
      <alignment horizontal="center" vertical="center"/>
    </xf>
    <xf numFmtId="170" fontId="68" fillId="0" borderId="0" xfId="0" applyNumberFormat="1" applyFont="1" applyAlignment="1">
      <alignment horizontal="center" vertical="center"/>
    </xf>
    <xf numFmtId="170" fontId="72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center" vertical="center" wrapText="1"/>
    </xf>
    <xf numFmtId="0" fontId="93" fillId="0" borderId="0" xfId="0" applyFont="1" applyAlignment="1">
      <alignment horizontal="center" vertical="center"/>
    </xf>
    <xf numFmtId="170" fontId="68" fillId="4" borderId="0" xfId="0" applyNumberFormat="1" applyFont="1" applyFill="1" applyAlignment="1">
      <alignment horizontal="center" vertical="center"/>
    </xf>
    <xf numFmtId="0" fontId="68" fillId="4" borderId="0" xfId="0" applyFont="1" applyFill="1" applyAlignment="1">
      <alignment horizontal="center" vertical="center"/>
    </xf>
    <xf numFmtId="0" fontId="91" fillId="0" borderId="0" xfId="0" applyFont="1" applyAlignment="1" applyProtection="1">
      <alignment horizontal="center"/>
      <protection locked="0"/>
    </xf>
    <xf numFmtId="1" fontId="68" fillId="4" borderId="0" xfId="0" applyNumberFormat="1" applyFont="1" applyFill="1" applyAlignment="1">
      <alignment horizontal="center" vertical="center"/>
    </xf>
    <xf numFmtId="0" fontId="70" fillId="0" borderId="23" xfId="0" applyFont="1" applyBorder="1" applyAlignment="1">
      <alignment horizontal="left" vertical="center" wrapText="1"/>
    </xf>
    <xf numFmtId="2" fontId="89" fillId="0" borderId="117" xfId="0" applyNumberFormat="1" applyFont="1" applyBorder="1" applyAlignment="1">
      <alignment horizontal="center" vertical="center"/>
    </xf>
    <xf numFmtId="12" fontId="68" fillId="0" borderId="24" xfId="0" applyNumberFormat="1" applyFont="1" applyBorder="1" applyAlignment="1">
      <alignment horizontal="left" vertical="center"/>
    </xf>
    <xf numFmtId="4" fontId="89" fillId="0" borderId="118" xfId="0" applyNumberFormat="1" applyFont="1" applyBorder="1" applyAlignment="1">
      <alignment horizontal="center" vertical="center"/>
    </xf>
    <xf numFmtId="12" fontId="68" fillId="0" borderId="0" xfId="0" applyNumberFormat="1" applyFont="1" applyAlignment="1">
      <alignment horizontal="left" vertical="center"/>
    </xf>
    <xf numFmtId="12" fontId="68" fillId="0" borderId="0" xfId="0" applyNumberFormat="1" applyFont="1" applyAlignment="1">
      <alignment horizontal="center" vertical="center"/>
    </xf>
    <xf numFmtId="188" fontId="89" fillId="0" borderId="0" xfId="0" applyNumberFormat="1" applyFont="1" applyAlignment="1">
      <alignment horizontal="center" vertical="center"/>
    </xf>
    <xf numFmtId="0" fontId="89" fillId="0" borderId="22" xfId="75" applyNumberFormat="1" applyFont="1" applyBorder="1" applyAlignment="1">
      <alignment horizontal="center" vertical="center"/>
    </xf>
    <xf numFmtId="0" fontId="89" fillId="0" borderId="17" xfId="75" applyNumberFormat="1" applyFont="1" applyBorder="1" applyAlignment="1">
      <alignment horizontal="center" vertical="center" wrapText="1"/>
    </xf>
    <xf numFmtId="170" fontId="89" fillId="0" borderId="116" xfId="75" applyNumberFormat="1" applyFont="1" applyBorder="1" applyAlignment="1">
      <alignment horizontal="center" vertical="center" wrapText="1"/>
    </xf>
    <xf numFmtId="0" fontId="89" fillId="0" borderId="23" xfId="75" applyNumberFormat="1" applyFont="1" applyBorder="1" applyAlignment="1">
      <alignment horizontal="center"/>
    </xf>
    <xf numFmtId="0" fontId="89" fillId="7" borderId="0" xfId="75" applyNumberFormat="1" applyFont="1" applyFill="1" applyAlignment="1">
      <alignment horizontal="center"/>
    </xf>
    <xf numFmtId="0" fontId="89" fillId="0" borderId="0" xfId="75" applyNumberFormat="1" applyFont="1" applyAlignment="1">
      <alignment horizontal="center" vertical="center"/>
    </xf>
    <xf numFmtId="170" fontId="89" fillId="0" borderId="0" xfId="75" applyNumberFormat="1" applyFont="1" applyAlignment="1">
      <alignment horizontal="center" vertical="center"/>
    </xf>
    <xf numFmtId="0" fontId="91" fillId="0" borderId="0" xfId="75" applyNumberFormat="1" applyFont="1" applyAlignment="1">
      <alignment horizontal="left"/>
    </xf>
    <xf numFmtId="170" fontId="89" fillId="0" borderId="117" xfId="75" applyNumberFormat="1" applyFont="1" applyBorder="1" applyAlignment="1">
      <alignment horizontal="center" vertical="center"/>
    </xf>
    <xf numFmtId="0" fontId="89" fillId="0" borderId="23" xfId="75" applyNumberFormat="1" applyFont="1" applyBorder="1" applyAlignment="1">
      <alignment horizontal="center" vertical="center"/>
    </xf>
    <xf numFmtId="0" fontId="82" fillId="7" borderId="0" xfId="75" applyNumberFormat="1" applyFont="1" applyFill="1" applyAlignment="1">
      <alignment horizontal="center" vertical="center" wrapText="1"/>
    </xf>
    <xf numFmtId="1" fontId="89" fillId="0" borderId="0" xfId="75" applyFont="1" applyAlignment="1">
      <alignment horizontal="center" vertical="center"/>
    </xf>
    <xf numFmtId="0" fontId="91" fillId="0" borderId="0" xfId="0" applyFont="1" applyAlignment="1" applyProtection="1">
      <alignment horizontal="left"/>
      <protection locked="0"/>
    </xf>
    <xf numFmtId="173" fontId="89" fillId="0" borderId="117" xfId="75" applyNumberFormat="1" applyFont="1" applyBorder="1" applyAlignment="1">
      <alignment horizontal="center"/>
    </xf>
    <xf numFmtId="0" fontId="89" fillId="8" borderId="0" xfId="75" applyNumberFormat="1" applyFont="1" applyFill="1" applyAlignment="1">
      <alignment horizontal="center" vertical="center"/>
    </xf>
    <xf numFmtId="2" fontId="89" fillId="0" borderId="117" xfId="75" applyNumberFormat="1" applyFont="1" applyBorder="1" applyAlignment="1">
      <alignment horizontal="center"/>
    </xf>
    <xf numFmtId="0" fontId="89" fillId="9" borderId="0" xfId="75" applyNumberFormat="1" applyFont="1" applyFill="1" applyAlignment="1">
      <alignment horizontal="center" vertical="center"/>
    </xf>
    <xf numFmtId="0" fontId="89" fillId="10" borderId="0" xfId="75" applyNumberFormat="1" applyFont="1" applyFill="1" applyAlignment="1">
      <alignment horizontal="center" vertical="center"/>
    </xf>
    <xf numFmtId="0" fontId="89" fillId="11" borderId="0" xfId="75" applyNumberFormat="1" applyFont="1" applyFill="1" applyAlignment="1">
      <alignment horizontal="center" vertical="center"/>
    </xf>
    <xf numFmtId="0" fontId="89" fillId="12" borderId="0" xfId="75" applyNumberFormat="1" applyFont="1" applyFill="1" applyAlignment="1">
      <alignment horizontal="center" vertical="center"/>
    </xf>
    <xf numFmtId="0" fontId="89" fillId="13" borderId="0" xfId="75" applyNumberFormat="1" applyFont="1" applyFill="1" applyAlignment="1">
      <alignment horizontal="center" vertical="center"/>
    </xf>
    <xf numFmtId="0" fontId="89" fillId="0" borderId="0" xfId="75" applyNumberFormat="1" applyFont="1" applyAlignment="1">
      <alignment horizontal="center"/>
    </xf>
    <xf numFmtId="0" fontId="89" fillId="0" borderId="118" xfId="75" applyNumberFormat="1" applyFont="1" applyBorder="1" applyAlignment="1">
      <alignment horizontal="left"/>
    </xf>
    <xf numFmtId="0" fontId="70" fillId="0" borderId="0" xfId="149" applyFont="1" applyAlignment="1">
      <alignment horizontal="center" wrapText="1"/>
    </xf>
    <xf numFmtId="0" fontId="70" fillId="0" borderId="0" xfId="151" applyFont="1" applyAlignment="1">
      <alignment horizontal="center" vertical="top" wrapText="1"/>
    </xf>
    <xf numFmtId="0" fontId="95" fillId="0" borderId="0" xfId="0" applyFont="1" applyAlignment="1">
      <alignment horizontal="center" vertical="center"/>
    </xf>
    <xf numFmtId="187" fontId="68" fillId="0" borderId="0" xfId="0" applyNumberFormat="1" applyFont="1" applyAlignment="1">
      <alignment horizontal="left"/>
    </xf>
    <xf numFmtId="0" fontId="61" fillId="3" borderId="0" xfId="0" applyFont="1" applyFill="1" applyAlignment="1">
      <alignment horizontal="center" vertical="center"/>
    </xf>
    <xf numFmtId="0" fontId="100" fillId="0" borderId="0" xfId="0" applyFont="1" applyAlignment="1">
      <alignment horizontal="center" vertical="center" wrapText="1"/>
    </xf>
    <xf numFmtId="0" fontId="91" fillId="0" borderId="0" xfId="0" applyFont="1" applyAlignment="1">
      <alignment horizontal="center"/>
    </xf>
    <xf numFmtId="0" fontId="91" fillId="16" borderId="0" xfId="0" applyFont="1" applyFill="1" applyAlignment="1">
      <alignment horizontal="center"/>
    </xf>
    <xf numFmtId="171" fontId="61" fillId="0" borderId="0" xfId="0" applyNumberFormat="1" applyFont="1" applyAlignment="1">
      <alignment vertical="center"/>
    </xf>
    <xf numFmtId="0" fontId="60" fillId="0" borderId="0" xfId="0" applyFont="1" applyAlignment="1">
      <alignment horizontal="center" vertical="center" wrapText="1"/>
    </xf>
    <xf numFmtId="171" fontId="91" fillId="0" borderId="0" xfId="0" applyNumberFormat="1" applyFont="1" applyAlignment="1">
      <alignment horizontal="center"/>
    </xf>
    <xf numFmtId="0" fontId="97" fillId="0" borderId="0" xfId="0" applyFont="1" applyAlignment="1">
      <alignment horizontal="center" vertical="center" wrapText="1"/>
    </xf>
    <xf numFmtId="0" fontId="61" fillId="0" borderId="0" xfId="0" applyFont="1" applyAlignment="1">
      <alignment vertical="center"/>
    </xf>
    <xf numFmtId="16" fontId="60" fillId="0" borderId="0" xfId="0" applyNumberFormat="1" applyFont="1" applyAlignment="1">
      <alignment horizontal="center" vertical="center"/>
    </xf>
    <xf numFmtId="0" fontId="61" fillId="0" borderId="0" xfId="0" applyFont="1" applyAlignment="1">
      <alignment vertical="top"/>
    </xf>
    <xf numFmtId="0" fontId="60" fillId="0" borderId="0" xfId="104" applyFont="1" applyAlignment="1">
      <alignment horizontal="center" vertical="center"/>
    </xf>
    <xf numFmtId="170" fontId="60" fillId="4" borderId="0" xfId="0" applyNumberFormat="1" applyFont="1" applyFill="1" applyAlignment="1">
      <alignment horizontal="center" vertical="center"/>
    </xf>
    <xf numFmtId="170" fontId="91" fillId="0" borderId="0" xfId="0" applyNumberFormat="1" applyFont="1"/>
    <xf numFmtId="1" fontId="60" fillId="0" borderId="0" xfId="0" applyNumberFormat="1" applyFont="1" applyAlignment="1">
      <alignment horizontal="center" vertical="center"/>
    </xf>
    <xf numFmtId="170" fontId="60" fillId="0" borderId="0" xfId="0" applyNumberFormat="1" applyFont="1" applyAlignment="1">
      <alignment horizontal="center" vertical="center"/>
    </xf>
    <xf numFmtId="171" fontId="60" fillId="17" borderId="0" xfId="0" applyNumberFormat="1" applyFont="1" applyFill="1" applyAlignment="1">
      <alignment horizontal="center" vertical="center"/>
    </xf>
    <xf numFmtId="0" fontId="95" fillId="0" borderId="0" xfId="0" applyFont="1" applyAlignment="1">
      <alignment horizontal="left"/>
    </xf>
    <xf numFmtId="0" fontId="68" fillId="0" borderId="0" xfId="0" applyFont="1" applyAlignment="1">
      <alignment vertical="center"/>
    </xf>
    <xf numFmtId="0" fontId="101" fillId="0" borderId="0" xfId="150" applyFont="1" applyAlignment="1">
      <alignment wrapText="1"/>
    </xf>
    <xf numFmtId="0" fontId="101" fillId="0" borderId="0" xfId="150" applyFont="1" applyAlignment="1">
      <alignment horizontal="center" wrapText="1"/>
    </xf>
    <xf numFmtId="0" fontId="89" fillId="0" borderId="0" xfId="0" applyFont="1" applyAlignment="1" applyProtection="1">
      <alignment vertical="center"/>
      <protection locked="0"/>
    </xf>
    <xf numFmtId="0" fontId="72" fillId="3" borderId="0" xfId="0" applyFont="1" applyFill="1" applyAlignment="1">
      <alignment horizontal="center" vertical="center" wrapText="1"/>
    </xf>
    <xf numFmtId="0" fontId="33" fillId="0" borderId="11" xfId="0" applyFont="1" applyBorder="1" applyProtection="1">
      <protection locked="0"/>
    </xf>
    <xf numFmtId="0" fontId="91" fillId="0" borderId="0" xfId="0" applyFont="1" applyAlignment="1">
      <alignment horizontal="center" vertical="center" wrapText="1"/>
    </xf>
    <xf numFmtId="0" fontId="91" fillId="0" borderId="8" xfId="0" applyFont="1" applyBorder="1" applyAlignment="1" applyProtection="1">
      <alignment horizontal="center"/>
      <protection locked="0"/>
    </xf>
    <xf numFmtId="0" fontId="84" fillId="19" borderId="18" xfId="0" applyFont="1" applyFill="1" applyBorder="1" applyAlignment="1">
      <alignment horizontal="center" vertical="center"/>
    </xf>
    <xf numFmtId="0" fontId="84" fillId="19" borderId="0" xfId="0" applyFont="1" applyFill="1" applyAlignment="1">
      <alignment horizontal="center" vertical="center"/>
    </xf>
    <xf numFmtId="0" fontId="84" fillId="19" borderId="11" xfId="0" applyFont="1" applyFill="1" applyBorder="1"/>
    <xf numFmtId="0" fontId="84" fillId="19" borderId="0" xfId="0" applyFont="1" applyFill="1"/>
    <xf numFmtId="0" fontId="33" fillId="19" borderId="0" xfId="0" applyFont="1" applyFill="1"/>
    <xf numFmtId="0" fontId="84" fillId="19" borderId="11" xfId="0" applyFont="1" applyFill="1" applyBorder="1" applyAlignment="1">
      <alignment horizontal="center" vertical="center"/>
    </xf>
    <xf numFmtId="0" fontId="85" fillId="19" borderId="11" xfId="0" applyFont="1" applyFill="1" applyBorder="1" applyAlignment="1">
      <alignment horizontal="center" vertical="center"/>
    </xf>
    <xf numFmtId="0" fontId="85" fillId="19" borderId="0" xfId="0" applyFont="1" applyFill="1" applyAlignment="1">
      <alignment horizontal="center" vertical="center"/>
    </xf>
    <xf numFmtId="1" fontId="85" fillId="19" borderId="11" xfId="0" applyNumberFormat="1" applyFont="1" applyFill="1" applyBorder="1" applyAlignment="1">
      <alignment horizontal="center" vertical="center"/>
    </xf>
    <xf numFmtId="1" fontId="85" fillId="19" borderId="0" xfId="0" applyNumberFormat="1" applyFont="1" applyFill="1" applyAlignment="1">
      <alignment horizontal="center" vertical="center"/>
    </xf>
    <xf numFmtId="0" fontId="74" fillId="22" borderId="11" xfId="195" applyFont="1" applyFill="1" applyBorder="1" applyAlignment="1">
      <alignment vertical="center" wrapText="1"/>
    </xf>
    <xf numFmtId="0" fontId="74" fillId="22" borderId="0" xfId="195" applyFont="1" applyFill="1" applyAlignment="1">
      <alignment vertical="center" wrapText="1"/>
    </xf>
    <xf numFmtId="0" fontId="74" fillId="22" borderId="11" xfId="195" applyFont="1" applyFill="1" applyBorder="1" applyAlignment="1">
      <alignment horizontal="center" vertical="center" wrapText="1"/>
    </xf>
    <xf numFmtId="0" fontId="74" fillId="22" borderId="0" xfId="195" applyFont="1" applyFill="1" applyAlignment="1">
      <alignment horizontal="center" vertical="center" wrapText="1"/>
    </xf>
    <xf numFmtId="170" fontId="85" fillId="19" borderId="11" xfId="0" applyNumberFormat="1" applyFont="1" applyFill="1" applyBorder="1" applyAlignment="1">
      <alignment horizontal="center" vertical="center"/>
    </xf>
    <xf numFmtId="170" fontId="85" fillId="19" borderId="0" xfId="0" applyNumberFormat="1" applyFont="1" applyFill="1" applyAlignment="1">
      <alignment horizontal="center" vertical="center"/>
    </xf>
    <xf numFmtId="170" fontId="85" fillId="19" borderId="11" xfId="195" applyNumberFormat="1" applyFont="1" applyFill="1" applyBorder="1" applyAlignment="1">
      <alignment horizontal="center" vertical="center" wrapText="1"/>
    </xf>
    <xf numFmtId="170" fontId="85" fillId="19" borderId="0" xfId="195" applyNumberFormat="1" applyFont="1" applyFill="1" applyAlignment="1">
      <alignment horizontal="center" vertical="center" wrapText="1"/>
    </xf>
    <xf numFmtId="0" fontId="85" fillId="19" borderId="11" xfId="195" applyFont="1" applyFill="1" applyBorder="1" applyAlignment="1">
      <alignment horizontal="center" vertical="center" wrapText="1"/>
    </xf>
    <xf numFmtId="0" fontId="85" fillId="19" borderId="0" xfId="195" applyFont="1" applyFill="1" applyAlignment="1">
      <alignment horizontal="center" vertical="center" wrapText="1"/>
    </xf>
    <xf numFmtId="0" fontId="74" fillId="22" borderId="12" xfId="195" applyFont="1" applyFill="1" applyBorder="1" applyAlignment="1">
      <alignment horizontal="center" vertical="center" wrapText="1"/>
    </xf>
    <xf numFmtId="0" fontId="74" fillId="22" borderId="5" xfId="195" applyFont="1" applyFill="1" applyBorder="1" applyAlignment="1">
      <alignment horizontal="center" vertical="center" wrapText="1"/>
    </xf>
    <xf numFmtId="0" fontId="84" fillId="19" borderId="15" xfId="0" applyFont="1" applyFill="1" applyBorder="1" applyAlignment="1">
      <alignment horizontal="center" vertical="center"/>
    </xf>
    <xf numFmtId="0" fontId="85" fillId="19" borderId="15" xfId="0" applyFont="1" applyFill="1" applyBorder="1" applyAlignment="1">
      <alignment horizontal="center" vertical="center"/>
    </xf>
    <xf numFmtId="0" fontId="74" fillId="22" borderId="15" xfId="90" applyFont="1" applyFill="1" applyBorder="1" applyAlignment="1">
      <alignment vertical="center" wrapText="1"/>
    </xf>
    <xf numFmtId="170" fontId="85" fillId="19" borderId="15" xfId="0" applyNumberFormat="1" applyFont="1" applyFill="1" applyBorder="1" applyAlignment="1">
      <alignment horizontal="center" vertical="center"/>
    </xf>
    <xf numFmtId="1" fontId="85" fillId="19" borderId="15" xfId="0" applyNumberFormat="1" applyFont="1" applyFill="1" applyBorder="1" applyAlignment="1">
      <alignment horizontal="center" vertical="center"/>
    </xf>
    <xf numFmtId="170" fontId="85" fillId="19" borderId="15" xfId="90" applyNumberFormat="1" applyFont="1" applyFill="1" applyBorder="1" applyAlignment="1">
      <alignment horizontal="center" vertical="center" wrapText="1"/>
    </xf>
    <xf numFmtId="0" fontId="85" fillId="19" borderId="15" xfId="90" applyFont="1" applyFill="1" applyBorder="1" applyAlignment="1">
      <alignment horizontal="center" vertical="center" wrapText="1"/>
    </xf>
    <xf numFmtId="0" fontId="85" fillId="19" borderId="15" xfId="0" quotePrefix="1" applyFont="1" applyFill="1" applyBorder="1" applyAlignment="1">
      <alignment horizontal="center" vertical="center"/>
    </xf>
    <xf numFmtId="0" fontId="74" fillId="22" borderId="13" xfId="90" applyFont="1" applyFill="1" applyBorder="1" applyAlignment="1">
      <alignment horizontal="center" vertical="center" wrapText="1"/>
    </xf>
    <xf numFmtId="0" fontId="84" fillId="19" borderId="15" xfId="0" applyFont="1" applyFill="1" applyBorder="1"/>
    <xf numFmtId="0" fontId="74" fillId="22" borderId="15" xfId="90" applyFont="1" applyFill="1" applyBorder="1" applyAlignment="1">
      <alignment horizontal="center" vertical="center" wrapText="1"/>
    </xf>
    <xf numFmtId="0" fontId="91" fillId="0" borderId="15" xfId="0" applyFont="1" applyBorder="1" applyAlignment="1">
      <alignment horizontal="center" vertical="center"/>
    </xf>
    <xf numFmtId="0" fontId="72" fillId="4" borderId="15" xfId="90" applyFont="1" applyFill="1" applyBorder="1" applyAlignment="1">
      <alignment horizontal="center" vertical="center" wrapText="1"/>
    </xf>
    <xf numFmtId="1" fontId="60" fillId="0" borderId="16" xfId="0" applyNumberFormat="1" applyFont="1" applyBorder="1" applyAlignment="1">
      <alignment horizontal="center" vertical="center"/>
    </xf>
    <xf numFmtId="1" fontId="60" fillId="0" borderId="118" xfId="0" applyNumberFormat="1" applyFont="1" applyBorder="1" applyAlignment="1">
      <alignment horizontal="center" vertical="center"/>
    </xf>
    <xf numFmtId="0" fontId="42" fillId="0" borderId="0" xfId="0" applyFont="1" applyAlignment="1">
      <alignment vertical="top"/>
    </xf>
    <xf numFmtId="0" fontId="36" fillId="3" borderId="5" xfId="0" applyFont="1" applyFill="1" applyBorder="1" applyAlignment="1">
      <alignment horizontal="center" vertical="center"/>
    </xf>
    <xf numFmtId="0" fontId="19" fillId="0" borderId="117" xfId="0" applyFont="1" applyBorder="1" applyAlignment="1">
      <alignment horizontal="center" vertical="center" wrapText="1"/>
    </xf>
    <xf numFmtId="0" fontId="60" fillId="0" borderId="24" xfId="104" applyFont="1" applyBorder="1" applyAlignment="1">
      <alignment horizontal="center" vertical="center"/>
    </xf>
    <xf numFmtId="0" fontId="60" fillId="0" borderId="16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16" fontId="60" fillId="0" borderId="23" xfId="0" applyNumberFormat="1" applyFont="1" applyBorder="1" applyAlignment="1">
      <alignment horizontal="center" vertical="center"/>
    </xf>
    <xf numFmtId="1" fontId="60" fillId="0" borderId="117" xfId="0" applyNumberFormat="1" applyFont="1" applyBorder="1" applyAlignment="1">
      <alignment horizontal="center" vertical="center"/>
    </xf>
    <xf numFmtId="16" fontId="36" fillId="0" borderId="0" xfId="0" applyNumberFormat="1" applyFont="1" applyAlignment="1">
      <alignment horizontal="center" vertical="center"/>
    </xf>
    <xf numFmtId="0" fontId="36" fillId="0" borderId="0" xfId="0" applyFont="1" applyAlignment="1" applyProtection="1">
      <alignment horizontal="center"/>
      <protection locked="0"/>
    </xf>
    <xf numFmtId="0" fontId="36" fillId="0" borderId="0" xfId="104" applyFont="1" applyAlignment="1">
      <alignment horizontal="center" vertical="center"/>
    </xf>
    <xf numFmtId="16" fontId="60" fillId="0" borderId="17" xfId="0" applyNumberFormat="1" applyFont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 wrapText="1"/>
    </xf>
    <xf numFmtId="0" fontId="60" fillId="0" borderId="116" xfId="0" applyFont="1" applyBorder="1" applyAlignment="1">
      <alignment horizontal="center" vertical="center" wrapText="1"/>
    </xf>
    <xf numFmtId="0" fontId="60" fillId="0" borderId="5" xfId="104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60" fillId="0" borderId="136" xfId="0" applyFont="1" applyBorder="1" applyAlignment="1">
      <alignment horizontal="center" vertical="center" wrapText="1"/>
    </xf>
    <xf numFmtId="16" fontId="36" fillId="0" borderId="0" xfId="0" applyNumberFormat="1" applyFont="1" applyAlignment="1">
      <alignment horizontal="center" vertical="center" wrapText="1"/>
    </xf>
    <xf numFmtId="173" fontId="45" fillId="0" borderId="0" xfId="0" applyNumberFormat="1" applyFont="1" applyAlignment="1">
      <alignment horizontal="center" vertical="center" wrapText="1"/>
    </xf>
    <xf numFmtId="0" fontId="36" fillId="0" borderId="5" xfId="104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91" fillId="0" borderId="17" xfId="0" applyFont="1" applyBorder="1" applyAlignment="1">
      <alignment horizontal="center" vertical="center" wrapText="1"/>
    </xf>
    <xf numFmtId="0" fontId="91" fillId="0" borderId="116" xfId="0" applyFont="1" applyBorder="1" applyAlignment="1">
      <alignment horizontal="center" vertical="center" wrapText="1"/>
    </xf>
    <xf numFmtId="1" fontId="60" fillId="0" borderId="10" xfId="0" applyNumberFormat="1" applyFont="1" applyBorder="1" applyAlignment="1">
      <alignment horizontal="center" vertical="center" wrapText="1"/>
    </xf>
    <xf numFmtId="1" fontId="60" fillId="0" borderId="135" xfId="0" applyNumberFormat="1" applyFont="1" applyBorder="1" applyAlignment="1">
      <alignment horizontal="center" vertical="center" wrapText="1"/>
    </xf>
    <xf numFmtId="1" fontId="60" fillId="0" borderId="0" xfId="0" applyNumberFormat="1" applyFont="1" applyAlignment="1">
      <alignment horizontal="center" vertical="center" wrapText="1"/>
    </xf>
    <xf numFmtId="1" fontId="60" fillId="0" borderId="117" xfId="0" applyNumberFormat="1" applyFont="1" applyBorder="1" applyAlignment="1">
      <alignment horizontal="center" vertical="center" wrapText="1"/>
    </xf>
    <xf numFmtId="1" fontId="60" fillId="0" borderId="5" xfId="0" applyNumberFormat="1" applyFont="1" applyBorder="1" applyAlignment="1">
      <alignment horizontal="center" vertical="center" wrapText="1"/>
    </xf>
    <xf numFmtId="1" fontId="87" fillId="0" borderId="0" xfId="0" applyNumberFormat="1" applyFont="1" applyAlignment="1">
      <alignment horizontal="center" vertical="center" wrapText="1"/>
    </xf>
    <xf numFmtId="170" fontId="87" fillId="0" borderId="117" xfId="0" applyNumberFormat="1" applyFont="1" applyBorder="1" applyAlignment="1">
      <alignment horizontal="center" vertical="center" wrapText="1"/>
    </xf>
    <xf numFmtId="1" fontId="87" fillId="19" borderId="16" xfId="0" applyNumberFormat="1" applyFont="1" applyFill="1" applyBorder="1" applyAlignment="1">
      <alignment horizontal="center" vertical="center" wrapText="1"/>
    </xf>
    <xf numFmtId="0" fontId="33" fillId="0" borderId="48" xfId="0" applyFont="1" applyBorder="1" applyAlignment="1" applyProtection="1">
      <alignment horizontal="left" vertical="center"/>
      <protection locked="0"/>
    </xf>
    <xf numFmtId="0" fontId="33" fillId="0" borderId="12" xfId="0" applyFont="1" applyBorder="1" applyAlignment="1" applyProtection="1">
      <alignment horizontal="left" vertical="center"/>
      <protection locked="0"/>
    </xf>
    <xf numFmtId="0" fontId="33" fillId="0" borderId="11" xfId="0" applyFont="1" applyBorder="1" applyAlignment="1" applyProtection="1">
      <alignment horizontal="left" vertical="center"/>
      <protection locked="0"/>
    </xf>
    <xf numFmtId="0" fontId="91" fillId="0" borderId="48" xfId="0" applyFont="1" applyBorder="1" applyAlignment="1">
      <alignment horizontal="left" vertical="center"/>
    </xf>
    <xf numFmtId="0" fontId="61" fillId="0" borderId="9" xfId="0" applyFont="1" applyBorder="1" applyAlignment="1">
      <alignment horizontal="left" vertical="center"/>
    </xf>
    <xf numFmtId="0" fontId="91" fillId="0" borderId="11" xfId="0" applyFont="1" applyBorder="1" applyAlignment="1">
      <alignment horizontal="left" vertical="center"/>
    </xf>
    <xf numFmtId="0" fontId="84" fillId="0" borderId="11" xfId="0" applyFont="1" applyBorder="1" applyAlignment="1">
      <alignment horizontal="left" vertical="center"/>
    </xf>
    <xf numFmtId="0" fontId="88" fillId="0" borderId="11" xfId="0" applyFont="1" applyBorder="1" applyAlignment="1">
      <alignment horizontal="left" vertical="center"/>
    </xf>
    <xf numFmtId="0" fontId="84" fillId="19" borderId="16" xfId="0" applyFont="1" applyFill="1" applyBorder="1" applyAlignment="1" applyProtection="1">
      <alignment horizontal="left" vertical="center" wrapText="1"/>
      <protection locked="0"/>
    </xf>
    <xf numFmtId="0" fontId="33" fillId="0" borderId="0" xfId="0" quotePrefix="1" applyFont="1" applyAlignment="1" applyProtection="1">
      <alignment horizontal="center" vertical="center" wrapText="1"/>
      <protection locked="0"/>
    </xf>
    <xf numFmtId="0" fontId="33" fillId="0" borderId="5" xfId="0" quotePrefix="1" applyFont="1" applyBorder="1" applyAlignment="1" applyProtection="1">
      <alignment horizontal="center" vertical="center" wrapText="1"/>
      <protection locked="0"/>
    </xf>
    <xf numFmtId="0" fontId="86" fillId="19" borderId="16" xfId="0" quotePrefix="1" applyFont="1" applyFill="1" applyBorder="1" applyAlignment="1">
      <alignment horizontal="center" vertical="center" wrapText="1"/>
    </xf>
    <xf numFmtId="0" fontId="33" fillId="0" borderId="10" xfId="0" applyFont="1" applyBorder="1" applyProtection="1">
      <protection locked="0"/>
    </xf>
    <xf numFmtId="0" fontId="33" fillId="0" borderId="14" xfId="0" applyFont="1" applyBorder="1" applyProtection="1">
      <protection locked="0"/>
    </xf>
    <xf numFmtId="0" fontId="33" fillId="0" borderId="13" xfId="0" applyFont="1" applyBorder="1" applyProtection="1">
      <protection locked="0"/>
    </xf>
    <xf numFmtId="1" fontId="91" fillId="0" borderId="2" xfId="0" applyNumberFormat="1" applyFont="1" applyBorder="1" applyAlignment="1" applyProtection="1">
      <alignment horizontal="center" vertical="center"/>
      <protection locked="0"/>
    </xf>
    <xf numFmtId="16" fontId="91" fillId="0" borderId="2" xfId="0" applyNumberFormat="1" applyFont="1" applyBorder="1" applyAlignment="1" applyProtection="1">
      <alignment horizontal="center" vertical="center"/>
      <protection locked="0"/>
    </xf>
    <xf numFmtId="1" fontId="33" fillId="0" borderId="2" xfId="0" applyNumberFormat="1" applyFont="1" applyBorder="1" applyAlignment="1" applyProtection="1">
      <alignment horizontal="center" vertical="center"/>
      <protection locked="0"/>
    </xf>
    <xf numFmtId="10" fontId="91" fillId="0" borderId="0" xfId="0" applyNumberFormat="1" applyFont="1"/>
    <xf numFmtId="10" fontId="91" fillId="0" borderId="0" xfId="0" applyNumberFormat="1" applyFont="1" applyProtection="1">
      <protection locked="0"/>
    </xf>
    <xf numFmtId="173" fontId="33" fillId="0" borderId="0" xfId="0" applyNumberFormat="1" applyFont="1" applyProtection="1">
      <protection locked="0"/>
    </xf>
    <xf numFmtId="10" fontId="33" fillId="0" borderId="0" xfId="0" applyNumberFormat="1" applyFont="1" applyProtection="1">
      <protection locked="0"/>
    </xf>
    <xf numFmtId="0" fontId="39" fillId="0" borderId="0" xfId="0" applyFont="1" applyAlignment="1">
      <alignment horizontal="center"/>
    </xf>
    <xf numFmtId="0" fontId="84" fillId="0" borderId="0" xfId="0" applyFont="1" applyProtection="1">
      <protection locked="0"/>
    </xf>
    <xf numFmtId="0" fontId="44" fillId="0" borderId="5" xfId="82" applyFont="1" applyBorder="1" applyAlignment="1" applyProtection="1">
      <alignment horizontal="left" vertical="center"/>
      <protection locked="0"/>
    </xf>
    <xf numFmtId="0" fontId="44" fillId="0" borderId="5" xfId="82" applyFont="1" applyBorder="1" applyAlignment="1" applyProtection="1">
      <alignment horizontal="right" vertical="center"/>
      <protection locked="0"/>
    </xf>
    <xf numFmtId="173" fontId="44" fillId="0" borderId="5" xfId="82" applyNumberFormat="1" applyFont="1" applyBorder="1" applyAlignment="1" applyProtection="1">
      <alignment horizontal="left" vertical="center"/>
      <protection locked="0"/>
    </xf>
    <xf numFmtId="173" fontId="89" fillId="0" borderId="0" xfId="75" applyNumberFormat="1" applyFont="1" applyAlignment="1">
      <alignment horizontal="center" vertical="center"/>
    </xf>
    <xf numFmtId="173" fontId="89" fillId="0" borderId="0" xfId="75" applyNumberFormat="1" applyFont="1" applyAlignment="1">
      <alignment horizontal="center"/>
    </xf>
    <xf numFmtId="0" fontId="85" fillId="19" borderId="0" xfId="0" quotePrefix="1" applyFont="1" applyFill="1" applyAlignment="1">
      <alignment horizontal="center" vertical="center"/>
    </xf>
    <xf numFmtId="1" fontId="91" fillId="0" borderId="0" xfId="0" applyNumberFormat="1" applyFont="1" applyAlignment="1">
      <alignment horizontal="center" vertical="center" wrapText="1"/>
    </xf>
    <xf numFmtId="0" fontId="33" fillId="19" borderId="15" xfId="0" quotePrefix="1" applyFont="1" applyFill="1" applyBorder="1" applyAlignment="1">
      <alignment horizontal="center" vertical="center"/>
    </xf>
    <xf numFmtId="0" fontId="91" fillId="0" borderId="6" xfId="0" applyFont="1" applyBorder="1" applyAlignment="1" applyProtection="1">
      <alignment horizontal="center" vertical="center"/>
      <protection locked="0"/>
    </xf>
    <xf numFmtId="0" fontId="91" fillId="0" borderId="140" xfId="0" applyFont="1" applyBorder="1" applyAlignment="1" applyProtection="1">
      <alignment horizontal="center" vertical="center"/>
      <protection locked="0"/>
    </xf>
    <xf numFmtId="0" fontId="86" fillId="0" borderId="0" xfId="82" applyFont="1"/>
    <xf numFmtId="0" fontId="85" fillId="19" borderId="11" xfId="195" quotePrefix="1" applyFont="1" applyFill="1" applyBorder="1" applyAlignment="1">
      <alignment horizontal="center" vertical="center" wrapText="1"/>
    </xf>
    <xf numFmtId="0" fontId="85" fillId="19" borderId="0" xfId="195" quotePrefix="1" applyFont="1" applyFill="1" applyAlignment="1">
      <alignment horizontal="center" vertical="center" wrapText="1"/>
    </xf>
    <xf numFmtId="0" fontId="85" fillId="19" borderId="15" xfId="90" quotePrefix="1" applyFont="1" applyFill="1" applyBorder="1" applyAlignment="1">
      <alignment horizontal="center" vertical="center" wrapText="1"/>
    </xf>
    <xf numFmtId="170" fontId="33" fillId="0" borderId="0" xfId="0" applyNumberFormat="1" applyFont="1" applyAlignment="1">
      <alignment horizontal="center" vertical="center"/>
    </xf>
    <xf numFmtId="0" fontId="91" fillId="0" borderId="11" xfId="0" applyFont="1" applyBorder="1" applyAlignment="1">
      <alignment vertical="center"/>
    </xf>
    <xf numFmtId="0" fontId="91" fillId="0" borderId="0" xfId="0" applyFont="1" applyAlignment="1">
      <alignment vertical="center"/>
    </xf>
    <xf numFmtId="170" fontId="33" fillId="0" borderId="15" xfId="0" applyNumberFormat="1" applyFont="1" applyBorder="1" applyAlignment="1">
      <alignment horizontal="center" vertical="center"/>
    </xf>
    <xf numFmtId="0" fontId="68" fillId="4" borderId="15" xfId="90" applyFont="1" applyFill="1" applyBorder="1" applyAlignment="1">
      <alignment horizontal="center" vertical="center" wrapText="1"/>
    </xf>
    <xf numFmtId="0" fontId="68" fillId="15" borderId="15" xfId="90" applyFont="1" applyFill="1" applyBorder="1" applyAlignment="1">
      <alignment horizontal="center" vertical="center" wrapText="1"/>
    </xf>
    <xf numFmtId="0" fontId="91" fillId="0" borderId="0" xfId="0" applyFont="1" applyAlignment="1" applyProtection="1">
      <alignment wrapText="1"/>
      <protection locked="0"/>
    </xf>
    <xf numFmtId="0" fontId="36" fillId="0" borderId="5" xfId="0" applyFont="1" applyBorder="1" applyAlignment="1">
      <alignment vertical="center"/>
    </xf>
    <xf numFmtId="0" fontId="66" fillId="3" borderId="7" xfId="0" applyFont="1" applyFill="1" applyBorder="1" applyAlignment="1">
      <alignment horizontal="center" vertical="center" textRotation="90" wrapText="1"/>
    </xf>
    <xf numFmtId="0" fontId="106" fillId="4" borderId="80" xfId="193" applyFont="1" applyFill="1" applyBorder="1" applyAlignment="1">
      <alignment horizontal="left"/>
    </xf>
    <xf numFmtId="0" fontId="106" fillId="4" borderId="81" xfId="193" applyFont="1" applyFill="1" applyBorder="1" applyAlignment="1">
      <alignment horizontal="left"/>
    </xf>
    <xf numFmtId="0" fontId="106" fillId="4" borderId="82" xfId="193" applyFont="1" applyFill="1" applyBorder="1" applyAlignment="1">
      <alignment horizontal="left"/>
    </xf>
    <xf numFmtId="0" fontId="106" fillId="4" borderId="97" xfId="193" applyFont="1" applyFill="1" applyBorder="1" applyAlignment="1">
      <alignment horizontal="left"/>
    </xf>
    <xf numFmtId="0" fontId="106" fillId="4" borderId="98" xfId="193" applyFont="1" applyFill="1" applyBorder="1" applyAlignment="1">
      <alignment horizontal="left"/>
    </xf>
    <xf numFmtId="0" fontId="106" fillId="4" borderId="0" xfId="193" applyFont="1" applyFill="1" applyAlignment="1">
      <alignment horizontal="left"/>
    </xf>
    <xf numFmtId="0" fontId="21" fillId="3" borderId="72" xfId="193" applyFont="1" applyFill="1" applyBorder="1" applyAlignment="1">
      <alignment horizontal="left"/>
    </xf>
    <xf numFmtId="0" fontId="21" fillId="3" borderId="73" xfId="193" applyFont="1" applyFill="1" applyBorder="1" applyAlignment="1">
      <alignment horizontal="left"/>
    </xf>
    <xf numFmtId="0" fontId="21" fillId="3" borderId="74" xfId="193" applyFont="1" applyFill="1" applyBorder="1" applyAlignment="1">
      <alignment horizontal="left"/>
    </xf>
    <xf numFmtId="0" fontId="106" fillId="4" borderId="72" xfId="193" applyFont="1" applyFill="1" applyBorder="1"/>
    <xf numFmtId="0" fontId="106" fillId="4" borderId="73" xfId="193" applyFont="1" applyFill="1" applyBorder="1"/>
    <xf numFmtId="0" fontId="106" fillId="4" borderId="74" xfId="193" applyFont="1" applyFill="1" applyBorder="1" applyAlignment="1">
      <alignment horizontal="center"/>
    </xf>
    <xf numFmtId="0" fontId="106" fillId="4" borderId="80" xfId="193" applyFont="1" applyFill="1" applyBorder="1"/>
    <xf numFmtId="0" fontId="106" fillId="4" borderId="81" xfId="193" applyFont="1" applyFill="1" applyBorder="1"/>
    <xf numFmtId="0" fontId="106" fillId="4" borderId="82" xfId="193" applyFont="1" applyFill="1" applyBorder="1" applyAlignment="1">
      <alignment horizontal="center"/>
    </xf>
    <xf numFmtId="0" fontId="107" fillId="4" borderId="82" xfId="193" applyFont="1" applyFill="1" applyBorder="1" applyAlignment="1">
      <alignment horizontal="center"/>
    </xf>
    <xf numFmtId="0" fontId="106" fillId="4" borderId="97" xfId="193" applyFont="1" applyFill="1" applyBorder="1"/>
    <xf numFmtId="0" fontId="106" fillId="4" borderId="98" xfId="193" applyFont="1" applyFill="1" applyBorder="1"/>
    <xf numFmtId="0" fontId="106" fillId="4" borderId="89" xfId="193" applyFont="1" applyFill="1" applyBorder="1"/>
    <xf numFmtId="0" fontId="107" fillId="4" borderId="90" xfId="193" applyFont="1" applyFill="1" applyBorder="1"/>
    <xf numFmtId="0" fontId="106" fillId="4" borderId="90" xfId="193" applyFont="1" applyFill="1" applyBorder="1"/>
    <xf numFmtId="0" fontId="106" fillId="4" borderId="91" xfId="193" applyFont="1" applyFill="1" applyBorder="1" applyAlignment="1">
      <alignment horizontal="center"/>
    </xf>
    <xf numFmtId="0" fontId="44" fillId="4" borderId="73" xfId="193" applyFont="1" applyFill="1" applyBorder="1"/>
    <xf numFmtId="0" fontId="44" fillId="4" borderId="72" xfId="193" applyFont="1" applyFill="1" applyBorder="1"/>
    <xf numFmtId="0" fontId="43" fillId="4" borderId="73" xfId="193" applyFont="1" applyFill="1" applyBorder="1"/>
    <xf numFmtId="0" fontId="44" fillId="4" borderId="74" xfId="193" applyFont="1" applyFill="1" applyBorder="1" applyAlignment="1">
      <alignment horizontal="center"/>
    </xf>
    <xf numFmtId="0" fontId="43" fillId="4" borderId="15" xfId="193" applyFont="1" applyFill="1" applyBorder="1"/>
    <xf numFmtId="0" fontId="43" fillId="4" borderId="72" xfId="193" applyFont="1" applyFill="1" applyBorder="1"/>
    <xf numFmtId="0" fontId="43" fillId="4" borderId="89" xfId="193" applyFont="1" applyFill="1" applyBorder="1"/>
    <xf numFmtId="0" fontId="43" fillId="4" borderId="90" xfId="193" applyFont="1" applyFill="1" applyBorder="1"/>
    <xf numFmtId="0" fontId="43" fillId="4" borderId="90" xfId="193" applyFont="1" applyFill="1" applyBorder="1" applyAlignment="1">
      <alignment horizontal="center"/>
    </xf>
    <xf numFmtId="0" fontId="0" fillId="0" borderId="0" xfId="193" applyFont="1"/>
    <xf numFmtId="0" fontId="0" fillId="0" borderId="0" xfId="78" applyFont="1" applyAlignment="1">
      <alignment vertical="center"/>
    </xf>
    <xf numFmtId="0" fontId="108" fillId="4" borderId="11" xfId="195" applyFont="1" applyFill="1" applyBorder="1" applyAlignment="1">
      <alignment horizontal="center" vertical="center" wrapText="1"/>
    </xf>
    <xf numFmtId="0" fontId="108" fillId="4" borderId="0" xfId="195" applyFont="1" applyFill="1" applyAlignment="1">
      <alignment horizontal="center" vertical="center" wrapText="1"/>
    </xf>
    <xf numFmtId="173" fontId="60" fillId="0" borderId="16" xfId="0" applyNumberFormat="1" applyFont="1" applyBorder="1" applyAlignment="1">
      <alignment horizontal="center" vertical="center"/>
    </xf>
    <xf numFmtId="170" fontId="91" fillId="0" borderId="0" xfId="0" applyNumberFormat="1" applyFont="1" applyAlignment="1">
      <alignment horizontal="center" vertical="center" wrapText="1"/>
    </xf>
    <xf numFmtId="170" fontId="33" fillId="0" borderId="0" xfId="0" applyNumberFormat="1" applyFont="1" applyProtection="1">
      <protection locked="0"/>
    </xf>
    <xf numFmtId="0" fontId="33" fillId="0" borderId="117" xfId="0" quotePrefix="1" applyFont="1" applyBorder="1" applyAlignment="1" applyProtection="1">
      <alignment horizontal="center" vertical="center" wrapText="1"/>
      <protection locked="0"/>
    </xf>
    <xf numFmtId="0" fontId="33" fillId="0" borderId="136" xfId="0" quotePrefix="1" applyFont="1" applyBorder="1" applyAlignment="1" applyProtection="1">
      <alignment horizontal="center" vertical="center" wrapText="1"/>
      <protection locked="0"/>
    </xf>
    <xf numFmtId="170" fontId="85" fillId="19" borderId="16" xfId="0" quotePrefix="1" applyNumberFormat="1" applyFont="1" applyFill="1" applyBorder="1" applyAlignment="1">
      <alignment horizontal="center" vertical="center" wrapText="1"/>
    </xf>
    <xf numFmtId="170" fontId="87" fillId="0" borderId="118" xfId="0" quotePrefix="1" applyNumberFormat="1" applyFont="1" applyBorder="1" applyAlignment="1">
      <alignment horizontal="center" vertical="center"/>
    </xf>
    <xf numFmtId="0" fontId="68" fillId="0" borderId="17" xfId="75" applyNumberFormat="1" applyFont="1" applyBorder="1" applyAlignment="1">
      <alignment horizontal="center" vertical="center" wrapText="1"/>
    </xf>
    <xf numFmtId="1" fontId="31" fillId="0" borderId="2" xfId="193" applyNumberFormat="1" applyFont="1" applyBorder="1" applyAlignment="1" applyProtection="1">
      <alignment horizontal="center" vertical="center"/>
      <protection locked="0"/>
    </xf>
    <xf numFmtId="0" fontId="107" fillId="4" borderId="91" xfId="193" applyFont="1" applyFill="1" applyBorder="1" applyAlignment="1">
      <alignment horizontal="center"/>
    </xf>
    <xf numFmtId="0" fontId="19" fillId="0" borderId="0" xfId="193" applyAlignment="1">
      <alignment horizontal="center"/>
    </xf>
    <xf numFmtId="0" fontId="44" fillId="4" borderId="89" xfId="193" applyFont="1" applyFill="1" applyBorder="1"/>
    <xf numFmtId="0" fontId="44" fillId="4" borderId="90" xfId="193" applyFont="1" applyFill="1" applyBorder="1"/>
    <xf numFmtId="0" fontId="44" fillId="4" borderId="91" xfId="193" applyFont="1" applyFill="1" applyBorder="1" applyAlignment="1">
      <alignment horizontal="center"/>
    </xf>
    <xf numFmtId="0" fontId="107" fillId="4" borderId="98" xfId="193" applyFont="1" applyFill="1" applyBorder="1"/>
    <xf numFmtId="0" fontId="106" fillId="4" borderId="99" xfId="193" applyFont="1" applyFill="1" applyBorder="1" applyAlignment="1">
      <alignment horizontal="center"/>
    </xf>
    <xf numFmtId="0" fontId="33" fillId="0" borderId="9" xfId="0" applyFont="1" applyBorder="1"/>
    <xf numFmtId="0" fontId="33" fillId="0" borderId="10" xfId="0" applyFont="1" applyBorder="1"/>
    <xf numFmtId="0" fontId="49" fillId="0" borderId="0" xfId="151" applyFont="1" applyAlignment="1">
      <alignment horizontal="center" vertical="top" wrapText="1"/>
    </xf>
    <xf numFmtId="170" fontId="58" fillId="0" borderId="0" xfId="0" applyNumberFormat="1" applyFont="1" applyAlignment="1" applyProtection="1">
      <alignment horizontal="center" vertical="center" wrapText="1"/>
      <protection locked="0"/>
    </xf>
    <xf numFmtId="170" fontId="58" fillId="0" borderId="5" xfId="0" applyNumberFormat="1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44" fillId="0" borderId="0" xfId="0" applyFont="1" applyAlignment="1">
      <alignment vertical="center"/>
    </xf>
    <xf numFmtId="0" fontId="33" fillId="0" borderId="0" xfId="0" applyFont="1" applyAlignment="1" applyProtection="1">
      <alignment horizontal="center"/>
      <protection locked="0"/>
    </xf>
    <xf numFmtId="171" fontId="59" fillId="17" borderId="0" xfId="0" applyNumberFormat="1" applyFont="1" applyFill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44" fillId="0" borderId="10" xfId="0" applyFont="1" applyBorder="1" applyAlignment="1">
      <alignment vertical="center"/>
    </xf>
    <xf numFmtId="0" fontId="37" fillId="0" borderId="0" xfId="0" applyFont="1" applyAlignment="1">
      <alignment horizontal="center" vertical="center"/>
    </xf>
    <xf numFmtId="0" fontId="89" fillId="14" borderId="0" xfId="0" applyFont="1" applyFill="1" applyAlignment="1">
      <alignment horizontal="center" vertical="center"/>
    </xf>
    <xf numFmtId="0" fontId="33" fillId="0" borderId="15" xfId="0" applyFont="1" applyBorder="1" applyProtection="1">
      <protection locked="0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43" fillId="0" borderId="9" xfId="0" applyFont="1" applyBorder="1" applyAlignment="1">
      <alignment vertical="center"/>
    </xf>
    <xf numFmtId="0" fontId="43" fillId="0" borderId="10" xfId="0" applyFont="1" applyBorder="1" applyAlignment="1">
      <alignment vertical="center"/>
    </xf>
    <xf numFmtId="0" fontId="43" fillId="0" borderId="11" xfId="103" applyFont="1" applyBorder="1" applyAlignment="1">
      <alignment vertical="center"/>
    </xf>
    <xf numFmtId="0" fontId="43" fillId="0" borderId="0" xfId="103" applyFont="1" applyAlignment="1">
      <alignment vertical="center"/>
    </xf>
    <xf numFmtId="0" fontId="43" fillId="0" borderId="0" xfId="0" applyFont="1" applyAlignment="1">
      <alignment vertical="center"/>
    </xf>
    <xf numFmtId="0" fontId="43" fillId="0" borderId="11" xfId="0" applyFont="1" applyBorder="1" applyAlignment="1">
      <alignment vertical="center"/>
    </xf>
    <xf numFmtId="1" fontId="31" fillId="0" borderId="6" xfId="193" applyNumberFormat="1" applyFont="1" applyBorder="1" applyAlignment="1" applyProtection="1">
      <alignment horizontal="center" vertical="center"/>
      <protection locked="0"/>
    </xf>
    <xf numFmtId="1" fontId="31" fillId="0" borderId="8" xfId="193" applyNumberFormat="1" applyFont="1" applyBorder="1" applyAlignment="1" applyProtection="1">
      <alignment horizontal="center" vertical="center"/>
      <protection locked="0"/>
    </xf>
    <xf numFmtId="1" fontId="31" fillId="0" borderId="0" xfId="193" applyNumberFormat="1" applyFont="1" applyAlignment="1" applyProtection="1">
      <alignment horizontal="center" vertical="center"/>
      <protection locked="0"/>
    </xf>
    <xf numFmtId="0" fontId="19" fillId="0" borderId="2" xfId="193" applyBorder="1" applyAlignment="1">
      <alignment horizontal="center"/>
    </xf>
    <xf numFmtId="0" fontId="43" fillId="0" borderId="3" xfId="89" applyFont="1" applyBorder="1" applyProtection="1">
      <protection locked="0"/>
    </xf>
    <xf numFmtId="0" fontId="44" fillId="4" borderId="10" xfId="78" applyFont="1" applyFill="1" applyBorder="1" applyAlignment="1">
      <alignment vertical="center"/>
    </xf>
    <xf numFmtId="0" fontId="44" fillId="0" borderId="14" xfId="0" applyFont="1" applyBorder="1" applyAlignment="1">
      <alignment vertical="center"/>
    </xf>
    <xf numFmtId="0" fontId="44" fillId="0" borderId="1" xfId="89" applyFont="1" applyBorder="1" applyProtection="1">
      <protection locked="0"/>
    </xf>
    <xf numFmtId="0" fontId="44" fillId="4" borderId="0" xfId="78" applyFont="1" applyFill="1" applyAlignment="1">
      <alignment vertical="center"/>
    </xf>
    <xf numFmtId="0" fontId="21" fillId="23" borderId="0" xfId="201" applyFont="1" applyFill="1" applyAlignment="1" applyProtection="1">
      <alignment horizontal="left" vertical="center"/>
      <protection locked="0"/>
    </xf>
    <xf numFmtId="190" fontId="44" fillId="4" borderId="15" xfId="78" applyNumberFormat="1" applyFont="1" applyFill="1" applyBorder="1" applyAlignment="1">
      <alignment vertical="center"/>
    </xf>
    <xf numFmtId="0" fontId="19" fillId="4" borderId="1" xfId="89" applyFill="1" applyBorder="1" applyProtection="1">
      <protection locked="0"/>
    </xf>
    <xf numFmtId="0" fontId="21" fillId="23" borderId="0" xfId="201" applyFont="1" applyFill="1" applyAlignment="1">
      <alignment vertical="center"/>
    </xf>
    <xf numFmtId="0" fontId="22" fillId="4" borderId="0" xfId="82" applyFont="1" applyFill="1" applyAlignment="1">
      <alignment vertical="center" wrapText="1"/>
    </xf>
    <xf numFmtId="190" fontId="21" fillId="23" borderId="0" xfId="201" applyNumberFormat="1" applyFont="1" applyFill="1" applyAlignment="1">
      <alignment vertical="center"/>
    </xf>
    <xf numFmtId="0" fontId="19" fillId="0" borderId="1" xfId="89" applyBorder="1" applyProtection="1">
      <protection locked="0"/>
    </xf>
    <xf numFmtId="190" fontId="44" fillId="4" borderId="0" xfId="78" applyNumberFormat="1" applyFont="1" applyFill="1" applyAlignment="1">
      <alignment vertical="center"/>
    </xf>
    <xf numFmtId="0" fontId="110" fillId="0" borderId="4" xfId="89" applyFont="1" applyBorder="1" applyProtection="1">
      <protection locked="0"/>
    </xf>
    <xf numFmtId="0" fontId="20" fillId="4" borderId="9" xfId="82" applyFont="1" applyFill="1" applyBorder="1" applyAlignment="1" applyProtection="1">
      <alignment vertical="top" wrapText="1"/>
      <protection locked="0"/>
    </xf>
    <xf numFmtId="0" fontId="20" fillId="4" borderId="14" xfId="82" applyFont="1" applyFill="1" applyBorder="1" applyAlignment="1" applyProtection="1">
      <alignment vertical="top" wrapText="1"/>
      <protection locked="0"/>
    </xf>
    <xf numFmtId="0" fontId="22" fillId="4" borderId="11" xfId="82" applyFont="1" applyFill="1" applyBorder="1" applyAlignment="1" applyProtection="1">
      <alignment horizontal="left" vertical="top" wrapText="1"/>
      <protection locked="0"/>
    </xf>
    <xf numFmtId="0" fontId="22" fillId="4" borderId="15" xfId="82" applyFont="1" applyFill="1" applyBorder="1" applyAlignment="1" applyProtection="1">
      <alignment horizontal="left" vertical="top" wrapText="1"/>
      <protection locked="0"/>
    </xf>
    <xf numFmtId="0" fontId="105" fillId="0" borderId="0" xfId="149" applyFont="1" applyAlignment="1">
      <alignment horizontal="left" vertical="center" wrapText="1"/>
    </xf>
    <xf numFmtId="0" fontId="33" fillId="0" borderId="9" xfId="0" applyFont="1" applyBorder="1" applyProtection="1">
      <protection locked="0"/>
    </xf>
    <xf numFmtId="0" fontId="44" fillId="0" borderId="15" xfId="0" applyFont="1" applyBorder="1" applyAlignment="1">
      <alignment vertical="center"/>
    </xf>
    <xf numFmtId="0" fontId="22" fillId="4" borderId="0" xfId="203" applyFont="1" applyFill="1" applyAlignment="1">
      <alignment vertical="center"/>
    </xf>
    <xf numFmtId="190" fontId="44" fillId="0" borderId="15" xfId="0" applyNumberFormat="1" applyFont="1" applyBorder="1" applyAlignment="1">
      <alignment vertical="center"/>
    </xf>
    <xf numFmtId="0" fontId="33" fillId="0" borderId="12" xfId="0" applyFont="1" applyBorder="1" applyProtection="1">
      <protection locked="0"/>
    </xf>
    <xf numFmtId="0" fontId="44" fillId="0" borderId="5" xfId="0" applyFont="1" applyBorder="1" applyAlignment="1">
      <alignment vertical="center"/>
    </xf>
    <xf numFmtId="190" fontId="44" fillId="0" borderId="5" xfId="0" applyNumberFormat="1" applyFont="1" applyBorder="1" applyAlignment="1">
      <alignment vertical="center"/>
    </xf>
    <xf numFmtId="190" fontId="44" fillId="0" borderId="13" xfId="0" applyNumberFormat="1" applyFont="1" applyBorder="1" applyAlignment="1">
      <alignment vertical="center"/>
    </xf>
    <xf numFmtId="0" fontId="19" fillId="0" borderId="0" xfId="89" applyProtection="1">
      <protection locked="0"/>
    </xf>
    <xf numFmtId="0" fontId="113" fillId="0" borderId="9" xfId="0" applyFont="1" applyBorder="1" applyProtection="1">
      <protection locked="0"/>
    </xf>
    <xf numFmtId="0" fontId="44" fillId="14" borderId="10" xfId="0" applyFont="1" applyFill="1" applyBorder="1" applyAlignment="1">
      <alignment vertical="center"/>
    </xf>
    <xf numFmtId="0" fontId="44" fillId="14" borderId="14" xfId="0" applyFont="1" applyFill="1" applyBorder="1" applyAlignment="1">
      <alignment vertical="center"/>
    </xf>
    <xf numFmtId="0" fontId="72" fillId="15" borderId="0" xfId="204" applyFont="1" applyFill="1" applyAlignment="1">
      <alignment vertical="center" wrapText="1"/>
    </xf>
    <xf numFmtId="0" fontId="72" fillId="15" borderId="0" xfId="204" applyFont="1" applyFill="1" applyAlignment="1">
      <alignment horizontal="center" vertical="center" wrapText="1"/>
    </xf>
    <xf numFmtId="0" fontId="113" fillId="0" borderId="11" xfId="0" applyFont="1" applyBorder="1" applyProtection="1">
      <protection locked="0"/>
    </xf>
    <xf numFmtId="170" fontId="82" fillId="0" borderId="0" xfId="0" applyNumberFormat="1" applyFont="1" applyAlignment="1">
      <alignment horizontal="center" vertical="center" wrapText="1"/>
    </xf>
    <xf numFmtId="0" fontId="82" fillId="14" borderId="0" xfId="0" applyFont="1" applyFill="1" applyAlignment="1">
      <alignment vertical="center"/>
    </xf>
    <xf numFmtId="0" fontId="82" fillId="14" borderId="15" xfId="0" applyFont="1" applyFill="1" applyBorder="1" applyAlignment="1">
      <alignment vertical="center"/>
    </xf>
    <xf numFmtId="0" fontId="43" fillId="2" borderId="0" xfId="204" applyFont="1" applyFill="1" applyAlignment="1">
      <alignment horizontal="center" vertical="center" wrapText="1"/>
    </xf>
    <xf numFmtId="10" fontId="83" fillId="4" borderId="0" xfId="0" applyNumberFormat="1" applyFont="1" applyFill="1" applyAlignment="1">
      <alignment horizontal="center" vertical="center"/>
    </xf>
    <xf numFmtId="173" fontId="82" fillId="4" borderId="0" xfId="0" applyNumberFormat="1" applyFont="1" applyFill="1" applyAlignment="1">
      <alignment horizontal="center" vertical="center" wrapText="1"/>
    </xf>
    <xf numFmtId="0" fontId="72" fillId="4" borderId="0" xfId="204" applyFont="1" applyFill="1" applyAlignment="1">
      <alignment horizontal="center" vertical="center" wrapText="1"/>
    </xf>
    <xf numFmtId="0" fontId="68" fillId="4" borderId="0" xfId="204" applyFont="1" applyFill="1" applyAlignment="1">
      <alignment horizontal="center" vertical="center" wrapText="1"/>
    </xf>
    <xf numFmtId="170" fontId="82" fillId="0" borderId="0" xfId="0" applyNumberFormat="1" applyFont="1" applyAlignment="1" applyProtection="1">
      <alignment horizontal="center" vertical="center" wrapText="1"/>
      <protection locked="0"/>
    </xf>
    <xf numFmtId="173" fontId="82" fillId="0" borderId="0" xfId="0" applyNumberFormat="1" applyFont="1" applyAlignment="1">
      <alignment horizontal="center" vertical="center" wrapText="1"/>
    </xf>
    <xf numFmtId="0" fontId="114" fillId="0" borderId="0" xfId="0" applyFont="1"/>
    <xf numFmtId="0" fontId="114" fillId="0" borderId="15" xfId="0" applyFont="1" applyBorder="1"/>
    <xf numFmtId="0" fontId="72" fillId="4" borderId="0" xfId="205" applyFont="1" applyFill="1" applyAlignment="1">
      <alignment horizontal="center" vertical="center" wrapText="1"/>
    </xf>
    <xf numFmtId="170" fontId="82" fillId="21" borderId="0" xfId="0" applyNumberFormat="1" applyFont="1" applyFill="1" applyAlignment="1">
      <alignment horizontal="center" vertical="center"/>
    </xf>
    <xf numFmtId="1" fontId="82" fillId="20" borderId="0" xfId="0" applyNumberFormat="1" applyFont="1" applyFill="1" applyAlignment="1">
      <alignment horizontal="center" vertical="center" wrapText="1"/>
    </xf>
    <xf numFmtId="1" fontId="82" fillId="21" borderId="0" xfId="0" applyNumberFormat="1" applyFont="1" applyFill="1" applyAlignment="1">
      <alignment horizontal="center" vertical="center"/>
    </xf>
    <xf numFmtId="1" fontId="82" fillId="0" borderId="0" xfId="0" applyNumberFormat="1" applyFont="1" applyAlignment="1">
      <alignment horizontal="center" vertical="center" wrapText="1"/>
    </xf>
    <xf numFmtId="0" fontId="82" fillId="18" borderId="0" xfId="0" applyFont="1" applyFill="1" applyAlignment="1">
      <alignment horizontal="center" vertical="center"/>
    </xf>
    <xf numFmtId="0" fontId="64" fillId="15" borderId="0" xfId="204" applyFont="1" applyFill="1" applyAlignment="1">
      <alignment horizontal="center" vertical="center" wrapText="1"/>
    </xf>
    <xf numFmtId="1" fontId="82" fillId="18" borderId="0" xfId="0" applyNumberFormat="1" applyFont="1" applyFill="1" applyAlignment="1">
      <alignment horizontal="center" vertical="center"/>
    </xf>
    <xf numFmtId="170" fontId="82" fillId="18" borderId="0" xfId="0" applyNumberFormat="1" applyFont="1" applyFill="1" applyAlignment="1">
      <alignment horizontal="center" vertical="center"/>
    </xf>
    <xf numFmtId="0" fontId="52" fillId="4" borderId="0" xfId="204" applyFont="1" applyFill="1" applyAlignment="1">
      <alignment horizontal="center" vertical="center" wrapText="1"/>
    </xf>
    <xf numFmtId="0" fontId="113" fillId="0" borderId="12" xfId="0" applyFont="1" applyBorder="1" applyProtection="1">
      <protection locked="0"/>
    </xf>
    <xf numFmtId="0" fontId="82" fillId="4" borderId="0" xfId="0" applyFont="1" applyFill="1" applyAlignment="1">
      <alignment horizontal="center" vertical="center" wrapText="1"/>
    </xf>
    <xf numFmtId="1" fontId="72" fillId="4" borderId="0" xfId="204" applyNumberFormat="1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170" fontId="106" fillId="4" borderId="0" xfId="0" applyNumberFormat="1" applyFont="1" applyFill="1" applyAlignment="1">
      <alignment horizontal="center" vertical="center"/>
    </xf>
    <xf numFmtId="0" fontId="106" fillId="0" borderId="0" xfId="0" applyFont="1" applyAlignment="1">
      <alignment vertical="center"/>
    </xf>
    <xf numFmtId="4" fontId="116" fillId="4" borderId="0" xfId="0" applyNumberFormat="1" applyFont="1" applyFill="1" applyAlignment="1">
      <alignment horizontal="center" vertical="center"/>
    </xf>
    <xf numFmtId="173" fontId="44" fillId="4" borderId="0" xfId="0" applyNumberFormat="1" applyFont="1" applyFill="1" applyAlignment="1">
      <alignment horizontal="center" vertical="center"/>
    </xf>
    <xf numFmtId="170" fontId="106" fillId="0" borderId="0" xfId="0" applyNumberFormat="1" applyFont="1" applyAlignment="1">
      <alignment horizontal="center" vertical="center"/>
    </xf>
    <xf numFmtId="0" fontId="116" fillId="4" borderId="0" xfId="0" applyFont="1" applyFill="1" applyAlignment="1">
      <alignment horizontal="center" vertical="center"/>
    </xf>
    <xf numFmtId="170" fontId="106" fillId="4" borderId="0" xfId="0" applyNumberFormat="1" applyFont="1" applyFill="1" applyAlignment="1">
      <alignment horizontal="center" vertical="center" wrapText="1"/>
    </xf>
    <xf numFmtId="12" fontId="116" fillId="4" borderId="0" xfId="0" applyNumberFormat="1" applyFont="1" applyFill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67" fillId="4" borderId="10" xfId="0" applyFont="1" applyFill="1" applyBorder="1" applyAlignment="1">
      <alignment horizontal="left" vertical="center" wrapText="1"/>
    </xf>
    <xf numFmtId="170" fontId="52" fillId="4" borderId="10" xfId="0" applyNumberFormat="1" applyFont="1" applyFill="1" applyBorder="1" applyAlignment="1">
      <alignment horizontal="center" vertical="center" wrapText="1"/>
    </xf>
    <xf numFmtId="0" fontId="52" fillId="0" borderId="10" xfId="0" applyFont="1" applyBorder="1" applyAlignment="1">
      <alignment vertical="center"/>
    </xf>
    <xf numFmtId="173" fontId="68" fillId="4" borderId="10" xfId="0" applyNumberFormat="1" applyFont="1" applyFill="1" applyBorder="1" applyAlignment="1">
      <alignment horizontal="center" vertical="center" wrapText="1"/>
    </xf>
    <xf numFmtId="0" fontId="67" fillId="4" borderId="10" xfId="0" applyFont="1" applyFill="1" applyBorder="1" applyAlignment="1">
      <alignment horizontal="center" vertical="center"/>
    </xf>
    <xf numFmtId="12" fontId="67" fillId="4" borderId="10" xfId="0" applyNumberFormat="1" applyFont="1" applyFill="1" applyBorder="1" applyAlignment="1">
      <alignment vertical="center"/>
    </xf>
    <xf numFmtId="0" fontId="19" fillId="0" borderId="10" xfId="0" applyFont="1" applyBorder="1" applyAlignment="1">
      <alignment vertical="center"/>
    </xf>
    <xf numFmtId="173" fontId="21" fillId="4" borderId="10" xfId="0" applyNumberFormat="1" applyFont="1" applyFill="1" applyBorder="1" applyAlignment="1">
      <alignment horizontal="center" vertical="center"/>
    </xf>
    <xf numFmtId="173" fontId="21" fillId="4" borderId="14" xfId="0" applyNumberFormat="1" applyFont="1" applyFill="1" applyBorder="1" applyAlignment="1">
      <alignment horizontal="center" vertical="center"/>
    </xf>
    <xf numFmtId="0" fontId="83" fillId="0" borderId="11" xfId="149" applyFont="1" applyBorder="1" applyAlignment="1" applyProtection="1">
      <alignment vertical="top" wrapText="1"/>
      <protection locked="0"/>
    </xf>
    <xf numFmtId="0" fontId="83" fillId="0" borderId="0" xfId="149" applyFont="1" applyAlignment="1" applyProtection="1">
      <alignment vertical="top" wrapText="1"/>
      <protection locked="0"/>
    </xf>
    <xf numFmtId="0" fontId="83" fillId="0" borderId="15" xfId="149" applyFont="1" applyBorder="1" applyAlignment="1" applyProtection="1">
      <alignment vertical="top" wrapText="1"/>
      <protection locked="0"/>
    </xf>
    <xf numFmtId="173" fontId="72" fillId="4" borderId="0" xfId="205" applyNumberFormat="1" applyFont="1" applyFill="1" applyAlignment="1">
      <alignment horizontal="center" vertical="center" wrapText="1"/>
    </xf>
    <xf numFmtId="0" fontId="83" fillId="0" borderId="12" xfId="149" applyFont="1" applyBorder="1" applyAlignment="1" applyProtection="1">
      <alignment vertical="top" wrapText="1"/>
      <protection locked="0"/>
    </xf>
    <xf numFmtId="0" fontId="83" fillId="0" borderId="5" xfId="149" applyFont="1" applyBorder="1" applyAlignment="1" applyProtection="1">
      <alignment vertical="top" wrapText="1"/>
      <protection locked="0"/>
    </xf>
    <xf numFmtId="0" fontId="83" fillId="0" borderId="13" xfId="149" applyFont="1" applyBorder="1" applyAlignment="1" applyProtection="1">
      <alignment vertical="top" wrapText="1"/>
      <protection locked="0"/>
    </xf>
    <xf numFmtId="0" fontId="83" fillId="0" borderId="9" xfId="149" applyFont="1" applyBorder="1" applyAlignment="1">
      <alignment vertical="top" wrapText="1"/>
    </xf>
    <xf numFmtId="0" fontId="83" fillId="0" borderId="14" xfId="149" applyFont="1" applyBorder="1" applyAlignment="1" applyProtection="1">
      <alignment vertical="top" wrapText="1"/>
      <protection locked="0"/>
    </xf>
    <xf numFmtId="0" fontId="83" fillId="0" borderId="11" xfId="149" applyFont="1" applyBorder="1" applyAlignment="1">
      <alignment vertical="top" wrapText="1"/>
    </xf>
    <xf numFmtId="0" fontId="111" fillId="3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49" fillId="0" borderId="0" xfId="151" applyFont="1" applyAlignment="1">
      <alignment horizontal="center" vertical="center" wrapText="1"/>
    </xf>
    <xf numFmtId="0" fontId="22" fillId="3" borderId="0" xfId="204" applyFont="1" applyFill="1" applyAlignment="1">
      <alignment horizontal="center" vertical="center" wrapText="1"/>
    </xf>
    <xf numFmtId="0" fontId="22" fillId="0" borderId="9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0" fontId="22" fillId="0" borderId="11" xfId="103" applyFont="1" applyBorder="1" applyAlignment="1">
      <alignment vertical="center"/>
    </xf>
    <xf numFmtId="0" fontId="22" fillId="0" borderId="0" xfId="103" applyFont="1" applyAlignment="1">
      <alignment vertical="center"/>
    </xf>
    <xf numFmtId="0" fontId="21" fillId="0" borderId="15" xfId="0" applyFont="1" applyBorder="1" applyAlignment="1">
      <alignment vertical="center"/>
    </xf>
    <xf numFmtId="0" fontId="21" fillId="0" borderId="0" xfId="0" applyFont="1" applyAlignment="1" applyProtection="1">
      <alignment vertical="center" wrapText="1"/>
      <protection locked="0"/>
    </xf>
    <xf numFmtId="190" fontId="21" fillId="0" borderId="15" xfId="0" applyNumberFormat="1" applyFont="1" applyBorder="1" applyAlignment="1">
      <alignment vertical="center"/>
    </xf>
    <xf numFmtId="0" fontId="22" fillId="0" borderId="11" xfId="0" applyFont="1" applyBorder="1" applyAlignment="1">
      <alignment vertical="center"/>
    </xf>
    <xf numFmtId="0" fontId="22" fillId="0" borderId="0" xfId="0" applyFont="1" applyAlignment="1">
      <alignment vertical="center"/>
    </xf>
    <xf numFmtId="190" fontId="21" fillId="0" borderId="0" xfId="0" applyNumberFormat="1" applyFont="1" applyAlignment="1">
      <alignment vertical="center"/>
    </xf>
    <xf numFmtId="0" fontId="34" fillId="0" borderId="0" xfId="0" applyFont="1"/>
    <xf numFmtId="0" fontId="49" fillId="0" borderId="11" xfId="149" applyFont="1" applyBorder="1" applyAlignment="1">
      <alignment wrapText="1"/>
    </xf>
    <xf numFmtId="0" fontId="49" fillId="0" borderId="0" xfId="149" applyFont="1" applyAlignment="1">
      <alignment wrapText="1"/>
    </xf>
    <xf numFmtId="0" fontId="49" fillId="0" borderId="15" xfId="149" applyFont="1" applyBorder="1" applyAlignment="1">
      <alignment wrapText="1"/>
    </xf>
    <xf numFmtId="0" fontId="73" fillId="0" borderId="0" xfId="150" applyFont="1" applyAlignment="1">
      <alignment wrapText="1"/>
    </xf>
    <xf numFmtId="0" fontId="34" fillId="0" borderId="0" xfId="0" applyFont="1" applyAlignment="1" applyProtection="1">
      <alignment vertical="top"/>
      <protection locked="0"/>
    </xf>
    <xf numFmtId="0" fontId="20" fillId="0" borderId="11" xfId="0" applyFont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34" fillId="0" borderId="15" xfId="0" applyFont="1" applyBorder="1" applyAlignment="1" applyProtection="1">
      <alignment vertical="top"/>
      <protection locked="0"/>
    </xf>
    <xf numFmtId="0" fontId="22" fillId="3" borderId="0" xfId="205" applyFont="1" applyFill="1" applyAlignment="1">
      <alignment horizontal="center" vertical="center" wrapText="1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4" xfId="0" applyFont="1" applyBorder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21" fillId="0" borderId="15" xfId="0" applyFont="1" applyBorder="1" applyAlignment="1" applyProtection="1">
      <alignment vertical="center"/>
      <protection locked="0"/>
    </xf>
    <xf numFmtId="190" fontId="21" fillId="0" borderId="15" xfId="0" applyNumberFormat="1" applyFont="1" applyBorder="1" applyAlignment="1" applyProtection="1">
      <alignment vertical="center"/>
      <protection locked="0"/>
    </xf>
    <xf numFmtId="190" fontId="21" fillId="0" borderId="0" xfId="0" applyNumberFormat="1" applyFont="1" applyAlignment="1" applyProtection="1">
      <alignment vertical="center"/>
      <protection locked="0"/>
    </xf>
    <xf numFmtId="0" fontId="22" fillId="0" borderId="12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1" fillId="0" borderId="5" xfId="0" applyFont="1" applyBorder="1" applyAlignment="1" applyProtection="1">
      <alignment vertical="center"/>
      <protection locked="0"/>
    </xf>
    <xf numFmtId="190" fontId="21" fillId="0" borderId="5" xfId="0" applyNumberFormat="1" applyFont="1" applyBorder="1" applyAlignment="1" applyProtection="1">
      <alignment vertical="center"/>
      <protection locked="0"/>
    </xf>
    <xf numFmtId="190" fontId="21" fillId="0" borderId="13" xfId="0" applyNumberFormat="1" applyFont="1" applyBorder="1" applyAlignment="1" applyProtection="1">
      <alignment vertical="center"/>
      <protection locked="0"/>
    </xf>
    <xf numFmtId="190" fontId="44" fillId="4" borderId="0" xfId="82" applyNumberFormat="1" applyFont="1" applyFill="1" applyAlignment="1">
      <alignment vertical="center" wrapText="1"/>
    </xf>
    <xf numFmtId="0" fontId="113" fillId="0" borderId="0" xfId="0" applyFont="1" applyAlignment="1">
      <alignment horizontal="right" vertical="center"/>
    </xf>
    <xf numFmtId="0" fontId="113" fillId="0" borderId="0" xfId="0" applyFont="1" applyAlignment="1">
      <alignment horizontal="center" vertical="center"/>
    </xf>
    <xf numFmtId="0" fontId="113" fillId="0" borderId="15" xfId="0" applyFont="1" applyBorder="1" applyAlignment="1">
      <alignment horizontal="center" vertical="center"/>
    </xf>
    <xf numFmtId="0" fontId="113" fillId="0" borderId="12" xfId="0" applyFont="1" applyBorder="1" applyAlignment="1">
      <alignment horizontal="left" vertical="center"/>
    </xf>
    <xf numFmtId="0" fontId="113" fillId="0" borderId="5" xfId="0" applyFont="1" applyBorder="1" applyAlignment="1">
      <alignment horizontal="left" vertical="center"/>
    </xf>
    <xf numFmtId="0" fontId="117" fillId="0" borderId="5" xfId="0" applyFont="1" applyBorder="1" applyAlignment="1" applyProtection="1">
      <alignment horizontal="center" vertical="center"/>
      <protection locked="0"/>
    </xf>
    <xf numFmtId="0" fontId="113" fillId="0" borderId="5" xfId="0" applyFont="1" applyBorder="1" applyAlignment="1">
      <alignment horizontal="right" vertical="center"/>
    </xf>
    <xf numFmtId="0" fontId="113" fillId="0" borderId="5" xfId="0" applyFont="1" applyBorder="1" applyAlignment="1">
      <alignment horizontal="center" vertical="center"/>
    </xf>
    <xf numFmtId="0" fontId="113" fillId="0" borderId="13" xfId="0" applyFont="1" applyBorder="1" applyAlignment="1">
      <alignment horizontal="center" vertical="center"/>
    </xf>
    <xf numFmtId="0" fontId="41" fillId="0" borderId="11" xfId="0" applyFont="1" applyBorder="1" applyAlignment="1">
      <alignment horizontal="center" vertical="top"/>
    </xf>
    <xf numFmtId="0" fontId="41" fillId="0" borderId="0" xfId="0" applyFont="1" applyAlignment="1">
      <alignment horizontal="center" vertical="top"/>
    </xf>
    <xf numFmtId="0" fontId="43" fillId="4" borderId="0" xfId="0" applyFont="1" applyFill="1" applyAlignment="1" applyProtection="1">
      <alignment vertical="center"/>
      <protection locked="0"/>
    </xf>
    <xf numFmtId="0" fontId="110" fillId="4" borderId="0" xfId="82" applyFont="1" applyFill="1" applyAlignment="1">
      <alignment vertical="center" wrapText="1"/>
    </xf>
    <xf numFmtId="170" fontId="106" fillId="4" borderId="19" xfId="0" applyNumberFormat="1" applyFont="1" applyFill="1" applyBorder="1" applyAlignment="1">
      <alignment horizontal="center" vertical="center" wrapText="1"/>
    </xf>
    <xf numFmtId="0" fontId="44" fillId="0" borderId="10" xfId="0" applyFont="1" applyBorder="1"/>
    <xf numFmtId="0" fontId="55" fillId="5" borderId="0" xfId="75" applyNumberFormat="1" applyFont="1" applyFill="1" applyAlignment="1">
      <alignment horizontal="left" vertical="top" wrapText="1"/>
    </xf>
    <xf numFmtId="0" fontId="44" fillId="0" borderId="5" xfId="0" applyFont="1" applyBorder="1" applyAlignment="1">
      <alignment horizontal="center"/>
    </xf>
    <xf numFmtId="1" fontId="77" fillId="0" borderId="9" xfId="0" applyNumberFormat="1" applyFont="1" applyBorder="1" applyAlignment="1">
      <alignment horizontal="left" vertical="center" wrapText="1"/>
    </xf>
    <xf numFmtId="1" fontId="77" fillId="0" borderId="10" xfId="0" applyNumberFormat="1" applyFont="1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173" fontId="22" fillId="0" borderId="10" xfId="0" applyNumberFormat="1" applyFont="1" applyBorder="1" applyAlignment="1" applyProtection="1">
      <alignment horizontal="center" vertical="center"/>
      <protection locked="0"/>
    </xf>
    <xf numFmtId="173" fontId="22" fillId="0" borderId="14" xfId="0" applyNumberFormat="1" applyFont="1" applyBorder="1" applyAlignment="1" applyProtection="1">
      <alignment horizontal="center" vertical="center"/>
      <protection locked="0"/>
    </xf>
    <xf numFmtId="1" fontId="77" fillId="0" borderId="11" xfId="0" applyNumberFormat="1" applyFont="1" applyBorder="1" applyAlignment="1">
      <alignment horizontal="left" vertical="center" wrapText="1"/>
    </xf>
    <xf numFmtId="173" fontId="22" fillId="0" borderId="0" xfId="0" applyNumberFormat="1" applyFont="1" applyAlignment="1" applyProtection="1">
      <alignment horizontal="center" vertical="center"/>
      <protection locked="0"/>
    </xf>
    <xf numFmtId="173" fontId="22" fillId="0" borderId="15" xfId="0" applyNumberFormat="1" applyFont="1" applyBorder="1" applyAlignment="1" applyProtection="1">
      <alignment horizontal="center" vertical="center"/>
      <protection locked="0"/>
    </xf>
    <xf numFmtId="0" fontId="53" fillId="12" borderId="0" xfId="75" applyNumberFormat="1" applyFont="1" applyFill="1" applyAlignment="1">
      <alignment horizontal="center"/>
    </xf>
    <xf numFmtId="0" fontId="0" fillId="4" borderId="12" xfId="0" applyFill="1" applyBorder="1" applyAlignment="1" applyProtection="1">
      <alignment vertical="top"/>
      <protection locked="0"/>
    </xf>
    <xf numFmtId="0" fontId="0" fillId="0" borderId="5" xfId="0" applyBorder="1" applyAlignment="1" applyProtection="1">
      <alignment vertical="top"/>
      <protection locked="0"/>
    </xf>
    <xf numFmtId="0" fontId="0" fillId="0" borderId="13" xfId="0" applyBorder="1" applyAlignment="1" applyProtection="1">
      <alignment vertical="top"/>
      <protection locked="0"/>
    </xf>
    <xf numFmtId="0" fontId="20" fillId="0" borderId="9" xfId="0" applyFont="1" applyBorder="1" applyAlignment="1" applyProtection="1">
      <alignment vertical="top"/>
      <protection locked="0"/>
    </xf>
    <xf numFmtId="0" fontId="0" fillId="0" borderId="10" xfId="0" applyBorder="1" applyProtection="1">
      <protection locked="0"/>
    </xf>
    <xf numFmtId="0" fontId="0" fillId="0" borderId="10" xfId="0" applyBorder="1" applyAlignment="1" applyProtection="1">
      <alignment vertical="top"/>
      <protection locked="0"/>
    </xf>
    <xf numFmtId="0" fontId="0" fillId="0" borderId="14" xfId="0" applyBorder="1" applyAlignment="1" applyProtection="1">
      <alignment vertical="top"/>
      <protection locked="0"/>
    </xf>
    <xf numFmtId="0" fontId="20" fillId="0" borderId="11" xfId="0" applyFont="1" applyBorder="1" applyAlignment="1" applyProtection="1">
      <alignment vertical="top"/>
      <protection locked="0"/>
    </xf>
    <xf numFmtId="0" fontId="0" fillId="0" borderId="15" xfId="0" applyBorder="1" applyAlignment="1" applyProtection="1">
      <alignment vertical="top"/>
      <protection locked="0"/>
    </xf>
    <xf numFmtId="0" fontId="53" fillId="13" borderId="0" xfId="75" applyNumberFormat="1" applyFont="1" applyFill="1" applyAlignment="1">
      <alignment horizontal="center"/>
    </xf>
    <xf numFmtId="0" fontId="20" fillId="0" borderId="134" xfId="0" applyFont="1" applyBorder="1" applyAlignment="1" applyProtection="1">
      <alignment vertical="top"/>
      <protection locked="0"/>
    </xf>
    <xf numFmtId="0" fontId="0" fillId="0" borderId="16" xfId="0" applyBorder="1" applyProtection="1">
      <protection locked="0"/>
    </xf>
    <xf numFmtId="0" fontId="0" fillId="0" borderId="16" xfId="0" applyBorder="1" applyAlignment="1" applyProtection="1">
      <alignment vertical="top"/>
      <protection locked="0"/>
    </xf>
    <xf numFmtId="0" fontId="0" fillId="0" borderId="139" xfId="0" applyBorder="1" applyAlignment="1" applyProtection="1">
      <alignment vertical="top"/>
      <protection locked="0"/>
    </xf>
    <xf numFmtId="1" fontId="77" fillId="0" borderId="17" xfId="0" applyNumberFormat="1" applyFont="1" applyBorder="1" applyAlignment="1">
      <alignment horizontal="left" vertical="center" wrapText="1"/>
    </xf>
    <xf numFmtId="0" fontId="0" fillId="0" borderId="17" xfId="0" applyBorder="1" applyAlignment="1">
      <alignment horizontal="center"/>
    </xf>
    <xf numFmtId="173" fontId="22" fillId="0" borderId="17" xfId="0" applyNumberFormat="1" applyFont="1" applyBorder="1" applyAlignment="1" applyProtection="1">
      <alignment horizontal="center" vertical="center"/>
      <protection locked="0"/>
    </xf>
    <xf numFmtId="173" fontId="68" fillId="4" borderId="0" xfId="0" applyNumberFormat="1" applyFont="1" applyFill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170" fontId="89" fillId="0" borderId="0" xfId="0" applyNumberFormat="1" applyFont="1" applyAlignment="1">
      <alignment vertical="center"/>
    </xf>
    <xf numFmtId="0" fontId="72" fillId="3" borderId="0" xfId="205" applyFont="1" applyFill="1" applyAlignment="1">
      <alignment horizontal="center" vertical="center" wrapText="1"/>
    </xf>
    <xf numFmtId="0" fontId="96" fillId="0" borderId="0" xfId="0" applyFont="1" applyAlignment="1">
      <alignment vertical="center"/>
    </xf>
    <xf numFmtId="0" fontId="68" fillId="0" borderId="0" xfId="0" applyFont="1" applyAlignment="1">
      <alignment horizontal="left" vertical="center"/>
    </xf>
    <xf numFmtId="0" fontId="96" fillId="0" borderId="0" xfId="0" applyFont="1" applyAlignment="1">
      <alignment horizontal="center" vertical="center"/>
    </xf>
    <xf numFmtId="0" fontId="78" fillId="0" borderId="0" xfId="0" applyFont="1" applyAlignment="1">
      <alignment horizontal="center"/>
    </xf>
    <xf numFmtId="0" fontId="68" fillId="14" borderId="0" xfId="0" applyFont="1" applyFill="1" applyAlignment="1">
      <alignment vertical="center"/>
    </xf>
    <xf numFmtId="170" fontId="89" fillId="14" borderId="0" xfId="0" applyNumberFormat="1" applyFont="1" applyFill="1" applyAlignment="1">
      <alignment horizontal="center" vertical="center"/>
    </xf>
    <xf numFmtId="170" fontId="89" fillId="0" borderId="0" xfId="0" applyNumberFormat="1" applyFont="1" applyAlignment="1">
      <alignment horizontal="center" vertical="center"/>
    </xf>
    <xf numFmtId="170" fontId="89" fillId="14" borderId="0" xfId="0" applyNumberFormat="1" applyFont="1" applyFill="1" applyAlignment="1" applyProtection="1">
      <alignment horizontal="center" vertical="center"/>
      <protection locked="0"/>
    </xf>
    <xf numFmtId="170" fontId="89" fillId="0" borderId="0" xfId="0" applyNumberFormat="1" applyFont="1" applyAlignment="1" applyProtection="1">
      <alignment horizontal="center" vertical="center"/>
      <protection locked="0"/>
    </xf>
    <xf numFmtId="0" fontId="79" fillId="0" borderId="0" xfId="75" applyNumberFormat="1" applyFont="1" applyAlignment="1">
      <alignment horizontal="center" vertical="center"/>
    </xf>
    <xf numFmtId="2" fontId="89" fillId="14" borderId="0" xfId="0" applyNumberFormat="1" applyFont="1" applyFill="1" applyAlignment="1">
      <alignment horizontal="center" vertical="center"/>
    </xf>
    <xf numFmtId="2" fontId="89" fillId="0" borderId="0" xfId="0" applyNumberFormat="1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38" fillId="0" borderId="0" xfId="75" applyNumberFormat="1" applyFont="1"/>
    <xf numFmtId="10" fontId="72" fillId="4" borderId="0" xfId="0" applyNumberFormat="1" applyFont="1" applyFill="1" applyAlignment="1">
      <alignment horizontal="center" vertical="center"/>
    </xf>
    <xf numFmtId="0" fontId="68" fillId="18" borderId="0" xfId="0" applyFont="1" applyFill="1" applyAlignment="1">
      <alignment horizontal="center" vertical="center"/>
    </xf>
    <xf numFmtId="0" fontId="81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3" fillId="0" borderId="0" xfId="0" applyFont="1" applyAlignment="1" applyProtection="1">
      <alignment horizontal="center" vertical="center"/>
      <protection locked="0"/>
    </xf>
    <xf numFmtId="170" fontId="79" fillId="0" borderId="0" xfId="75" applyNumberFormat="1" applyFont="1" applyAlignment="1">
      <alignment horizontal="center" vertical="center"/>
    </xf>
    <xf numFmtId="0" fontId="19" fillId="24" borderId="0" xfId="82" applyFill="1"/>
    <xf numFmtId="0" fontId="119" fillId="0" borderId="0" xfId="82" applyFont="1" applyAlignment="1">
      <alignment horizontal="left"/>
    </xf>
    <xf numFmtId="0" fontId="40" fillId="0" borderId="0" xfId="82" applyFont="1"/>
    <xf numFmtId="0" fontId="44" fillId="0" borderId="9" xfId="89" applyFont="1" applyBorder="1"/>
    <xf numFmtId="0" fontId="44" fillId="0" borderId="10" xfId="89" applyFont="1" applyBorder="1"/>
    <xf numFmtId="0" fontId="44" fillId="0" borderId="14" xfId="89" applyFont="1" applyBorder="1"/>
    <xf numFmtId="0" fontId="43" fillId="0" borderId="3" xfId="89" applyFont="1" applyBorder="1" applyAlignment="1">
      <alignment horizontal="center"/>
    </xf>
    <xf numFmtId="0" fontId="20" fillId="0" borderId="9" xfId="89" applyFont="1" applyBorder="1" applyAlignment="1">
      <alignment horizontal="center"/>
    </xf>
    <xf numFmtId="0" fontId="44" fillId="0" borderId="10" xfId="89" applyFont="1" applyBorder="1" applyAlignment="1">
      <alignment horizontal="right"/>
    </xf>
    <xf numFmtId="0" fontId="43" fillId="0" borderId="10" xfId="89" applyFont="1" applyBorder="1"/>
    <xf numFmtId="0" fontId="43" fillId="0" borderId="0" xfId="89" applyFont="1" applyAlignment="1">
      <alignment horizontal="center"/>
    </xf>
    <xf numFmtId="0" fontId="44" fillId="0" borderId="0" xfId="89" applyFont="1"/>
    <xf numFmtId="0" fontId="44" fillId="0" borderId="11" xfId="89" applyFont="1" applyBorder="1"/>
    <xf numFmtId="0" fontId="44" fillId="4" borderId="0" xfId="89" applyFont="1" applyFill="1"/>
    <xf numFmtId="0" fontId="19" fillId="4" borderId="0" xfId="89" applyFill="1"/>
    <xf numFmtId="0" fontId="44" fillId="4" borderId="15" xfId="89" applyFont="1" applyFill="1" applyBorder="1"/>
    <xf numFmtId="0" fontId="44" fillId="25" borderId="4" xfId="89" applyFont="1" applyFill="1" applyBorder="1" applyProtection="1">
      <protection locked="0"/>
    </xf>
    <xf numFmtId="0" fontId="44" fillId="0" borderId="1" xfId="89" applyFont="1" applyBorder="1"/>
    <xf numFmtId="0" fontId="19" fillId="0" borderId="11" xfId="89" applyBorder="1"/>
    <xf numFmtId="0" fontId="20" fillId="3" borderId="11" xfId="89" applyFont="1" applyFill="1" applyBorder="1" applyAlignment="1">
      <alignment horizontal="center"/>
    </xf>
    <xf numFmtId="0" fontId="20" fillId="3" borderId="0" xfId="89" applyFont="1" applyFill="1" applyAlignment="1">
      <alignment horizontal="center"/>
    </xf>
    <xf numFmtId="0" fontId="20" fillId="3" borderId="15" xfId="89" applyFont="1" applyFill="1" applyBorder="1" applyAlignment="1">
      <alignment horizontal="center"/>
    </xf>
    <xf numFmtId="0" fontId="43" fillId="3" borderId="11" xfId="89" applyFont="1" applyFill="1" applyBorder="1"/>
    <xf numFmtId="0" fontId="43" fillId="3" borderId="0" xfId="89" applyFont="1" applyFill="1" applyAlignment="1">
      <alignment horizontal="center"/>
    </xf>
    <xf numFmtId="0" fontId="43" fillId="3" borderId="11" xfId="89" applyFont="1" applyFill="1" applyBorder="1" applyAlignment="1">
      <alignment horizontal="center"/>
    </xf>
    <xf numFmtId="0" fontId="43" fillId="3" borderId="15" xfId="89" applyFont="1" applyFill="1" applyBorder="1" applyAlignment="1">
      <alignment horizontal="center"/>
    </xf>
    <xf numFmtId="0" fontId="19" fillId="3" borderId="11" xfId="89" applyFill="1" applyBorder="1" applyAlignment="1">
      <alignment vertical="center"/>
    </xf>
    <xf numFmtId="0" fontId="20" fillId="3" borderId="0" xfId="89" applyFont="1" applyFill="1" applyAlignment="1">
      <alignment vertical="center"/>
    </xf>
    <xf numFmtId="0" fontId="20" fillId="3" borderId="15" xfId="89" applyFont="1" applyFill="1" applyBorder="1" applyAlignment="1">
      <alignment vertical="center"/>
    </xf>
    <xf numFmtId="0" fontId="19" fillId="4" borderId="1" xfId="89" applyFill="1" applyBorder="1"/>
    <xf numFmtId="0" fontId="19" fillId="0" borderId="11" xfId="89" applyBorder="1" applyAlignment="1">
      <alignment vertical="center"/>
    </xf>
    <xf numFmtId="0" fontId="119" fillId="0" borderId="0" xfId="89" applyFont="1"/>
    <xf numFmtId="0" fontId="119" fillId="0" borderId="15" xfId="89" applyFont="1" applyBorder="1"/>
    <xf numFmtId="0" fontId="19" fillId="4" borderId="11" xfId="89" applyFill="1" applyBorder="1"/>
    <xf numFmtId="0" fontId="19" fillId="4" borderId="15" xfId="89" applyFill="1" applyBorder="1"/>
    <xf numFmtId="0" fontId="19" fillId="0" borderId="1" xfId="89" applyBorder="1" applyAlignment="1">
      <alignment horizontal="center"/>
    </xf>
    <xf numFmtId="0" fontId="19" fillId="0" borderId="0" xfId="89"/>
    <xf numFmtId="0" fontId="119" fillId="4" borderId="0" xfId="89" applyFont="1" applyFill="1" applyAlignment="1">
      <alignment vertical="center"/>
    </xf>
    <xf numFmtId="0" fontId="119" fillId="0" borderId="0" xfId="89" applyFont="1" applyAlignment="1">
      <alignment vertical="center"/>
    </xf>
    <xf numFmtId="0" fontId="19" fillId="0" borderId="11" xfId="82" applyBorder="1"/>
    <xf numFmtId="0" fontId="19" fillId="4" borderId="0" xfId="82" applyFill="1"/>
    <xf numFmtId="0" fontId="44" fillId="0" borderId="0" xfId="82" applyFont="1"/>
    <xf numFmtId="0" fontId="19" fillId="4" borderId="11" xfId="89" applyFill="1" applyBorder="1" applyAlignment="1">
      <alignment vertical="center"/>
    </xf>
    <xf numFmtId="0" fontId="123" fillId="4" borderId="15" xfId="89" applyFont="1" applyFill="1" applyBorder="1" applyAlignment="1">
      <alignment horizontal="justify" vertical="center" wrapText="1"/>
    </xf>
    <xf numFmtId="14" fontId="123" fillId="4" borderId="0" xfId="89" applyNumberFormat="1" applyFont="1" applyFill="1" applyAlignment="1">
      <alignment horizontal="justify" vertical="center" wrapText="1"/>
    </xf>
    <xf numFmtId="0" fontId="19" fillId="4" borderId="0" xfId="89" applyFill="1" applyAlignment="1">
      <alignment vertical="center"/>
    </xf>
    <xf numFmtId="0" fontId="123" fillId="0" borderId="0" xfId="89" applyFont="1" applyAlignment="1">
      <alignment horizontal="justify" vertical="center" wrapText="1"/>
    </xf>
    <xf numFmtId="0" fontId="19" fillId="0" borderId="15" xfId="89" applyBorder="1" applyAlignment="1">
      <alignment vertical="center"/>
    </xf>
    <xf numFmtId="0" fontId="19" fillId="0" borderId="12" xfId="89" applyBorder="1" applyAlignment="1">
      <alignment vertical="center"/>
    </xf>
    <xf numFmtId="0" fontId="119" fillId="4" borderId="5" xfId="89" applyFont="1" applyFill="1" applyBorder="1" applyAlignment="1">
      <alignment vertical="center"/>
    </xf>
    <xf numFmtId="0" fontId="19" fillId="0" borderId="5" xfId="89" applyBorder="1" applyAlignment="1">
      <alignment vertical="center"/>
    </xf>
    <xf numFmtId="0" fontId="19" fillId="0" borderId="13" xfId="89" applyBorder="1" applyAlignment="1">
      <alignment vertical="center"/>
    </xf>
    <xf numFmtId="0" fontId="123" fillId="0" borderId="0" xfId="89" applyFont="1" applyAlignment="1">
      <alignment vertical="center" wrapText="1"/>
    </xf>
    <xf numFmtId="0" fontId="122" fillId="4" borderId="0" xfId="89" applyFont="1" applyFill="1" applyAlignment="1">
      <alignment horizontal="left" vertical="center"/>
    </xf>
    <xf numFmtId="0" fontId="122" fillId="4" borderId="0" xfId="89" applyFont="1" applyFill="1" applyAlignment="1">
      <alignment vertical="center"/>
    </xf>
    <xf numFmtId="0" fontId="19" fillId="4" borderId="15" xfId="89" applyFill="1" applyBorder="1" applyAlignment="1">
      <alignment vertical="center"/>
    </xf>
    <xf numFmtId="0" fontId="20" fillId="0" borderId="11" xfId="89" applyFont="1" applyBorder="1" applyAlignment="1">
      <alignment vertical="center"/>
    </xf>
    <xf numFmtId="0" fontId="124" fillId="0" borderId="0" xfId="89" applyFont="1" applyAlignment="1">
      <alignment vertical="center"/>
    </xf>
    <xf numFmtId="0" fontId="20" fillId="4" borderId="11" xfId="89" applyFont="1" applyFill="1" applyBorder="1" applyAlignment="1">
      <alignment horizontal="center"/>
    </xf>
    <xf numFmtId="0" fontId="20" fillId="4" borderId="15" xfId="89" applyFont="1" applyFill="1" applyBorder="1" applyAlignment="1">
      <alignment horizontal="center"/>
    </xf>
    <xf numFmtId="0" fontId="110" fillId="0" borderId="11" xfId="89" applyFont="1" applyBorder="1" applyAlignment="1">
      <alignment vertical="center" wrapText="1"/>
    </xf>
    <xf numFmtId="0" fontId="110" fillId="0" borderId="15" xfId="89" applyFont="1" applyBorder="1" applyAlignment="1">
      <alignment vertical="center" wrapText="1"/>
    </xf>
    <xf numFmtId="0" fontId="110" fillId="0" borderId="0" xfId="89" applyFont="1" applyAlignment="1">
      <alignment vertical="center" wrapText="1"/>
    </xf>
    <xf numFmtId="0" fontId="19" fillId="0" borderId="12" xfId="89" quotePrefix="1" applyBorder="1" applyAlignment="1">
      <alignment vertical="center"/>
    </xf>
    <xf numFmtId="0" fontId="19" fillId="0" borderId="13" xfId="89" quotePrefix="1" applyBorder="1" applyAlignment="1">
      <alignment vertical="center"/>
    </xf>
    <xf numFmtId="0" fontId="124" fillId="4" borderId="0" xfId="89" applyFont="1" applyFill="1" applyAlignment="1">
      <alignment horizontal="center" vertical="center"/>
    </xf>
    <xf numFmtId="0" fontId="125" fillId="0" borderId="0" xfId="89" applyFont="1" applyAlignment="1">
      <alignment vertical="center"/>
    </xf>
    <xf numFmtId="0" fontId="19" fillId="0" borderId="0" xfId="82" applyAlignment="1">
      <alignment horizontal="center"/>
    </xf>
    <xf numFmtId="0" fontId="125" fillId="0" borderId="0" xfId="82" applyFont="1" applyAlignment="1">
      <alignment horizontal="center"/>
    </xf>
    <xf numFmtId="0" fontId="125" fillId="0" borderId="0" xfId="82" applyFont="1" applyAlignment="1">
      <alignment horizontal="center" vertical="center"/>
    </xf>
    <xf numFmtId="0" fontId="19" fillId="0" borderId="11" xfId="82" applyBorder="1" applyAlignment="1">
      <alignment vertical="center"/>
    </xf>
    <xf numFmtId="0" fontId="19" fillId="0" borderId="0" xfId="82" applyAlignment="1">
      <alignment vertical="center"/>
    </xf>
    <xf numFmtId="0" fontId="21" fillId="0" borderId="0" xfId="82" applyFont="1" applyAlignment="1">
      <alignment horizontal="center" wrapText="1"/>
    </xf>
    <xf numFmtId="0" fontId="19" fillId="0" borderId="15" xfId="89" applyBorder="1"/>
    <xf numFmtId="0" fontId="19" fillId="0" borderId="12" xfId="89" applyBorder="1"/>
    <xf numFmtId="0" fontId="19" fillId="0" borderId="5" xfId="89" applyBorder="1"/>
    <xf numFmtId="0" fontId="19" fillId="0" borderId="13" xfId="89" applyBorder="1"/>
    <xf numFmtId="0" fontId="83" fillId="0" borderId="0" xfId="0" applyFont="1" applyAlignment="1">
      <alignment horizontal="center" vertical="center" wrapText="1"/>
    </xf>
    <xf numFmtId="0" fontId="89" fillId="0" borderId="0" xfId="0" applyFont="1"/>
    <xf numFmtId="0" fontId="83" fillId="0" borderId="0" xfId="0" applyFont="1" applyAlignment="1">
      <alignment horizontal="center" vertical="center"/>
    </xf>
    <xf numFmtId="0" fontId="89" fillId="0" borderId="0" xfId="0" applyFont="1" applyProtection="1">
      <protection locked="0"/>
    </xf>
    <xf numFmtId="0" fontId="22" fillId="0" borderId="9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vertical="center"/>
      <protection locked="0"/>
    </xf>
    <xf numFmtId="0" fontId="22" fillId="0" borderId="11" xfId="103" applyFont="1" applyBorder="1" applyAlignment="1" applyProtection="1">
      <alignment vertical="center"/>
      <protection locked="0"/>
    </xf>
    <xf numFmtId="0" fontId="22" fillId="0" borderId="0" xfId="103" applyFont="1" applyAlignment="1" applyProtection="1">
      <alignment vertical="center"/>
      <protection locked="0"/>
    </xf>
    <xf numFmtId="0" fontId="22" fillId="0" borderId="11" xfId="0" applyFont="1" applyBorder="1" applyAlignment="1" applyProtection="1">
      <alignment vertical="center"/>
      <protection locked="0"/>
    </xf>
    <xf numFmtId="0" fontId="22" fillId="0" borderId="0" xfId="0" applyFont="1" applyAlignment="1" applyProtection="1">
      <alignment vertical="center"/>
      <protection locked="0"/>
    </xf>
    <xf numFmtId="0" fontId="43" fillId="2" borderId="8" xfId="0" applyFont="1" applyFill="1" applyBorder="1" applyAlignment="1" applyProtection="1">
      <alignment vertical="center"/>
      <protection locked="0"/>
    </xf>
    <xf numFmtId="0" fontId="0" fillId="4" borderId="1" xfId="89" applyFont="1" applyFill="1" applyBorder="1" applyAlignment="1">
      <alignment horizontal="center"/>
    </xf>
    <xf numFmtId="0" fontId="0" fillId="0" borderId="4" xfId="89" applyFont="1" applyBorder="1" applyAlignment="1">
      <alignment horizontal="center"/>
    </xf>
    <xf numFmtId="0" fontId="68" fillId="4" borderId="60" xfId="0" applyFont="1" applyFill="1" applyBorder="1" applyAlignment="1">
      <alignment horizontal="left" vertical="center"/>
    </xf>
    <xf numFmtId="0" fontId="68" fillId="4" borderId="27" xfId="0" applyFont="1" applyFill="1" applyBorder="1" applyAlignment="1">
      <alignment horizontal="left" vertical="center"/>
    </xf>
    <xf numFmtId="0" fontId="35" fillId="4" borderId="0" xfId="0" applyFont="1" applyFill="1" applyAlignment="1">
      <alignment horizontal="center" vertical="center" wrapText="1"/>
    </xf>
    <xf numFmtId="0" fontId="91" fillId="0" borderId="6" xfId="0" applyFont="1" applyBorder="1" applyAlignment="1" applyProtection="1">
      <alignment horizontal="center"/>
      <protection locked="0"/>
    </xf>
    <xf numFmtId="0" fontId="0" fillId="14" borderId="0" xfId="0" applyFill="1" applyAlignment="1">
      <alignment horizontal="center" vertical="center" wrapText="1"/>
    </xf>
    <xf numFmtId="0" fontId="43" fillId="3" borderId="0" xfId="150" applyFont="1" applyFill="1" applyAlignment="1">
      <alignment horizontal="center" vertical="center"/>
    </xf>
    <xf numFmtId="0" fontId="89" fillId="14" borderId="0" xfId="0" applyFont="1" applyFill="1" applyAlignment="1">
      <alignment horizontal="center" vertical="center" wrapText="1"/>
    </xf>
    <xf numFmtId="0" fontId="64" fillId="4" borderId="0" xfId="206" applyFont="1" applyFill="1" applyAlignment="1">
      <alignment horizontal="center" vertical="center" wrapText="1"/>
    </xf>
    <xf numFmtId="0" fontId="22" fillId="3" borderId="0" xfId="206" applyFont="1" applyFill="1" applyAlignment="1">
      <alignment horizontal="center" vertical="center" wrapText="1"/>
    </xf>
    <xf numFmtId="0" fontId="20" fillId="0" borderId="3" xfId="89" applyFont="1" applyBorder="1"/>
    <xf numFmtId="0" fontId="91" fillId="0" borderId="1" xfId="0" applyFont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0" fontId="33" fillId="0" borderId="4" xfId="0" applyFont="1" applyBorder="1" applyAlignment="1" applyProtection="1">
      <alignment horizontal="left" vertical="center"/>
      <protection locked="0"/>
    </xf>
    <xf numFmtId="0" fontId="21" fillId="23" borderId="0" xfId="207" applyFont="1" applyFill="1" applyAlignment="1">
      <alignment vertical="center"/>
    </xf>
    <xf numFmtId="0" fontId="44" fillId="2" borderId="31" xfId="208" applyFont="1" applyFill="1" applyBorder="1" applyAlignment="1">
      <alignment horizontal="center" vertical="center" wrapText="1"/>
    </xf>
    <xf numFmtId="0" fontId="44" fillId="2" borderId="13" xfId="208" applyFont="1" applyFill="1" applyBorder="1" applyAlignment="1">
      <alignment horizontal="center" vertical="center" wrapText="1"/>
    </xf>
    <xf numFmtId="0" fontId="22" fillId="4" borderId="35" xfId="208" applyFont="1" applyFill="1" applyBorder="1" applyAlignment="1">
      <alignment horizontal="center" vertical="center" wrapText="1"/>
    </xf>
    <xf numFmtId="0" fontId="22" fillId="4" borderId="27" xfId="208" applyFont="1" applyFill="1" applyBorder="1" applyAlignment="1">
      <alignment horizontal="center" vertical="center" wrapText="1"/>
    </xf>
    <xf numFmtId="0" fontId="52" fillId="4" borderId="27" xfId="208" applyFont="1" applyFill="1" applyBorder="1" applyAlignment="1">
      <alignment horizontal="center" vertical="center" wrapText="1"/>
    </xf>
    <xf numFmtId="0" fontId="52" fillId="4" borderId="28" xfId="208" applyFont="1" applyFill="1" applyBorder="1" applyAlignment="1">
      <alignment horizontal="center" vertical="center" wrapText="1"/>
    </xf>
    <xf numFmtId="0" fontId="64" fillId="4" borderId="37" xfId="208" applyFont="1" applyFill="1" applyBorder="1" applyAlignment="1">
      <alignment horizontal="center" vertical="center" wrapText="1"/>
    </xf>
    <xf numFmtId="0" fontId="64" fillId="4" borderId="28" xfId="208" applyFont="1" applyFill="1" applyBorder="1" applyAlignment="1">
      <alignment horizontal="center" vertical="center" wrapText="1"/>
    </xf>
    <xf numFmtId="0" fontId="90" fillId="4" borderId="1" xfId="208" applyFont="1" applyFill="1" applyBorder="1" applyAlignment="1">
      <alignment horizontal="center" vertical="center" wrapText="1"/>
    </xf>
    <xf numFmtId="0" fontId="22" fillId="4" borderId="41" xfId="208" applyFont="1" applyFill="1" applyBorder="1" applyAlignment="1">
      <alignment horizontal="center" vertical="center" wrapText="1"/>
    </xf>
    <xf numFmtId="0" fontId="68" fillId="4" borderId="27" xfId="208" applyFont="1" applyFill="1" applyBorder="1" applyAlignment="1">
      <alignment horizontal="center" vertical="center" wrapText="1"/>
    </xf>
    <xf numFmtId="0" fontId="52" fillId="4" borderId="37" xfId="208" applyFont="1" applyFill="1" applyBorder="1" applyAlignment="1">
      <alignment horizontal="center" vertical="center" wrapText="1"/>
    </xf>
    <xf numFmtId="0" fontId="52" fillId="4" borderId="70" xfId="208" applyFont="1" applyFill="1" applyBorder="1" applyAlignment="1">
      <alignment horizontal="center" vertical="center" wrapText="1"/>
    </xf>
    <xf numFmtId="0" fontId="52" fillId="4" borderId="69" xfId="208" applyFont="1" applyFill="1" applyBorder="1" applyAlignment="1">
      <alignment horizontal="center" vertical="center" wrapText="1"/>
    </xf>
    <xf numFmtId="0" fontId="52" fillId="4" borderId="37" xfId="208" applyFont="1" applyFill="1" applyBorder="1" applyAlignment="1">
      <alignment vertical="center" wrapText="1"/>
    </xf>
    <xf numFmtId="0" fontId="52" fillId="4" borderId="66" xfId="208" applyFont="1" applyFill="1" applyBorder="1" applyAlignment="1">
      <alignment vertical="center" wrapText="1"/>
    </xf>
    <xf numFmtId="0" fontId="52" fillId="4" borderId="27" xfId="208" applyFont="1" applyFill="1" applyBorder="1" applyAlignment="1">
      <alignment vertical="center" wrapText="1"/>
    </xf>
    <xf numFmtId="0" fontId="52" fillId="4" borderId="38" xfId="208" applyFont="1" applyFill="1" applyBorder="1" applyAlignment="1">
      <alignment vertical="center" wrapText="1"/>
    </xf>
    <xf numFmtId="0" fontId="72" fillId="4" borderId="27" xfId="208" applyFont="1" applyFill="1" applyBorder="1" applyAlignment="1">
      <alignment horizontal="center" vertical="center" wrapText="1"/>
    </xf>
    <xf numFmtId="0" fontId="72" fillId="4" borderId="27" xfId="208" applyFont="1" applyFill="1" applyBorder="1" applyAlignment="1">
      <alignment horizontal="right" vertical="center" wrapText="1" indent="1"/>
    </xf>
    <xf numFmtId="0" fontId="64" fillId="15" borderId="37" xfId="208" applyFont="1" applyFill="1" applyBorder="1" applyAlignment="1">
      <alignment vertical="center" wrapText="1"/>
    </xf>
    <xf numFmtId="0" fontId="64" fillId="15" borderId="66" xfId="208" applyFont="1" applyFill="1" applyBorder="1" applyAlignment="1">
      <alignment vertical="center" wrapText="1"/>
    </xf>
    <xf numFmtId="0" fontId="64" fillId="15" borderId="27" xfId="208" applyFont="1" applyFill="1" applyBorder="1" applyAlignment="1">
      <alignment vertical="center" wrapText="1"/>
    </xf>
    <xf numFmtId="0" fontId="64" fillId="15" borderId="38" xfId="208" applyFont="1" applyFill="1" applyBorder="1" applyAlignment="1">
      <alignment vertical="center" wrapText="1"/>
    </xf>
    <xf numFmtId="0" fontId="90" fillId="4" borderId="4" xfId="208" applyFont="1" applyFill="1" applyBorder="1" applyAlignment="1">
      <alignment horizontal="center" vertical="center" wrapText="1"/>
    </xf>
    <xf numFmtId="0" fontId="42" fillId="4" borderId="0" xfId="0" applyFont="1" applyFill="1" applyAlignment="1">
      <alignment horizontal="center" vertical="top"/>
    </xf>
    <xf numFmtId="170" fontId="44" fillId="0" borderId="0" xfId="0" applyNumberFormat="1" applyFont="1" applyAlignment="1">
      <alignment horizontal="center" vertical="center" wrapText="1"/>
    </xf>
    <xf numFmtId="170" fontId="44" fillId="0" borderId="5" xfId="0" applyNumberFormat="1" applyFont="1" applyBorder="1" applyAlignment="1">
      <alignment horizontal="center" vertical="center" wrapText="1"/>
    </xf>
    <xf numFmtId="0" fontId="44" fillId="0" borderId="0" xfId="89" applyFont="1" applyProtection="1">
      <protection locked="0"/>
    </xf>
    <xf numFmtId="0" fontId="91" fillId="0" borderId="137" xfId="0" applyFont="1" applyBorder="1" applyAlignment="1" applyProtection="1">
      <alignment horizontal="center" wrapText="1"/>
      <protection locked="0"/>
    </xf>
    <xf numFmtId="0" fontId="91" fillId="0" borderId="138" xfId="0" applyFont="1" applyBorder="1" applyAlignment="1" applyProtection="1">
      <alignment horizontal="center" wrapText="1"/>
      <protection locked="0"/>
    </xf>
    <xf numFmtId="0" fontId="19" fillId="4" borderId="0" xfId="89" applyFill="1" applyProtection="1">
      <protection locked="0"/>
    </xf>
    <xf numFmtId="0" fontId="43" fillId="4" borderId="10" xfId="204" applyFont="1" applyFill="1" applyBorder="1" applyAlignment="1">
      <alignment horizontal="center" vertical="center" wrapText="1"/>
    </xf>
    <xf numFmtId="0" fontId="43" fillId="0" borderId="5" xfId="0" applyFont="1" applyBorder="1" applyAlignment="1">
      <alignment vertical="center"/>
    </xf>
    <xf numFmtId="0" fontId="124" fillId="0" borderId="3" xfId="89" applyFont="1" applyBorder="1" applyAlignment="1">
      <alignment horizontal="justify" vertical="center" wrapText="1"/>
    </xf>
    <xf numFmtId="0" fontId="123" fillId="0" borderId="1" xfId="89" applyFont="1" applyBorder="1" applyAlignment="1">
      <alignment horizontal="justify" vertical="center" wrapText="1"/>
    </xf>
    <xf numFmtId="0" fontId="123" fillId="0" borderId="4" xfId="89" applyFont="1" applyBorder="1" applyAlignment="1">
      <alignment horizontal="justify" vertical="center" wrapText="1"/>
    </xf>
    <xf numFmtId="0" fontId="91" fillId="0" borderId="1" xfId="0" applyFont="1" applyBorder="1"/>
    <xf numFmtId="0" fontId="95" fillId="0" borderId="3" xfId="0" applyFont="1" applyBorder="1" applyAlignment="1">
      <alignment horizontal="left"/>
    </xf>
    <xf numFmtId="0" fontId="33" fillId="0" borderId="9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3" fillId="16" borderId="11" xfId="0" applyFont="1" applyFill="1" applyBorder="1" applyAlignment="1">
      <alignment horizontal="center"/>
    </xf>
    <xf numFmtId="0" fontId="33" fillId="0" borderId="11" xfId="0" applyFont="1" applyBorder="1" applyAlignment="1">
      <alignment horizontal="center" vertical="center"/>
    </xf>
    <xf numFmtId="171" fontId="91" fillId="0" borderId="117" xfId="0" applyNumberFormat="1" applyFont="1" applyBorder="1" applyAlignment="1">
      <alignment horizontal="center"/>
    </xf>
    <xf numFmtId="0" fontId="21" fillId="4" borderId="3" xfId="206" applyFont="1" applyFill="1" applyBorder="1" applyAlignment="1">
      <alignment horizontal="center" vertical="center" wrapText="1"/>
    </xf>
    <xf numFmtId="0" fontId="21" fillId="4" borderId="1" xfId="206" applyFont="1" applyFill="1" applyBorder="1" applyAlignment="1">
      <alignment horizontal="center" vertical="center" wrapText="1"/>
    </xf>
    <xf numFmtId="0" fontId="21" fillId="4" borderId="4" xfId="206" applyFont="1" applyFill="1" applyBorder="1" applyAlignment="1">
      <alignment horizontal="center" vertical="center" wrapText="1"/>
    </xf>
    <xf numFmtId="0" fontId="65" fillId="2" borderId="0" xfId="206" applyFont="1" applyFill="1" applyAlignment="1">
      <alignment horizontal="center" vertical="center" wrapText="1"/>
    </xf>
    <xf numFmtId="0" fontId="110" fillId="0" borderId="0" xfId="89" applyFont="1" applyProtection="1">
      <protection locked="0"/>
    </xf>
    <xf numFmtId="0" fontId="110" fillId="0" borderId="15" xfId="89" applyFont="1" applyBorder="1" applyProtection="1">
      <protection locked="0"/>
    </xf>
    <xf numFmtId="0" fontId="102" fillId="2" borderId="0" xfId="197" applyFont="1" applyFill="1" applyAlignment="1">
      <alignment vertical="center" wrapText="1"/>
    </xf>
    <xf numFmtId="0" fontId="102" fillId="2" borderId="117" xfId="197" applyFont="1" applyFill="1" applyBorder="1" applyAlignment="1">
      <alignment vertical="center" wrapText="1"/>
    </xf>
    <xf numFmtId="0" fontId="90" fillId="4" borderId="117" xfId="197" applyFont="1" applyFill="1" applyBorder="1" applyAlignment="1">
      <alignment vertical="center" wrapText="1"/>
    </xf>
    <xf numFmtId="0" fontId="34" fillId="0" borderId="2" xfId="0" applyFont="1" applyBorder="1" applyAlignment="1" applyProtection="1">
      <alignment horizontal="center" vertical="center"/>
      <protection locked="0"/>
    </xf>
    <xf numFmtId="0" fontId="33" fillId="0" borderId="3" xfId="0" applyFont="1" applyBorder="1" applyAlignment="1" applyProtection="1">
      <alignment horizontal="center" vertical="center"/>
      <protection locked="0"/>
    </xf>
    <xf numFmtId="0" fontId="91" fillId="0" borderId="2" xfId="0" applyFont="1" applyBorder="1" applyAlignment="1">
      <alignment horizontal="center" vertical="center"/>
    </xf>
    <xf numFmtId="0" fontId="72" fillId="3" borderId="2" xfId="198" applyFont="1" applyFill="1" applyBorder="1" applyAlignment="1">
      <alignment horizontal="center" vertical="center" wrapText="1"/>
    </xf>
    <xf numFmtId="0" fontId="95" fillId="0" borderId="2" xfId="0" applyFont="1" applyBorder="1" applyAlignment="1">
      <alignment horizontal="center" vertical="center" wrapText="1"/>
    </xf>
    <xf numFmtId="0" fontId="33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34" fillId="0" borderId="2" xfId="0" applyFont="1" applyBorder="1" applyAlignment="1" applyProtection="1">
      <alignment horizontal="center" vertical="center" wrapText="1"/>
      <protection locked="0"/>
    </xf>
    <xf numFmtId="0" fontId="95" fillId="0" borderId="2" xfId="0" applyFont="1" applyBorder="1" applyAlignment="1" applyProtection="1">
      <alignment horizontal="center" vertical="center"/>
      <protection locked="0"/>
    </xf>
    <xf numFmtId="0" fontId="33" fillId="0" borderId="117" xfId="0" applyFont="1" applyBorder="1" applyProtection="1">
      <protection locked="0"/>
    </xf>
    <xf numFmtId="170" fontId="44" fillId="0" borderId="5" xfId="82" applyNumberFormat="1" applyFont="1" applyBorder="1" applyAlignment="1" applyProtection="1">
      <alignment horizontal="right" vertical="center"/>
      <protection locked="0"/>
    </xf>
    <xf numFmtId="0" fontId="91" fillId="0" borderId="100" xfId="0" applyFont="1" applyBorder="1" applyProtection="1">
      <protection locked="0"/>
    </xf>
    <xf numFmtId="170" fontId="68" fillId="4" borderId="0" xfId="0" applyNumberFormat="1" applyFont="1" applyFill="1" applyAlignment="1">
      <alignment horizontal="center" vertical="center" wrapText="1"/>
    </xf>
    <xf numFmtId="0" fontId="91" fillId="0" borderId="9" xfId="0" applyFont="1" applyBorder="1" applyProtection="1">
      <protection locked="0"/>
    </xf>
    <xf numFmtId="1" fontId="95" fillId="0" borderId="10" xfId="0" applyNumberFormat="1" applyFont="1" applyBorder="1" applyAlignment="1" applyProtection="1">
      <alignment horizontal="center" vertical="center"/>
      <protection locked="0"/>
    </xf>
    <xf numFmtId="1" fontId="95" fillId="0" borderId="14" xfId="0" applyNumberFormat="1" applyFont="1" applyBorder="1" applyAlignment="1" applyProtection="1">
      <alignment horizontal="center" vertical="center"/>
      <protection locked="0"/>
    </xf>
    <xf numFmtId="0" fontId="91" fillId="0" borderId="9" xfId="0" applyFont="1" applyBorder="1" applyAlignment="1">
      <alignment vertical="center"/>
    </xf>
    <xf numFmtId="0" fontId="68" fillId="4" borderId="11" xfId="204" applyFont="1" applyFill="1" applyBorder="1" applyAlignment="1">
      <alignment vertical="center" wrapText="1"/>
    </xf>
    <xf numFmtId="0" fontId="91" fillId="0" borderId="15" xfId="0" applyFont="1" applyBorder="1" applyAlignment="1" applyProtection="1">
      <alignment horizontal="center"/>
      <protection locked="0"/>
    </xf>
    <xf numFmtId="0" fontId="68" fillId="0" borderId="11" xfId="0" applyFont="1" applyBorder="1" applyAlignment="1">
      <alignment vertical="center"/>
    </xf>
    <xf numFmtId="0" fontId="68" fillId="0" borderId="12" xfId="0" applyFont="1" applyBorder="1" applyAlignment="1">
      <alignment vertical="center"/>
    </xf>
    <xf numFmtId="0" fontId="91" fillId="0" borderId="5" xfId="0" applyFont="1" applyBorder="1" applyAlignment="1" applyProtection="1">
      <alignment horizontal="center"/>
      <protection locked="0"/>
    </xf>
    <xf numFmtId="0" fontId="91" fillId="0" borderId="13" xfId="0" applyFont="1" applyBorder="1" applyAlignment="1" applyProtection="1">
      <alignment horizontal="center"/>
      <protection locked="0"/>
    </xf>
    <xf numFmtId="0" fontId="95" fillId="0" borderId="10" xfId="0" applyFont="1" applyBorder="1" applyAlignment="1">
      <alignment horizontal="center" vertical="center"/>
    </xf>
    <xf numFmtId="0" fontId="95" fillId="0" borderId="14" xfId="0" applyFont="1" applyBorder="1" applyAlignment="1">
      <alignment horizontal="center" vertical="center"/>
    </xf>
    <xf numFmtId="2" fontId="84" fillId="19" borderId="0" xfId="0" applyNumberFormat="1" applyFont="1" applyFill="1" applyAlignment="1">
      <alignment horizontal="center"/>
    </xf>
    <xf numFmtId="0" fontId="84" fillId="19" borderId="0" xfId="0" applyFont="1" applyFill="1" applyAlignment="1">
      <alignment horizontal="center"/>
    </xf>
    <xf numFmtId="0" fontId="39" fillId="19" borderId="0" xfId="0" applyFont="1" applyFill="1" applyAlignment="1">
      <alignment horizontal="center"/>
    </xf>
    <xf numFmtId="0" fontId="95" fillId="0" borderId="14" xfId="0" applyFont="1" applyBorder="1"/>
    <xf numFmtId="170" fontId="68" fillId="0" borderId="11" xfId="0" applyNumberFormat="1" applyFont="1" applyBorder="1" applyAlignment="1">
      <alignment horizontal="center" vertical="center"/>
    </xf>
    <xf numFmtId="0" fontId="97" fillId="0" borderId="11" xfId="0" applyFont="1" applyBorder="1"/>
    <xf numFmtId="0" fontId="96" fillId="0" borderId="12" xfId="0" applyFont="1" applyBorder="1" applyAlignment="1">
      <alignment horizontal="center" vertical="center"/>
    </xf>
    <xf numFmtId="0" fontId="84" fillId="0" borderId="5" xfId="0" applyFont="1" applyBorder="1" applyAlignment="1">
      <alignment horizontal="center"/>
    </xf>
    <xf numFmtId="173" fontId="84" fillId="19" borderId="5" xfId="0" applyNumberFormat="1" applyFont="1" applyFill="1" applyBorder="1" applyAlignment="1">
      <alignment horizontal="center"/>
    </xf>
    <xf numFmtId="0" fontId="91" fillId="0" borderId="5" xfId="0" applyFont="1" applyBorder="1" applyAlignment="1">
      <alignment horizontal="center" vertical="center"/>
    </xf>
    <xf numFmtId="0" fontId="91" fillId="0" borderId="15" xfId="0" applyFont="1" applyBorder="1" applyAlignment="1">
      <alignment vertical="center"/>
    </xf>
    <xf numFmtId="2" fontId="39" fillId="0" borderId="0" xfId="0" applyNumberFormat="1" applyFont="1" applyAlignment="1">
      <alignment horizontal="center"/>
    </xf>
    <xf numFmtId="0" fontId="39" fillId="0" borderId="5" xfId="0" applyFont="1" applyBorder="1" applyAlignment="1">
      <alignment horizontal="center"/>
    </xf>
    <xf numFmtId="0" fontId="91" fillId="0" borderId="11" xfId="0" applyFont="1" applyBorder="1" applyAlignment="1" applyProtection="1">
      <alignment horizontal="center" vertical="center"/>
      <protection locked="0"/>
    </xf>
    <xf numFmtId="170" fontId="68" fillId="4" borderId="15" xfId="0" applyNumberFormat="1" applyFont="1" applyFill="1" applyBorder="1" applyAlignment="1">
      <alignment horizontal="center" vertical="center" wrapText="1"/>
    </xf>
    <xf numFmtId="0" fontId="21" fillId="20" borderId="9" xfId="0" applyFont="1" applyFill="1" applyBorder="1" applyAlignment="1">
      <alignment vertical="center"/>
    </xf>
    <xf numFmtId="170" fontId="82" fillId="20" borderId="10" xfId="0" applyNumberFormat="1" applyFont="1" applyFill="1" applyBorder="1" applyAlignment="1">
      <alignment horizontal="center" vertical="center" wrapText="1"/>
    </xf>
    <xf numFmtId="170" fontId="82" fillId="21" borderId="10" xfId="0" applyNumberFormat="1" applyFont="1" applyFill="1" applyBorder="1" applyAlignment="1">
      <alignment horizontal="center" vertical="center"/>
    </xf>
    <xf numFmtId="0" fontId="44" fillId="20" borderId="14" xfId="0" applyFont="1" applyFill="1" applyBorder="1" applyAlignment="1">
      <alignment vertical="center"/>
    </xf>
    <xf numFmtId="0" fontId="21" fillId="20" borderId="11" xfId="0" applyFont="1" applyFill="1" applyBorder="1" applyAlignment="1">
      <alignment vertical="center"/>
    </xf>
    <xf numFmtId="0" fontId="44" fillId="20" borderId="15" xfId="0" applyFont="1" applyFill="1" applyBorder="1" applyAlignment="1">
      <alignment vertical="center"/>
    </xf>
    <xf numFmtId="0" fontId="68" fillId="20" borderId="12" xfId="0" applyFont="1" applyFill="1" applyBorder="1" applyAlignment="1">
      <alignment vertical="center"/>
    </xf>
    <xf numFmtId="1" fontId="82" fillId="20" borderId="5" xfId="0" applyNumberFormat="1" applyFont="1" applyFill="1" applyBorder="1" applyAlignment="1">
      <alignment horizontal="center" vertical="center" wrapText="1"/>
    </xf>
    <xf numFmtId="1" fontId="82" fillId="21" borderId="5" xfId="0" applyNumberFormat="1" applyFont="1" applyFill="1" applyBorder="1" applyAlignment="1">
      <alignment horizontal="left" vertical="center"/>
    </xf>
    <xf numFmtId="1" fontId="82" fillId="21" borderId="13" xfId="0" applyNumberFormat="1" applyFont="1" applyFill="1" applyBorder="1" applyAlignment="1">
      <alignment vertical="center"/>
    </xf>
    <xf numFmtId="0" fontId="43" fillId="0" borderId="0" xfId="89" applyFont="1" applyProtection="1">
      <protection locked="0"/>
    </xf>
    <xf numFmtId="0" fontId="102" fillId="2" borderId="0" xfId="208" applyFont="1" applyFill="1" applyAlignment="1">
      <alignment horizontal="center" vertical="center" wrapText="1"/>
    </xf>
    <xf numFmtId="0" fontId="103" fillId="3" borderId="0" xfId="208" applyFont="1" applyFill="1" applyAlignment="1">
      <alignment horizontal="center" vertical="center" wrapText="1"/>
    </xf>
    <xf numFmtId="0" fontId="90" fillId="4" borderId="0" xfId="208" applyFont="1" applyFill="1" applyAlignment="1">
      <alignment horizontal="center" vertical="center" wrapText="1"/>
    </xf>
    <xf numFmtId="0" fontId="84" fillId="0" borderId="0" xfId="0" applyFont="1"/>
    <xf numFmtId="0" fontId="83" fillId="3" borderId="0" xfId="150" applyFont="1" applyFill="1" applyAlignment="1">
      <alignment horizontal="center" vertical="center"/>
    </xf>
    <xf numFmtId="0" fontId="91" fillId="0" borderId="11" xfId="0" applyFont="1" applyBorder="1" applyAlignment="1">
      <alignment horizontal="center"/>
    </xf>
    <xf numFmtId="0" fontId="95" fillId="0" borderId="10" xfId="0" applyFont="1" applyBorder="1" applyAlignment="1">
      <alignment horizontal="center" vertical="top"/>
    </xf>
    <xf numFmtId="0" fontId="95" fillId="0" borderId="33" xfId="0" applyFont="1" applyBorder="1" applyAlignment="1">
      <alignment horizontal="center" vertical="center" wrapText="1"/>
    </xf>
    <xf numFmtId="0" fontId="95" fillId="0" borderId="10" xfId="0" applyFont="1" applyBorder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34" fillId="19" borderId="14" xfId="0" applyFont="1" applyFill="1" applyBorder="1" applyAlignment="1">
      <alignment horizontal="center" vertical="center"/>
    </xf>
    <xf numFmtId="0" fontId="95" fillId="0" borderId="9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95" fillId="0" borderId="10" xfId="0" applyFont="1" applyBorder="1" applyAlignment="1">
      <alignment horizontal="center" wrapText="1"/>
    </xf>
    <xf numFmtId="0" fontId="22" fillId="0" borderId="12" xfId="0" applyFont="1" applyBorder="1" applyAlignment="1" applyProtection="1">
      <alignment vertical="center"/>
      <protection locked="0"/>
    </xf>
    <xf numFmtId="0" fontId="22" fillId="0" borderId="5" xfId="0" applyFont="1" applyBorder="1" applyAlignment="1" applyProtection="1">
      <alignment vertical="center"/>
      <protection locked="0"/>
    </xf>
    <xf numFmtId="0" fontId="96" fillId="0" borderId="15" xfId="0" applyFont="1" applyBorder="1" applyAlignment="1" applyProtection="1">
      <alignment horizontal="center" vertical="top"/>
      <protection locked="0"/>
    </xf>
    <xf numFmtId="0" fontId="19" fillId="0" borderId="15" xfId="89" applyBorder="1" applyProtection="1">
      <protection locked="0"/>
    </xf>
    <xf numFmtId="0" fontId="110" fillId="0" borderId="13" xfId="89" applyFont="1" applyBorder="1" applyProtection="1">
      <protection locked="0"/>
    </xf>
    <xf numFmtId="0" fontId="43" fillId="4" borderId="0" xfId="0" applyFont="1" applyFill="1" applyAlignment="1">
      <alignment vertical="center"/>
    </xf>
    <xf numFmtId="0" fontId="43" fillId="4" borderId="0" xfId="0" applyFont="1" applyFill="1" applyAlignment="1" applyProtection="1">
      <alignment horizontal="center" vertical="center"/>
      <protection locked="0"/>
    </xf>
    <xf numFmtId="170" fontId="106" fillId="4" borderId="0" xfId="0" applyNumberFormat="1" applyFont="1" applyFill="1" applyAlignment="1" applyProtection="1">
      <alignment horizontal="center" vertical="center" wrapText="1"/>
      <protection locked="0"/>
    </xf>
    <xf numFmtId="173" fontId="106" fillId="4" borderId="0" xfId="0" applyNumberFormat="1" applyFont="1" applyFill="1" applyAlignment="1">
      <alignment horizontal="center" vertical="center" wrapText="1"/>
    </xf>
    <xf numFmtId="1" fontId="106" fillId="4" borderId="0" xfId="0" applyNumberFormat="1" applyFont="1" applyFill="1" applyAlignment="1">
      <alignment horizontal="center" vertical="center" wrapText="1"/>
    </xf>
    <xf numFmtId="1" fontId="87" fillId="0" borderId="17" xfId="0" applyNumberFormat="1" applyFont="1" applyBorder="1" applyAlignment="1">
      <alignment horizontal="center" vertical="center" wrapText="1"/>
    </xf>
    <xf numFmtId="170" fontId="87" fillId="0" borderId="116" xfId="0" applyNumberFormat="1" applyFont="1" applyBorder="1" applyAlignment="1">
      <alignment horizontal="center" vertical="center" wrapText="1"/>
    </xf>
    <xf numFmtId="1" fontId="87" fillId="0" borderId="16" xfId="0" applyNumberFormat="1" applyFont="1" applyBorder="1" applyAlignment="1">
      <alignment horizontal="center" vertical="center" wrapText="1"/>
    </xf>
    <xf numFmtId="170" fontId="87" fillId="0" borderId="118" xfId="0" applyNumberFormat="1" applyFont="1" applyBorder="1" applyAlignment="1">
      <alignment horizontal="center" vertical="center" wrapText="1"/>
    </xf>
    <xf numFmtId="1" fontId="87" fillId="0" borderId="116" xfId="0" applyNumberFormat="1" applyFont="1" applyBorder="1" applyAlignment="1">
      <alignment horizontal="center" vertical="center" wrapText="1"/>
    </xf>
    <xf numFmtId="1" fontId="87" fillId="0" borderId="118" xfId="0" applyNumberFormat="1" applyFont="1" applyBorder="1" applyAlignment="1">
      <alignment horizontal="center" vertical="center" wrapText="1"/>
    </xf>
    <xf numFmtId="0" fontId="20" fillId="4" borderId="10" xfId="82" applyFont="1" applyFill="1" applyBorder="1" applyAlignment="1" applyProtection="1">
      <alignment vertical="top" wrapText="1"/>
      <protection locked="0"/>
    </xf>
    <xf numFmtId="0" fontId="84" fillId="19" borderId="18" xfId="0" quotePrefix="1" applyFont="1" applyFill="1" applyBorder="1"/>
    <xf numFmtId="0" fontId="84" fillId="19" borderId="0" xfId="0" quotePrefix="1" applyFont="1" applyFill="1"/>
    <xf numFmtId="170" fontId="52" fillId="4" borderId="163" xfId="0" applyNumberFormat="1" applyFont="1" applyFill="1" applyBorder="1" applyAlignment="1">
      <alignment horizontal="center" vertical="center"/>
    </xf>
    <xf numFmtId="170" fontId="52" fillId="4" borderId="164" xfId="0" applyNumberFormat="1" applyFont="1" applyFill="1" applyBorder="1" applyAlignment="1">
      <alignment horizontal="center" vertical="center"/>
    </xf>
    <xf numFmtId="170" fontId="52" fillId="4" borderId="165" xfId="0" applyNumberFormat="1" applyFont="1" applyFill="1" applyBorder="1" applyAlignment="1">
      <alignment horizontal="center" vertical="center"/>
    </xf>
    <xf numFmtId="170" fontId="52" fillId="4" borderId="166" xfId="0" applyNumberFormat="1" applyFont="1" applyFill="1" applyBorder="1" applyAlignment="1">
      <alignment horizontal="center" vertical="center"/>
    </xf>
    <xf numFmtId="170" fontId="52" fillId="4" borderId="167" xfId="0" applyNumberFormat="1" applyFont="1" applyFill="1" applyBorder="1" applyAlignment="1">
      <alignment horizontal="center" vertical="center"/>
    </xf>
    <xf numFmtId="190" fontId="0" fillId="0" borderId="0" xfId="0" applyNumberFormat="1" applyAlignment="1" applyProtection="1">
      <alignment vertical="center" wrapText="1"/>
      <protection locked="0"/>
    </xf>
    <xf numFmtId="0" fontId="20" fillId="0" borderId="0" xfId="0" applyFont="1" applyProtection="1">
      <protection locked="0"/>
    </xf>
    <xf numFmtId="173" fontId="20" fillId="0" borderId="0" xfId="0" applyNumberFormat="1" applyFont="1" applyAlignment="1" applyProtection="1">
      <alignment horizontal="center" vertical="center"/>
      <protection locked="0"/>
    </xf>
    <xf numFmtId="0" fontId="19" fillId="0" borderId="0" xfId="149" applyFont="1" applyAlignment="1">
      <alignment wrapText="1"/>
    </xf>
    <xf numFmtId="190" fontId="19" fillId="0" borderId="0" xfId="149" applyNumberFormat="1" applyFont="1" applyAlignment="1" applyProtection="1">
      <alignment wrapText="1"/>
      <protection locked="0"/>
    </xf>
    <xf numFmtId="0" fontId="22" fillId="3" borderId="0" xfId="209" applyFont="1" applyFill="1" applyAlignment="1">
      <alignment horizontal="center" vertical="center" wrapText="1"/>
    </xf>
    <xf numFmtId="0" fontId="72" fillId="3" borderId="0" xfId="209" applyFont="1" applyFill="1" applyAlignment="1">
      <alignment horizontal="center" vertical="center" wrapText="1"/>
    </xf>
    <xf numFmtId="1" fontId="68" fillId="4" borderId="0" xfId="0" applyNumberFormat="1" applyFont="1" applyFill="1" applyAlignment="1">
      <alignment horizontal="center" vertical="center" wrapText="1"/>
    </xf>
    <xf numFmtId="0" fontId="89" fillId="0" borderId="0" xfId="0" applyFont="1" applyAlignment="1" applyProtection="1">
      <alignment horizontal="center" vertical="center"/>
      <protection locked="0"/>
    </xf>
    <xf numFmtId="0" fontId="91" fillId="0" borderId="16" xfId="0" applyFont="1" applyBorder="1" applyProtection="1">
      <protection locked="0"/>
    </xf>
    <xf numFmtId="0" fontId="91" fillId="0" borderId="129" xfId="0" applyFont="1" applyBorder="1" applyAlignment="1" applyProtection="1">
      <alignment horizontal="center"/>
      <protection locked="0"/>
    </xf>
    <xf numFmtId="0" fontId="91" fillId="0" borderId="168" xfId="0" applyFont="1" applyBorder="1" applyAlignment="1">
      <alignment horizontal="center"/>
    </xf>
    <xf numFmtId="0" fontId="91" fillId="0" borderId="124" xfId="0" applyFont="1" applyBorder="1" applyAlignment="1" applyProtection="1">
      <alignment horizontal="center"/>
      <protection locked="0"/>
    </xf>
    <xf numFmtId="0" fontId="91" fillId="0" borderId="169" xfId="0" applyFont="1" applyBorder="1" applyAlignment="1">
      <alignment horizontal="center"/>
    </xf>
    <xf numFmtId="173" fontId="43" fillId="16" borderId="13" xfId="0" applyNumberFormat="1" applyFont="1" applyFill="1" applyBorder="1" applyAlignment="1">
      <alignment vertical="center"/>
    </xf>
    <xf numFmtId="173" fontId="43" fillId="16" borderId="5" xfId="0" applyNumberFormat="1" applyFont="1" applyFill="1" applyBorder="1" applyAlignment="1">
      <alignment vertical="center"/>
    </xf>
    <xf numFmtId="173" fontId="43" fillId="16" borderId="12" xfId="0" applyNumberFormat="1" applyFont="1" applyFill="1" applyBorder="1" applyAlignment="1">
      <alignment vertical="center"/>
    </xf>
    <xf numFmtId="173" fontId="43" fillId="16" borderId="15" xfId="0" applyNumberFormat="1" applyFont="1" applyFill="1" applyBorder="1" applyAlignment="1">
      <alignment vertical="center"/>
    </xf>
    <xf numFmtId="173" fontId="43" fillId="16" borderId="0" xfId="0" applyNumberFormat="1" applyFont="1" applyFill="1" applyAlignment="1">
      <alignment vertical="center"/>
    </xf>
    <xf numFmtId="173" fontId="118" fillId="16" borderId="11" xfId="0" applyNumberFormat="1" applyFont="1" applyFill="1" applyBorder="1" applyAlignment="1">
      <alignment vertical="center"/>
    </xf>
    <xf numFmtId="0" fontId="91" fillId="0" borderId="116" xfId="0" applyFont="1" applyBorder="1" applyProtection="1">
      <protection locked="0"/>
    </xf>
    <xf numFmtId="0" fontId="91" fillId="0" borderId="17" xfId="0" applyFont="1" applyBorder="1" applyProtection="1">
      <protection locked="0"/>
    </xf>
    <xf numFmtId="0" fontId="91" fillId="0" borderId="170" xfId="0" applyFont="1" applyBorder="1" applyAlignment="1">
      <alignment horizontal="center" wrapText="1"/>
    </xf>
    <xf numFmtId="0" fontId="68" fillId="3" borderId="171" xfId="210" applyFont="1" applyFill="1" applyBorder="1" applyAlignment="1">
      <alignment horizontal="center" vertical="center" wrapText="1"/>
    </xf>
    <xf numFmtId="0" fontId="64" fillId="4" borderId="0" xfId="209" applyFont="1" applyFill="1" applyAlignment="1">
      <alignment horizontal="center" vertical="center" wrapText="1"/>
    </xf>
    <xf numFmtId="0" fontId="91" fillId="0" borderId="168" xfId="0" applyFont="1" applyBorder="1" applyAlignment="1" applyProtection="1">
      <alignment horizontal="center" vertical="center"/>
      <protection locked="0"/>
    </xf>
    <xf numFmtId="0" fontId="69" fillId="3" borderId="0" xfId="209" applyFont="1" applyFill="1" applyAlignment="1">
      <alignment horizontal="center" vertical="center" wrapText="1"/>
    </xf>
    <xf numFmtId="0" fontId="91" fillId="0" borderId="169" xfId="0" applyFont="1" applyBorder="1" applyAlignment="1" applyProtection="1">
      <alignment horizontal="center" vertical="center"/>
      <protection locked="0"/>
    </xf>
    <xf numFmtId="0" fontId="65" fillId="2" borderId="0" xfId="209" applyFont="1" applyFill="1" applyAlignment="1">
      <alignment horizontal="center" vertical="center" wrapText="1"/>
    </xf>
    <xf numFmtId="170" fontId="0" fillId="0" borderId="2" xfId="0" applyNumberFormat="1" applyBorder="1" applyAlignment="1" applyProtection="1">
      <alignment horizontal="center" vertical="center"/>
      <protection locked="0"/>
    </xf>
    <xf numFmtId="2" fontId="0" fillId="14" borderId="2" xfId="0" applyNumberFormat="1" applyFill="1" applyBorder="1" applyAlignment="1">
      <alignment horizontal="center" vertical="center"/>
    </xf>
    <xf numFmtId="0" fontId="19" fillId="0" borderId="0" xfId="89" applyAlignment="1" applyProtection="1">
      <alignment horizontal="left"/>
      <protection locked="0"/>
    </xf>
    <xf numFmtId="0" fontId="19" fillId="4" borderId="10" xfId="82" applyFill="1" applyBorder="1" applyAlignment="1">
      <alignment vertical="top" wrapText="1"/>
    </xf>
    <xf numFmtId="0" fontId="19" fillId="0" borderId="0" xfId="82" applyAlignment="1">
      <alignment horizontal="center" vertical="center"/>
    </xf>
    <xf numFmtId="0" fontId="19" fillId="0" borderId="0" xfId="89" applyAlignment="1">
      <alignment horizontal="center" vertical="center"/>
    </xf>
    <xf numFmtId="0" fontId="109" fillId="0" borderId="0" xfId="82" applyFont="1" applyAlignment="1">
      <alignment horizontal="center" vertical="center"/>
    </xf>
    <xf numFmtId="0" fontId="89" fillId="4" borderId="11" xfId="213" applyFont="1" applyFill="1" applyBorder="1" applyAlignment="1">
      <alignment horizontal="left" vertical="center" wrapText="1"/>
    </xf>
    <xf numFmtId="0" fontId="89" fillId="4" borderId="0" xfId="213" applyFont="1" applyFill="1" applyAlignment="1">
      <alignment horizontal="left" vertical="center" wrapText="1"/>
    </xf>
    <xf numFmtId="0" fontId="89" fillId="4" borderId="15" xfId="213" applyFont="1" applyFill="1" applyBorder="1" applyAlignment="1">
      <alignment horizontal="left" vertical="center" wrapText="1"/>
    </xf>
    <xf numFmtId="0" fontId="110" fillId="0" borderId="0" xfId="89" applyFont="1"/>
    <xf numFmtId="0" fontId="19" fillId="0" borderId="4" xfId="89" applyBorder="1" applyProtection="1">
      <protection locked="0"/>
    </xf>
    <xf numFmtId="2" fontId="122" fillId="4" borderId="0" xfId="89" applyNumberFormat="1" applyFont="1" applyFill="1" applyAlignment="1">
      <alignment horizontal="left" vertical="center"/>
    </xf>
    <xf numFmtId="0" fontId="0" fillId="25" borderId="0" xfId="82" applyFont="1" applyFill="1" applyProtection="1">
      <protection locked="0"/>
    </xf>
    <xf numFmtId="0" fontId="123" fillId="0" borderId="2" xfId="89" applyFont="1" applyBorder="1" applyAlignment="1">
      <alignment horizontal="justify" vertical="center" wrapText="1"/>
    </xf>
    <xf numFmtId="0" fontId="123" fillId="0" borderId="2" xfId="89" applyFont="1" applyBorder="1" applyAlignment="1" applyProtection="1">
      <alignment horizontal="justify" vertical="center" wrapText="1"/>
      <protection locked="0"/>
    </xf>
    <xf numFmtId="0" fontId="19" fillId="0" borderId="5" xfId="89" quotePrefix="1" applyBorder="1" applyAlignment="1">
      <alignment vertical="center"/>
    </xf>
    <xf numFmtId="0" fontId="0" fillId="0" borderId="3" xfId="89" applyFont="1" applyBorder="1" applyProtection="1">
      <protection locked="0"/>
    </xf>
    <xf numFmtId="0" fontId="0" fillId="0" borderId="1" xfId="89" applyFont="1" applyBorder="1" applyAlignment="1" applyProtection="1">
      <alignment vertical="center"/>
      <protection locked="0"/>
    </xf>
    <xf numFmtId="0" fontId="61" fillId="0" borderId="123" xfId="0" applyFont="1" applyBorder="1" applyAlignment="1">
      <alignment vertical="center" wrapText="1"/>
    </xf>
    <xf numFmtId="0" fontId="61" fillId="0" borderId="125" xfId="0" applyFont="1" applyBorder="1" applyAlignment="1">
      <alignment vertical="center" wrapText="1"/>
    </xf>
    <xf numFmtId="0" fontId="61" fillId="0" borderId="126" xfId="0" applyFont="1" applyBorder="1" applyAlignment="1">
      <alignment vertical="center" wrapText="1"/>
    </xf>
    <xf numFmtId="0" fontId="0" fillId="0" borderId="0" xfId="82" applyFont="1" applyAlignment="1">
      <alignment horizontal="center" vertical="center"/>
    </xf>
    <xf numFmtId="0" fontId="0" fillId="0" borderId="4" xfId="89" applyFont="1" applyBorder="1" applyAlignment="1" applyProtection="1">
      <alignment vertical="center"/>
      <protection locked="0"/>
    </xf>
    <xf numFmtId="0" fontId="0" fillId="0" borderId="1" xfId="89" applyFont="1" applyBorder="1" applyProtection="1">
      <protection locked="0"/>
    </xf>
    <xf numFmtId="0" fontId="124" fillId="4" borderId="0" xfId="89" applyFont="1" applyFill="1" applyAlignment="1">
      <alignment horizontal="left" vertical="center"/>
    </xf>
    <xf numFmtId="0" fontId="0" fillId="0" borderId="0" xfId="82" applyFont="1" applyAlignment="1">
      <alignment horizontal="left" vertical="center"/>
    </xf>
    <xf numFmtId="0" fontId="43" fillId="4" borderId="11" xfId="193" applyFont="1" applyFill="1" applyBorder="1"/>
    <xf numFmtId="170" fontId="83" fillId="4" borderId="0" xfId="107" applyNumberFormat="1" applyFont="1" applyFill="1" applyBorder="1" applyAlignment="1" applyProtection="1"/>
    <xf numFmtId="170" fontId="83" fillId="4" borderId="15" xfId="107" applyNumberFormat="1" applyFont="1" applyFill="1" applyBorder="1" applyAlignment="1" applyProtection="1"/>
    <xf numFmtId="170" fontId="82" fillId="4" borderId="0" xfId="107" applyNumberFormat="1" applyFont="1" applyFill="1" applyBorder="1" applyAlignment="1" applyProtection="1"/>
    <xf numFmtId="190" fontId="44" fillId="4" borderId="0" xfId="193" applyNumberFormat="1" applyFont="1" applyFill="1" applyAlignment="1" applyProtection="1">
      <alignment horizontal="center"/>
      <protection locked="0"/>
    </xf>
    <xf numFmtId="0" fontId="43" fillId="4" borderId="12" xfId="193" applyFont="1" applyFill="1" applyBorder="1"/>
    <xf numFmtId="0" fontId="19" fillId="0" borderId="5" xfId="193" applyBorder="1"/>
    <xf numFmtId="0" fontId="43" fillId="4" borderId="5" xfId="193" applyFont="1" applyFill="1" applyBorder="1"/>
    <xf numFmtId="0" fontId="43" fillId="4" borderId="5" xfId="193" applyFont="1" applyFill="1" applyBorder="1" applyAlignment="1">
      <alignment horizontal="center"/>
    </xf>
    <xf numFmtId="170" fontId="83" fillId="4" borderId="5" xfId="107" applyNumberFormat="1" applyFont="1" applyFill="1" applyBorder="1" applyAlignment="1" applyProtection="1"/>
    <xf numFmtId="170" fontId="83" fillId="4" borderId="13" xfId="107" applyNumberFormat="1" applyFont="1" applyFill="1" applyBorder="1" applyAlignment="1" applyProtection="1"/>
    <xf numFmtId="190" fontId="19" fillId="4" borderId="10" xfId="82" applyNumberFormat="1" applyFill="1" applyBorder="1" applyAlignment="1" applyProtection="1">
      <alignment vertical="top" wrapText="1"/>
      <protection locked="0"/>
    </xf>
    <xf numFmtId="0" fontId="43" fillId="4" borderId="9" xfId="193" applyFont="1" applyFill="1" applyBorder="1"/>
    <xf numFmtId="0" fontId="43" fillId="4" borderId="10" xfId="193" applyFont="1" applyFill="1" applyBorder="1"/>
    <xf numFmtId="0" fontId="43" fillId="4" borderId="10" xfId="193" applyFont="1" applyFill="1" applyBorder="1" applyAlignment="1">
      <alignment horizontal="center"/>
    </xf>
    <xf numFmtId="170" fontId="83" fillId="4" borderId="10" xfId="107" applyNumberFormat="1" applyFont="1" applyFill="1" applyBorder="1" applyAlignment="1" applyProtection="1"/>
    <xf numFmtId="170" fontId="83" fillId="4" borderId="14" xfId="107" applyNumberFormat="1" applyFont="1" applyFill="1" applyBorder="1" applyAlignment="1" applyProtection="1"/>
    <xf numFmtId="0" fontId="22" fillId="4" borderId="16" xfId="82" applyFont="1" applyFill="1" applyBorder="1" applyAlignment="1" applyProtection="1">
      <alignment vertical="top" wrapText="1"/>
      <protection locked="0"/>
    </xf>
    <xf numFmtId="0" fontId="122" fillId="4" borderId="0" xfId="89" applyFont="1" applyFill="1" applyAlignment="1">
      <alignment horizontal="center" vertical="center"/>
    </xf>
    <xf numFmtId="0" fontId="43" fillId="2" borderId="72" xfId="193" applyFont="1" applyFill="1" applyBorder="1" applyAlignment="1">
      <alignment horizontal="left"/>
    </xf>
    <xf numFmtId="0" fontId="43" fillId="2" borderId="73" xfId="193" applyFont="1" applyFill="1" applyBorder="1" applyAlignment="1">
      <alignment horizontal="left"/>
    </xf>
    <xf numFmtId="0" fontId="43" fillId="2" borderId="74" xfId="193" applyFont="1" applyFill="1" applyBorder="1" applyAlignment="1">
      <alignment horizontal="left"/>
    </xf>
    <xf numFmtId="0" fontId="68" fillId="15" borderId="0" xfId="90" applyFont="1" applyFill="1" applyAlignment="1">
      <alignment horizontal="center" vertical="center" wrapText="1"/>
    </xf>
    <xf numFmtId="0" fontId="68" fillId="15" borderId="13" xfId="90" applyFont="1" applyFill="1" applyBorder="1" applyAlignment="1">
      <alignment horizontal="center" vertical="center" wrapText="1"/>
    </xf>
    <xf numFmtId="10" fontId="95" fillId="0" borderId="0" xfId="0" applyNumberFormat="1" applyFont="1" applyAlignment="1" applyProtection="1">
      <alignment horizontal="center" vertical="center"/>
      <protection locked="0"/>
    </xf>
    <xf numFmtId="0" fontId="44" fillId="20" borderId="0" xfId="0" applyFont="1" applyFill="1" applyAlignment="1">
      <alignment vertical="center"/>
    </xf>
    <xf numFmtId="1" fontId="82" fillId="21" borderId="0" xfId="0" applyNumberFormat="1" applyFont="1" applyFill="1" applyAlignment="1">
      <alignment vertical="center"/>
    </xf>
    <xf numFmtId="0" fontId="83" fillId="6" borderId="0" xfId="75" applyNumberFormat="1" applyFont="1" applyFill="1" applyAlignment="1">
      <alignment horizontal="center" vertical="center"/>
    </xf>
    <xf numFmtId="170" fontId="89" fillId="0" borderId="0" xfId="75" applyNumberFormat="1" applyFont="1" applyAlignment="1">
      <alignment horizontal="center" vertical="center" wrapText="1"/>
    </xf>
    <xf numFmtId="2" fontId="89" fillId="0" borderId="0" xfId="75" applyNumberFormat="1" applyFont="1" applyAlignment="1">
      <alignment horizontal="center"/>
    </xf>
    <xf numFmtId="0" fontId="89" fillId="0" borderId="0" xfId="75" applyNumberFormat="1" applyFont="1" applyAlignment="1">
      <alignment horizontal="left"/>
    </xf>
    <xf numFmtId="2" fontId="129" fillId="0" borderId="0" xfId="0" applyNumberFormat="1" applyFont="1" applyAlignment="1">
      <alignment horizontal="center"/>
    </xf>
    <xf numFmtId="0" fontId="129" fillId="0" borderId="0" xfId="0" applyFont="1" applyAlignment="1">
      <alignment horizontal="center"/>
    </xf>
    <xf numFmtId="173" fontId="129" fillId="0" borderId="5" xfId="0" applyNumberFormat="1" applyFont="1" applyBorder="1" applyAlignment="1">
      <alignment horizontal="center"/>
    </xf>
    <xf numFmtId="2" fontId="130" fillId="0" borderId="0" xfId="0" applyNumberFormat="1" applyFont="1" applyAlignment="1">
      <alignment horizontal="center"/>
    </xf>
    <xf numFmtId="0" fontId="130" fillId="0" borderId="0" xfId="0" applyFont="1" applyAlignment="1">
      <alignment horizontal="center"/>
    </xf>
    <xf numFmtId="173" fontId="130" fillId="0" borderId="5" xfId="0" applyNumberFormat="1" applyFont="1" applyBorder="1" applyAlignment="1">
      <alignment horizontal="center"/>
    </xf>
    <xf numFmtId="0" fontId="64" fillId="15" borderId="62" xfId="208" applyFont="1" applyFill="1" applyBorder="1" applyAlignment="1">
      <alignment vertical="center" wrapText="1"/>
    </xf>
    <xf numFmtId="0" fontId="64" fillId="15" borderId="63" xfId="208" applyFont="1" applyFill="1" applyBorder="1" applyAlignment="1">
      <alignment vertical="center" wrapText="1"/>
    </xf>
    <xf numFmtId="0" fontId="64" fillId="15" borderId="64" xfId="208" applyFont="1" applyFill="1" applyBorder="1" applyAlignment="1">
      <alignment vertical="center" wrapText="1"/>
    </xf>
    <xf numFmtId="0" fontId="19" fillId="0" borderId="2" xfId="193" applyBorder="1"/>
    <xf numFmtId="0" fontId="19" fillId="0" borderId="3" xfId="89" applyBorder="1" applyProtection="1">
      <protection locked="0"/>
    </xf>
    <xf numFmtId="0" fontId="44" fillId="0" borderId="3" xfId="89" applyFont="1" applyBorder="1"/>
    <xf numFmtId="0" fontId="20" fillId="0" borderId="3" xfId="89" applyFont="1" applyBorder="1" applyProtection="1">
      <protection locked="0"/>
    </xf>
    <xf numFmtId="0" fontId="44" fillId="4" borderId="1" xfId="89" applyFont="1" applyFill="1" applyBorder="1" applyAlignment="1">
      <alignment horizontal="justify" vertical="center" wrapText="1"/>
    </xf>
    <xf numFmtId="0" fontId="36" fillId="3" borderId="5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center"/>
    </xf>
    <xf numFmtId="0" fontId="36" fillId="0" borderId="10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0" fontId="113" fillId="0" borderId="0" xfId="0" applyFont="1" applyAlignment="1" applyProtection="1">
      <alignment horizontal="center" vertical="top"/>
      <protection locked="0"/>
    </xf>
    <xf numFmtId="0" fontId="113" fillId="0" borderId="15" xfId="0" applyFont="1" applyBorder="1" applyAlignment="1" applyProtection="1">
      <alignment horizontal="center" vertical="top"/>
      <protection locked="0"/>
    </xf>
    <xf numFmtId="0" fontId="36" fillId="0" borderId="9" xfId="0" applyFont="1" applyBorder="1" applyAlignment="1">
      <alignment horizontal="left" vertical="center"/>
    </xf>
    <xf numFmtId="0" fontId="36" fillId="0" borderId="10" xfId="0" applyFont="1" applyBorder="1" applyAlignment="1">
      <alignment horizontal="left" vertical="center"/>
    </xf>
    <xf numFmtId="0" fontId="58" fillId="0" borderId="10" xfId="0" applyFont="1" applyBorder="1" applyAlignment="1" applyProtection="1">
      <alignment horizontal="center" vertical="center"/>
      <protection locked="0"/>
    </xf>
    <xf numFmtId="0" fontId="36" fillId="0" borderId="10" xfId="0" applyFont="1" applyBorder="1" applyAlignment="1">
      <alignment horizontal="right" vertical="center"/>
    </xf>
    <xf numFmtId="171" fontId="59" fillId="0" borderId="0" xfId="0" applyNumberFormat="1" applyFont="1" applyAlignment="1">
      <alignment horizontal="center" vertical="center" wrapText="1"/>
    </xf>
    <xf numFmtId="0" fontId="33" fillId="0" borderId="11" xfId="0" applyFont="1" applyBorder="1" applyAlignment="1" applyProtection="1">
      <alignment horizontal="center"/>
      <protection locked="0"/>
    </xf>
    <xf numFmtId="0" fontId="110" fillId="0" borderId="5" xfId="89" applyFont="1" applyBorder="1" applyProtection="1">
      <protection locked="0"/>
    </xf>
    <xf numFmtId="0" fontId="91" fillId="0" borderId="2" xfId="0" applyFont="1" applyBorder="1"/>
    <xf numFmtId="0" fontId="91" fillId="0" borderId="9" xfId="0" applyFont="1" applyBorder="1" applyAlignment="1" applyProtection="1">
      <alignment horizontal="center"/>
      <protection locked="0"/>
    </xf>
    <xf numFmtId="0" fontId="91" fillId="0" borderId="11" xfId="0" applyFont="1" applyBorder="1" applyAlignment="1" applyProtection="1">
      <alignment horizontal="center"/>
      <protection locked="0"/>
    </xf>
    <xf numFmtId="0" fontId="91" fillId="0" borderId="12" xfId="0" applyFont="1" applyBorder="1"/>
    <xf numFmtId="0" fontId="91" fillId="0" borderId="12" xfId="0" applyFont="1" applyBorder="1" applyAlignment="1" applyProtection="1">
      <alignment horizontal="center"/>
      <protection locked="0"/>
    </xf>
    <xf numFmtId="0" fontId="36" fillId="3" borderId="5" xfId="0" applyFont="1" applyFill="1" applyBorder="1" applyAlignment="1">
      <alignment vertical="center" wrapText="1"/>
    </xf>
    <xf numFmtId="0" fontId="65" fillId="2" borderId="0" xfId="214" applyFont="1" applyFill="1" applyAlignment="1">
      <alignment horizontal="center" vertical="center" wrapText="1"/>
    </xf>
    <xf numFmtId="0" fontId="69" fillId="3" borderId="0" xfId="214" applyFont="1" applyFill="1" applyAlignment="1">
      <alignment horizontal="center" vertical="center" wrapText="1"/>
    </xf>
    <xf numFmtId="0" fontId="64" fillId="4" borderId="0" xfId="214" applyFont="1" applyFill="1" applyAlignment="1">
      <alignment horizontal="center" vertical="center" wrapText="1"/>
    </xf>
    <xf numFmtId="0" fontId="33" fillId="0" borderId="0" xfId="0" applyFont="1" applyAlignment="1" applyProtection="1">
      <alignment wrapText="1"/>
      <protection locked="0"/>
    </xf>
    <xf numFmtId="0" fontId="36" fillId="0" borderId="10" xfId="0" applyFont="1" applyBorder="1" applyAlignment="1">
      <alignment vertical="center"/>
    </xf>
    <xf numFmtId="0" fontId="36" fillId="0" borderId="11" xfId="0" applyFont="1" applyBorder="1" applyAlignment="1">
      <alignment horizontal="left" vertical="center"/>
    </xf>
    <xf numFmtId="0" fontId="58" fillId="0" borderId="0" xfId="0" applyFont="1" applyAlignment="1" applyProtection="1">
      <alignment horizontal="left" vertical="center"/>
      <protection locked="0"/>
    </xf>
    <xf numFmtId="0" fontId="58" fillId="0" borderId="15" xfId="0" applyFont="1" applyBorder="1" applyAlignment="1" applyProtection="1">
      <alignment horizontal="left" vertical="center"/>
      <protection locked="0"/>
    </xf>
    <xf numFmtId="0" fontId="36" fillId="0" borderId="0" xfId="0" applyFont="1" applyAlignment="1">
      <alignment vertical="center"/>
    </xf>
    <xf numFmtId="0" fontId="33" fillId="0" borderId="11" xfId="0" applyFont="1" applyBorder="1" applyAlignment="1" applyProtection="1">
      <alignment horizontal="center" vertical="top"/>
      <protection locked="0"/>
    </xf>
    <xf numFmtId="0" fontId="113" fillId="0" borderId="0" xfId="0" applyFont="1" applyAlignment="1" applyProtection="1">
      <alignment horizontal="center"/>
      <protection locked="0"/>
    </xf>
    <xf numFmtId="0" fontId="111" fillId="3" borderId="11" xfId="0" applyFont="1" applyFill="1" applyBorder="1" applyAlignment="1">
      <alignment horizontal="center" vertical="center"/>
    </xf>
    <xf numFmtId="0" fontId="41" fillId="0" borderId="17" xfId="0" applyFont="1" applyBorder="1" applyAlignment="1">
      <alignment vertical="top"/>
    </xf>
    <xf numFmtId="0" fontId="119" fillId="4" borderId="0" xfId="89" applyFont="1" applyFill="1"/>
    <xf numFmtId="0" fontId="19" fillId="4" borderId="15" xfId="82" applyFill="1" applyBorder="1"/>
    <xf numFmtId="0" fontId="0" fillId="0" borderId="11" xfId="89" applyFont="1" applyBorder="1"/>
    <xf numFmtId="0" fontId="21" fillId="0" borderId="0" xfId="89" applyFont="1" applyAlignment="1">
      <alignment horizontal="center" vertical="center" wrapText="1"/>
    </xf>
    <xf numFmtId="0" fontId="21" fillId="0" borderId="15" xfId="89" applyFont="1" applyBorder="1" applyAlignment="1">
      <alignment horizontal="center" vertical="center" wrapText="1"/>
    </xf>
    <xf numFmtId="0" fontId="19" fillId="0" borderId="2" xfId="89" applyBorder="1"/>
    <xf numFmtId="0" fontId="20" fillId="0" borderId="12" xfId="89" applyFont="1" applyBorder="1" applyAlignment="1" applyProtection="1">
      <alignment vertical="center" wrapText="1"/>
      <protection locked="0"/>
    </xf>
    <xf numFmtId="0" fontId="20" fillId="0" borderId="5" xfId="89" applyFont="1" applyBorder="1" applyAlignment="1" applyProtection="1">
      <alignment vertical="center" wrapText="1"/>
      <protection locked="0"/>
    </xf>
    <xf numFmtId="0" fontId="0" fillId="0" borderId="4" xfId="82" applyFont="1" applyBorder="1" applyProtection="1">
      <protection locked="0"/>
    </xf>
    <xf numFmtId="0" fontId="34" fillId="0" borderId="0" xfId="0" applyFont="1" applyAlignment="1">
      <alignment horizontal="left"/>
    </xf>
    <xf numFmtId="170" fontId="59" fillId="17" borderId="0" xfId="125" applyNumberFormat="1" applyFont="1" applyFill="1" applyBorder="1" applyAlignment="1" applyProtection="1">
      <alignment horizontal="center" vertical="center"/>
    </xf>
    <xf numFmtId="170" fontId="59" fillId="4" borderId="11" xfId="0" applyNumberFormat="1" applyFont="1" applyFill="1" applyBorder="1" applyAlignment="1">
      <alignment horizontal="center" vertical="center"/>
    </xf>
    <xf numFmtId="1" fontId="59" fillId="4" borderId="11" xfId="0" applyNumberFormat="1" applyFont="1" applyFill="1" applyBorder="1" applyAlignment="1">
      <alignment horizontal="center" vertical="center"/>
    </xf>
    <xf numFmtId="170" fontId="59" fillId="0" borderId="15" xfId="0" applyNumberFormat="1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6" fillId="3" borderId="14" xfId="0" applyFont="1" applyFill="1" applyBorder="1" applyAlignment="1">
      <alignment horizontal="center" vertical="center" wrapText="1"/>
    </xf>
    <xf numFmtId="0" fontId="42" fillId="4" borderId="10" xfId="0" applyFont="1" applyFill="1" applyBorder="1" applyAlignment="1">
      <alignment horizontal="center" vertical="top"/>
    </xf>
    <xf numFmtId="0" fontId="60" fillId="3" borderId="0" xfId="0" applyFont="1" applyFill="1" applyAlignment="1">
      <alignment vertical="center" wrapText="1"/>
    </xf>
    <xf numFmtId="171" fontId="60" fillId="4" borderId="0" xfId="0" applyNumberFormat="1" applyFont="1" applyFill="1" applyAlignment="1">
      <alignment vertical="center" wrapText="1"/>
    </xf>
    <xf numFmtId="171" fontId="60" fillId="4" borderId="2" xfId="0" applyNumberFormat="1" applyFont="1" applyFill="1" applyBorder="1" applyAlignment="1">
      <alignment horizontal="center" vertical="center" wrapText="1"/>
    </xf>
    <xf numFmtId="170" fontId="36" fillId="0" borderId="15" xfId="0" applyNumberFormat="1" applyFont="1" applyBorder="1" applyAlignment="1">
      <alignment horizontal="center" vertical="center" wrapText="1"/>
    </xf>
    <xf numFmtId="170" fontId="59" fillId="0" borderId="15" xfId="0" applyNumberFormat="1" applyFont="1" applyBorder="1" applyAlignment="1">
      <alignment horizontal="center" vertical="center" wrapText="1"/>
    </xf>
    <xf numFmtId="170" fontId="60" fillId="0" borderId="13" xfId="0" applyNumberFormat="1" applyFont="1" applyBorder="1" applyAlignment="1">
      <alignment horizontal="center" vertical="center" wrapText="1"/>
    </xf>
    <xf numFmtId="1" fontId="36" fillId="0" borderId="6" xfId="0" applyNumberFormat="1" applyFont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/>
    </xf>
    <xf numFmtId="170" fontId="59" fillId="4" borderId="14" xfId="0" applyNumberFormat="1" applyFont="1" applyFill="1" applyBorder="1" applyAlignment="1">
      <alignment horizontal="center" vertical="center"/>
    </xf>
    <xf numFmtId="170" fontId="59" fillId="4" borderId="15" xfId="0" applyNumberFormat="1" applyFont="1" applyFill="1" applyBorder="1" applyAlignment="1">
      <alignment horizontal="center" vertical="center"/>
    </xf>
    <xf numFmtId="0" fontId="20" fillId="0" borderId="25" xfId="0" applyFont="1" applyBorder="1" applyAlignment="1">
      <alignment horizontal="left" vertical="top"/>
    </xf>
    <xf numFmtId="0" fontId="19" fillId="0" borderId="0" xfId="89" applyAlignment="1">
      <alignment horizontal="center" vertical="center"/>
    </xf>
    <xf numFmtId="0" fontId="19" fillId="0" borderId="15" xfId="89" applyBorder="1" applyAlignment="1">
      <alignment horizontal="center"/>
    </xf>
    <xf numFmtId="0" fontId="19" fillId="0" borderId="13" xfId="89" applyBorder="1" applyAlignment="1">
      <alignment horizontal="center"/>
    </xf>
    <xf numFmtId="0" fontId="124" fillId="3" borderId="9" xfId="89" applyFont="1" applyFill="1" applyBorder="1" applyAlignment="1">
      <alignment horizontal="center" vertical="center"/>
    </xf>
    <xf numFmtId="0" fontId="124" fillId="3" borderId="10" xfId="89" applyFont="1" applyFill="1" applyBorder="1" applyAlignment="1">
      <alignment horizontal="center" vertical="center"/>
    </xf>
    <xf numFmtId="0" fontId="124" fillId="3" borderId="14" xfId="89" applyFont="1" applyFill="1" applyBorder="1" applyAlignment="1">
      <alignment horizontal="center" vertical="center"/>
    </xf>
    <xf numFmtId="0" fontId="20" fillId="4" borderId="0" xfId="89" applyFont="1" applyFill="1" applyAlignment="1">
      <alignment horizontal="center"/>
    </xf>
    <xf numFmtId="0" fontId="20" fillId="4" borderId="9" xfId="89" applyFont="1" applyFill="1" applyBorder="1" applyAlignment="1">
      <alignment horizontal="center"/>
    </xf>
    <xf numFmtId="0" fontId="20" fillId="4" borderId="14" xfId="89" applyFont="1" applyFill="1" applyBorder="1" applyAlignment="1">
      <alignment horizontal="center"/>
    </xf>
    <xf numFmtId="0" fontId="110" fillId="0" borderId="5" xfId="89" applyFont="1" applyBorder="1" applyAlignment="1">
      <alignment horizontal="left" vertical="center" wrapText="1"/>
    </xf>
    <xf numFmtId="0" fontId="19" fillId="4" borderId="0" xfId="89" applyFill="1" applyAlignment="1">
      <alignment horizontal="left"/>
    </xf>
    <xf numFmtId="0" fontId="110" fillId="0" borderId="0" xfId="89" applyFont="1" applyAlignment="1">
      <alignment horizontal="left" wrapText="1"/>
    </xf>
    <xf numFmtId="0" fontId="110" fillId="0" borderId="0" xfId="89" applyFont="1" applyAlignment="1">
      <alignment horizontal="left" vertical="center" wrapText="1"/>
    </xf>
    <xf numFmtId="0" fontId="20" fillId="0" borderId="9" xfId="89" applyFont="1" applyBorder="1" applyAlignment="1" applyProtection="1">
      <alignment horizontal="right" vertical="center" wrapText="1"/>
      <protection locked="0"/>
    </xf>
    <xf numFmtId="0" fontId="20" fillId="0" borderId="10" xfId="89" applyFont="1" applyBorder="1" applyAlignment="1" applyProtection="1">
      <alignment horizontal="right" vertical="center" wrapText="1"/>
      <protection locked="0"/>
    </xf>
    <xf numFmtId="0" fontId="122" fillId="4" borderId="0" xfId="89" applyFont="1" applyFill="1" applyAlignment="1" applyProtection="1">
      <alignment horizontal="center" vertical="center"/>
      <protection locked="0"/>
    </xf>
    <xf numFmtId="0" fontId="19" fillId="0" borderId="0" xfId="89" applyAlignment="1" applyProtection="1">
      <alignment horizontal="center" vertical="center"/>
      <protection locked="0"/>
    </xf>
    <xf numFmtId="0" fontId="122" fillId="4" borderId="0" xfId="89" applyFont="1" applyFill="1" applyAlignment="1" applyProtection="1">
      <alignment horizontal="left" vertical="center"/>
      <protection locked="0"/>
    </xf>
    <xf numFmtId="0" fontId="19" fillId="0" borderId="0" xfId="89" quotePrefix="1" applyAlignment="1">
      <alignment horizontal="center" vertical="center"/>
    </xf>
    <xf numFmtId="0" fontId="19" fillId="0" borderId="5" xfId="89" applyBorder="1" applyAlignment="1">
      <alignment horizontal="center" vertical="center"/>
    </xf>
    <xf numFmtId="0" fontId="20" fillId="3" borderId="9" xfId="89" applyFont="1" applyFill="1" applyBorder="1" applyAlignment="1">
      <alignment horizontal="center" vertical="center"/>
    </xf>
    <xf numFmtId="0" fontId="20" fillId="3" borderId="10" xfId="89" applyFont="1" applyFill="1" applyBorder="1" applyAlignment="1">
      <alignment horizontal="center" vertical="center"/>
    </xf>
    <xf numFmtId="0" fontId="20" fillId="3" borderId="14" xfId="89" applyFont="1" applyFill="1" applyBorder="1" applyAlignment="1">
      <alignment horizontal="center" vertical="center"/>
    </xf>
    <xf numFmtId="0" fontId="109" fillId="4" borderId="0" xfId="89" applyFont="1" applyFill="1" applyAlignment="1" applyProtection="1">
      <alignment horizontal="right"/>
      <protection locked="0"/>
    </xf>
    <xf numFmtId="0" fontId="43" fillId="3" borderId="14" xfId="89" applyFont="1" applyFill="1" applyBorder="1" applyAlignment="1">
      <alignment horizontal="center" vertical="center"/>
    </xf>
    <xf numFmtId="0" fontId="43" fillId="3" borderId="15" xfId="89" applyFont="1" applyFill="1" applyBorder="1" applyAlignment="1">
      <alignment horizontal="center" vertical="center"/>
    </xf>
    <xf numFmtId="0" fontId="20" fillId="4" borderId="0" xfId="89" applyFont="1" applyFill="1" applyAlignment="1">
      <alignment horizontal="left"/>
    </xf>
    <xf numFmtId="0" fontId="19" fillId="4" borderId="0" xfId="89" applyFill="1" applyAlignment="1">
      <alignment horizontal="center"/>
    </xf>
    <xf numFmtId="0" fontId="19" fillId="4" borderId="15" xfId="89" applyFill="1" applyBorder="1" applyAlignment="1">
      <alignment horizontal="center"/>
    </xf>
    <xf numFmtId="0" fontId="43" fillId="3" borderId="10" xfId="89" applyFont="1" applyFill="1" applyBorder="1" applyAlignment="1">
      <alignment horizontal="center" vertical="center"/>
    </xf>
    <xf numFmtId="0" fontId="43" fillId="3" borderId="0" xfId="89" applyFont="1" applyFill="1" applyAlignment="1">
      <alignment horizontal="center" vertical="center"/>
    </xf>
    <xf numFmtId="0" fontId="119" fillId="0" borderId="2" xfId="82" applyFont="1" applyBorder="1" applyAlignment="1">
      <alignment horizontal="left"/>
    </xf>
    <xf numFmtId="0" fontId="20" fillId="3" borderId="9" xfId="89" applyFont="1" applyFill="1" applyBorder="1" applyAlignment="1">
      <alignment horizontal="center"/>
    </xf>
    <xf numFmtId="0" fontId="20" fillId="3" borderId="10" xfId="89" applyFont="1" applyFill="1" applyBorder="1" applyAlignment="1">
      <alignment horizontal="center"/>
    </xf>
    <xf numFmtId="0" fontId="20" fillId="3" borderId="14" xfId="89" applyFont="1" applyFill="1" applyBorder="1" applyAlignment="1">
      <alignment horizontal="center"/>
    </xf>
    <xf numFmtId="0" fontId="43" fillId="3" borderId="9" xfId="89" applyFont="1" applyFill="1" applyBorder="1" applyAlignment="1">
      <alignment horizontal="center" vertical="center" wrapText="1"/>
    </xf>
    <xf numFmtId="0" fontId="43" fillId="3" borderId="11" xfId="89" applyFont="1" applyFill="1" applyBorder="1" applyAlignment="1">
      <alignment horizontal="center" vertical="center" wrapText="1"/>
    </xf>
    <xf numFmtId="0" fontId="19" fillId="0" borderId="9" xfId="82" applyBorder="1" applyAlignment="1">
      <alignment horizontal="center"/>
    </xf>
    <xf numFmtId="0" fontId="19" fillId="0" borderId="10" xfId="82" applyBorder="1" applyAlignment="1">
      <alignment horizontal="center"/>
    </xf>
    <xf numFmtId="0" fontId="19" fillId="0" borderId="14" xfId="82" applyBorder="1" applyAlignment="1">
      <alignment horizontal="center"/>
    </xf>
    <xf numFmtId="0" fontId="19" fillId="0" borderId="11" xfId="82" applyBorder="1" applyAlignment="1">
      <alignment horizontal="center"/>
    </xf>
    <xf numFmtId="0" fontId="19" fillId="0" borderId="0" xfId="82" applyAlignment="1">
      <alignment horizontal="center"/>
    </xf>
    <xf numFmtId="0" fontId="19" fillId="0" borderId="15" xfId="82" applyBorder="1" applyAlignment="1">
      <alignment horizontal="center"/>
    </xf>
    <xf numFmtId="0" fontId="19" fillId="0" borderId="12" xfId="82" applyBorder="1" applyAlignment="1">
      <alignment horizontal="center"/>
    </xf>
    <xf numFmtId="0" fontId="19" fillId="0" borderId="5" xfId="82" applyBorder="1" applyAlignment="1">
      <alignment horizontal="center"/>
    </xf>
    <xf numFmtId="0" fontId="19" fillId="0" borderId="13" xfId="82" applyBorder="1" applyAlignment="1">
      <alignment horizontal="center"/>
    </xf>
    <xf numFmtId="0" fontId="109" fillId="0" borderId="9" xfId="82" applyFont="1" applyBorder="1" applyAlignment="1">
      <alignment horizontal="center" vertical="center"/>
    </xf>
    <xf numFmtId="0" fontId="109" fillId="0" borderId="10" xfId="82" applyFont="1" applyBorder="1" applyAlignment="1">
      <alignment horizontal="center" vertical="center"/>
    </xf>
    <xf numFmtId="0" fontId="109" fillId="0" borderId="14" xfId="82" applyFont="1" applyBorder="1" applyAlignment="1">
      <alignment horizontal="center" vertical="center"/>
    </xf>
    <xf numFmtId="0" fontId="109" fillId="0" borderId="11" xfId="82" applyFont="1" applyBorder="1" applyAlignment="1">
      <alignment horizontal="center" vertical="center"/>
    </xf>
    <xf numFmtId="0" fontId="109" fillId="0" borderId="0" xfId="82" applyFont="1" applyAlignment="1">
      <alignment horizontal="center" vertical="center"/>
    </xf>
    <xf numFmtId="0" fontId="109" fillId="0" borderId="15" xfId="82" applyFont="1" applyBorder="1" applyAlignment="1">
      <alignment horizontal="center" vertical="center"/>
    </xf>
    <xf numFmtId="0" fontId="110" fillId="4" borderId="0" xfId="89" applyFont="1" applyFill="1" applyAlignment="1">
      <alignment horizontal="center"/>
    </xf>
    <xf numFmtId="0" fontId="19" fillId="0" borderId="11" xfId="89" applyBorder="1" applyAlignment="1">
      <alignment horizontal="center" vertical="center"/>
    </xf>
    <xf numFmtId="0" fontId="43" fillId="3" borderId="10" xfId="89" applyFont="1" applyFill="1" applyBorder="1" applyAlignment="1">
      <alignment horizontal="center" vertical="center" wrapText="1"/>
    </xf>
    <xf numFmtId="0" fontId="43" fillId="3" borderId="0" xfId="89" applyFont="1" applyFill="1" applyAlignment="1">
      <alignment horizontal="center" vertical="center" wrapText="1"/>
    </xf>
    <xf numFmtId="0" fontId="122" fillId="4" borderId="0" xfId="89" applyFont="1" applyFill="1" applyAlignment="1">
      <alignment horizontal="justify" vertical="top" wrapText="1"/>
    </xf>
    <xf numFmtId="0" fontId="43" fillId="3" borderId="9" xfId="89" applyFont="1" applyFill="1" applyBorder="1" applyAlignment="1">
      <alignment horizontal="center"/>
    </xf>
    <xf numFmtId="0" fontId="43" fillId="3" borderId="10" xfId="89" applyFont="1" applyFill="1" applyBorder="1" applyAlignment="1">
      <alignment horizontal="center"/>
    </xf>
    <xf numFmtId="0" fontId="119" fillId="4" borderId="0" xfId="89" applyFont="1" applyFill="1"/>
    <xf numFmtId="16" fontId="122" fillId="4" borderId="0" xfId="89" applyNumberFormat="1" applyFont="1" applyFill="1" applyAlignment="1" applyProtection="1">
      <alignment horizontal="left" vertical="center"/>
      <protection locked="0"/>
    </xf>
    <xf numFmtId="0" fontId="20" fillId="4" borderId="0" xfId="89" applyFont="1" applyFill="1" applyAlignment="1">
      <alignment horizontal="left" vertical="center"/>
    </xf>
    <xf numFmtId="0" fontId="119" fillId="4" borderId="0" xfId="89" applyFont="1" applyFill="1" applyAlignment="1">
      <alignment horizontal="left" vertical="center"/>
    </xf>
    <xf numFmtId="0" fontId="0" fillId="0" borderId="0" xfId="89" applyFont="1" applyAlignment="1">
      <alignment horizontal="center" vertical="center"/>
    </xf>
    <xf numFmtId="0" fontId="0" fillId="0" borderId="0" xfId="89" applyFont="1" applyAlignment="1">
      <alignment horizontal="left" vertical="center"/>
    </xf>
    <xf numFmtId="49" fontId="122" fillId="4" borderId="0" xfId="89" applyNumberFormat="1" applyFont="1" applyFill="1" applyAlignment="1" applyProtection="1">
      <alignment horizontal="left" vertical="center"/>
      <protection locked="0"/>
    </xf>
    <xf numFmtId="0" fontId="119" fillId="4" borderId="0" xfId="89" applyFont="1" applyFill="1" applyAlignment="1">
      <alignment horizontal="left"/>
    </xf>
    <xf numFmtId="190" fontId="122" fillId="4" borderId="0" xfId="89" applyNumberFormat="1" applyFont="1" applyFill="1" applyAlignment="1" applyProtection="1">
      <alignment horizontal="left" vertical="center"/>
      <protection locked="0"/>
    </xf>
    <xf numFmtId="0" fontId="19" fillId="0" borderId="0" xfId="89" applyAlignment="1" applyProtection="1">
      <alignment horizontal="left" vertical="center"/>
      <protection locked="0"/>
    </xf>
    <xf numFmtId="190" fontId="19" fillId="4" borderId="0" xfId="89" applyNumberFormat="1" applyFill="1" applyAlignment="1" applyProtection="1">
      <alignment horizontal="left" vertical="center"/>
      <protection locked="0"/>
    </xf>
    <xf numFmtId="0" fontId="122" fillId="4" borderId="0" xfId="89" applyFont="1" applyFill="1" applyAlignment="1" applyProtection="1">
      <alignment horizontal="left" vertical="top" wrapText="1"/>
      <protection locked="0"/>
    </xf>
    <xf numFmtId="0" fontId="19" fillId="4" borderId="0" xfId="89" applyFill="1" applyAlignment="1">
      <alignment horizontal="left" vertical="center"/>
    </xf>
    <xf numFmtId="0" fontId="49" fillId="0" borderId="17" xfId="82" applyFont="1" applyBorder="1" applyAlignment="1">
      <alignment horizontal="center" wrapText="1"/>
    </xf>
    <xf numFmtId="0" fontId="49" fillId="0" borderId="0" xfId="82" applyFont="1" applyAlignment="1">
      <alignment horizontal="center" wrapText="1"/>
    </xf>
    <xf numFmtId="0" fontId="19" fillId="0" borderId="11" xfId="89" applyBorder="1" applyAlignment="1">
      <alignment vertical="center"/>
    </xf>
    <xf numFmtId="0" fontId="19" fillId="0" borderId="0" xfId="89" applyAlignment="1">
      <alignment vertical="center"/>
    </xf>
    <xf numFmtId="0" fontId="19" fillId="0" borderId="15" xfId="89" applyBorder="1" applyAlignment="1">
      <alignment vertical="center"/>
    </xf>
    <xf numFmtId="0" fontId="125" fillId="0" borderId="11" xfId="89" applyFont="1" applyBorder="1" applyAlignment="1">
      <alignment vertical="center"/>
    </xf>
    <xf numFmtId="0" fontId="125" fillId="0" borderId="0" xfId="89" applyFont="1" applyAlignment="1">
      <alignment vertical="center"/>
    </xf>
    <xf numFmtId="0" fontId="125" fillId="0" borderId="15" xfId="89" applyFont="1" applyBorder="1" applyAlignment="1">
      <alignment vertical="center"/>
    </xf>
    <xf numFmtId="0" fontId="19" fillId="4" borderId="11" xfId="82" applyFill="1" applyBorder="1" applyAlignment="1" applyProtection="1">
      <alignment horizontal="center"/>
      <protection locked="0"/>
    </xf>
    <xf numFmtId="0" fontId="19" fillId="4" borderId="0" xfId="82" applyFill="1" applyAlignment="1" applyProtection="1">
      <alignment horizontal="center"/>
      <protection locked="0"/>
    </xf>
    <xf numFmtId="0" fontId="19" fillId="4" borderId="15" xfId="82" applyFill="1" applyBorder="1" applyAlignment="1" applyProtection="1">
      <alignment horizontal="center"/>
      <protection locked="0"/>
    </xf>
    <xf numFmtId="0" fontId="19" fillId="0" borderId="11" xfId="82" applyBorder="1" applyAlignment="1">
      <alignment horizontal="center" vertical="center"/>
    </xf>
    <xf numFmtId="0" fontId="19" fillId="0" borderId="0" xfId="82" applyAlignment="1">
      <alignment horizontal="center" vertical="center"/>
    </xf>
    <xf numFmtId="0" fontId="19" fillId="0" borderId="15" xfId="82" applyBorder="1" applyAlignment="1">
      <alignment horizontal="center" vertical="center"/>
    </xf>
    <xf numFmtId="0" fontId="19" fillId="0" borderId="134" xfId="82" applyBorder="1" applyAlignment="1">
      <alignment horizontal="center" vertical="center"/>
    </xf>
    <xf numFmtId="0" fontId="19" fillId="0" borderId="16" xfId="82" applyBorder="1" applyAlignment="1">
      <alignment horizontal="center" vertical="center"/>
    </xf>
    <xf numFmtId="0" fontId="19" fillId="0" borderId="139" xfId="82" applyBorder="1" applyAlignment="1">
      <alignment horizontal="center" vertical="center"/>
    </xf>
    <xf numFmtId="0" fontId="0" fillId="4" borderId="0" xfId="89" applyFont="1" applyFill="1" applyAlignment="1">
      <alignment horizontal="left" vertical="center"/>
    </xf>
    <xf numFmtId="0" fontId="20" fillId="0" borderId="10" xfId="89" applyFont="1" applyBorder="1" applyAlignment="1" applyProtection="1">
      <alignment horizontal="center" vertical="center" wrapText="1"/>
      <protection locked="0"/>
    </xf>
    <xf numFmtId="0" fontId="20" fillId="0" borderId="14" xfId="89" applyFont="1" applyBorder="1" applyAlignment="1" applyProtection="1">
      <alignment horizontal="center" vertical="center" wrapText="1"/>
      <protection locked="0"/>
    </xf>
    <xf numFmtId="0" fontId="20" fillId="0" borderId="5" xfId="89" applyFont="1" applyBorder="1" applyAlignment="1" applyProtection="1">
      <alignment horizontal="center" vertical="center" wrapText="1"/>
      <protection locked="0"/>
    </xf>
    <xf numFmtId="0" fontId="20" fillId="0" borderId="13" xfId="89" applyFont="1" applyBorder="1" applyAlignment="1" applyProtection="1">
      <alignment horizontal="center" vertical="center" wrapText="1"/>
      <protection locked="0"/>
    </xf>
    <xf numFmtId="0" fontId="35" fillId="4" borderId="1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52" fillId="4" borderId="27" xfId="208" applyFont="1" applyFill="1" applyBorder="1" applyAlignment="1">
      <alignment horizontal="center" vertical="center" wrapText="1"/>
    </xf>
    <xf numFmtId="0" fontId="64" fillId="15" borderId="37" xfId="208" applyFont="1" applyFill="1" applyBorder="1" applyAlignment="1">
      <alignment horizontal="center" vertical="center" wrapText="1"/>
    </xf>
    <xf numFmtId="0" fontId="64" fillId="15" borderId="66" xfId="208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20" fillId="0" borderId="15" xfId="0" applyFont="1" applyBorder="1" applyAlignment="1">
      <alignment horizontal="center" vertical="top"/>
    </xf>
    <xf numFmtId="0" fontId="64" fillId="15" borderId="28" xfId="208" applyFont="1" applyFill="1" applyBorder="1" applyAlignment="1">
      <alignment horizontal="center" vertical="center" wrapText="1"/>
    </xf>
    <xf numFmtId="0" fontId="21" fillId="4" borderId="12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left" vertical="center" wrapText="1"/>
    </xf>
    <xf numFmtId="0" fontId="52" fillId="4" borderId="5" xfId="208" applyFont="1" applyFill="1" applyBorder="1" applyAlignment="1">
      <alignment horizontal="center" vertical="center" wrapText="1"/>
    </xf>
    <xf numFmtId="0" fontId="64" fillId="15" borderId="62" xfId="208" applyFont="1" applyFill="1" applyBorder="1" applyAlignment="1">
      <alignment horizontal="center" vertical="center" wrapText="1"/>
    </xf>
    <xf numFmtId="0" fontId="64" fillId="15" borderId="65" xfId="208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top"/>
    </xf>
    <xf numFmtId="0" fontId="20" fillId="0" borderId="10" xfId="0" applyFont="1" applyBorder="1" applyAlignment="1">
      <alignment horizontal="center" vertical="top"/>
    </xf>
    <xf numFmtId="0" fontId="33" fillId="0" borderId="12" xfId="0" applyFont="1" applyBorder="1" applyAlignment="1" applyProtection="1">
      <alignment horizontal="center"/>
      <protection locked="0"/>
    </xf>
    <xf numFmtId="0" fontId="33" fillId="0" borderId="5" xfId="0" applyFont="1" applyBorder="1" applyAlignment="1" applyProtection="1">
      <alignment horizontal="center"/>
      <protection locked="0"/>
    </xf>
    <xf numFmtId="0" fontId="33" fillId="0" borderId="13" xfId="0" applyFont="1" applyBorder="1" applyAlignment="1" applyProtection="1">
      <alignment horizontal="center"/>
      <protection locked="0"/>
    </xf>
    <xf numFmtId="0" fontId="49" fillId="0" borderId="10" xfId="149" applyFont="1" applyBorder="1" applyAlignment="1">
      <alignment horizontal="center" wrapText="1"/>
    </xf>
    <xf numFmtId="0" fontId="49" fillId="0" borderId="0" xfId="151" applyFont="1" applyAlignment="1">
      <alignment horizontal="center" wrapText="1"/>
    </xf>
    <xf numFmtId="0" fontId="68" fillId="4" borderId="60" xfId="0" applyFont="1" applyFill="1" applyBorder="1" applyAlignment="1">
      <alignment horizontal="left" vertical="center"/>
    </xf>
    <xf numFmtId="0" fontId="68" fillId="4" borderId="27" xfId="0" applyFont="1" applyFill="1" applyBorder="1" applyAlignment="1">
      <alignment horizontal="left" vertical="center"/>
    </xf>
    <xf numFmtId="0" fontId="52" fillId="4" borderId="37" xfId="208" applyFont="1" applyFill="1" applyBorder="1" applyAlignment="1">
      <alignment horizontal="center" vertical="center" wrapText="1"/>
    </xf>
    <xf numFmtId="0" fontId="52" fillId="4" borderId="66" xfId="208" applyFont="1" applyFill="1" applyBorder="1" applyAlignment="1">
      <alignment horizontal="center" vertical="center" wrapText="1"/>
    </xf>
    <xf numFmtId="10" fontId="68" fillId="4" borderId="60" xfId="0" applyNumberFormat="1" applyFont="1" applyFill="1" applyBorder="1" applyAlignment="1">
      <alignment horizontal="left" vertical="center"/>
    </xf>
    <xf numFmtId="10" fontId="68" fillId="4" borderId="27" xfId="0" applyNumberFormat="1" applyFont="1" applyFill="1" applyBorder="1" applyAlignment="1">
      <alignment horizontal="left" vertical="center"/>
    </xf>
    <xf numFmtId="10" fontId="68" fillId="4" borderId="60" xfId="0" applyNumberFormat="1" applyFont="1" applyFill="1" applyBorder="1" applyAlignment="1">
      <alignment horizontal="left" vertical="center" wrapText="1"/>
    </xf>
    <xf numFmtId="10" fontId="68" fillId="4" borderId="27" xfId="0" applyNumberFormat="1" applyFont="1" applyFill="1" applyBorder="1" applyAlignment="1">
      <alignment horizontal="left" vertical="center" wrapText="1"/>
    </xf>
    <xf numFmtId="0" fontId="68" fillId="4" borderId="38" xfId="0" applyFont="1" applyFill="1" applyBorder="1" applyAlignment="1">
      <alignment horizontal="left" vertical="center"/>
    </xf>
    <xf numFmtId="0" fontId="52" fillId="4" borderId="34" xfId="208" applyFont="1" applyFill="1" applyBorder="1" applyAlignment="1">
      <alignment horizontal="center" vertical="center" wrapText="1"/>
    </xf>
    <xf numFmtId="0" fontId="52" fillId="4" borderId="46" xfId="208" applyFont="1" applyFill="1" applyBorder="1" applyAlignment="1">
      <alignment horizontal="center" vertical="center" wrapText="1"/>
    </xf>
    <xf numFmtId="0" fontId="21" fillId="4" borderId="47" xfId="0" applyFont="1" applyFill="1" applyBorder="1" applyAlignment="1">
      <alignment horizontal="left" vertical="center"/>
    </xf>
    <xf numFmtId="0" fontId="21" fillId="4" borderId="35" xfId="0" applyFont="1" applyFill="1" applyBorder="1" applyAlignment="1">
      <alignment horizontal="left" vertical="center"/>
    </xf>
    <xf numFmtId="0" fontId="21" fillId="4" borderId="35" xfId="208" applyFont="1" applyFill="1" applyBorder="1" applyAlignment="1">
      <alignment horizontal="right" vertical="center" wrapText="1"/>
    </xf>
    <xf numFmtId="0" fontId="52" fillId="4" borderId="35" xfId="208" applyFont="1" applyFill="1" applyBorder="1" applyAlignment="1">
      <alignment horizontal="center" vertical="center" wrapText="1"/>
    </xf>
    <xf numFmtId="0" fontId="52" fillId="4" borderId="36" xfId="208" applyFont="1" applyFill="1" applyBorder="1" applyAlignment="1">
      <alignment horizontal="center" vertical="center" wrapText="1"/>
    </xf>
    <xf numFmtId="0" fontId="64" fillId="4" borderId="34" xfId="208" applyFont="1" applyFill="1" applyBorder="1" applyAlignment="1">
      <alignment horizontal="center" vertical="center" wrapText="1"/>
    </xf>
    <xf numFmtId="0" fontId="64" fillId="4" borderId="67" xfId="208" applyFont="1" applyFill="1" applyBorder="1" applyAlignment="1">
      <alignment horizontal="center" vertical="center" wrapText="1"/>
    </xf>
    <xf numFmtId="0" fontId="52" fillId="4" borderId="115" xfId="0" applyFont="1" applyFill="1" applyBorder="1" applyAlignment="1">
      <alignment horizontal="center" vertical="center"/>
    </xf>
    <xf numFmtId="0" fontId="52" fillId="4" borderId="35" xfId="0" applyFont="1" applyFill="1" applyBorder="1" applyAlignment="1">
      <alignment horizontal="center" vertical="center"/>
    </xf>
    <xf numFmtId="0" fontId="52" fillId="4" borderId="36" xfId="0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5" fillId="0" borderId="2" xfId="149" applyFont="1" applyBorder="1" applyAlignment="1">
      <alignment horizontal="left" vertical="center" wrapText="1"/>
    </xf>
    <xf numFmtId="0" fontId="43" fillId="2" borderId="9" xfId="208" applyFont="1" applyFill="1" applyBorder="1" applyAlignment="1">
      <alignment horizontal="center" vertical="center" wrapText="1"/>
    </xf>
    <xf numFmtId="0" fontId="43" fillId="2" borderId="10" xfId="208" applyFont="1" applyFill="1" applyBorder="1" applyAlignment="1">
      <alignment horizontal="center" vertical="center" wrapText="1"/>
    </xf>
    <xf numFmtId="0" fontId="43" fillId="2" borderId="14" xfId="208" applyFont="1" applyFill="1" applyBorder="1" applyAlignment="1">
      <alignment horizontal="center" vertical="center" wrapText="1"/>
    </xf>
    <xf numFmtId="0" fontId="83" fillId="0" borderId="7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 vertical="center"/>
    </xf>
    <xf numFmtId="0" fontId="83" fillId="0" borderId="6" xfId="0" applyFont="1" applyBorder="1" applyAlignment="1">
      <alignment horizontal="center" vertical="center"/>
    </xf>
    <xf numFmtId="0" fontId="83" fillId="2" borderId="7" xfId="195" applyFont="1" applyFill="1" applyBorder="1" applyAlignment="1">
      <alignment horizontal="center" vertical="center" wrapText="1"/>
    </xf>
    <xf numFmtId="0" fontId="83" fillId="2" borderId="8" xfId="195" applyFont="1" applyFill="1" applyBorder="1" applyAlignment="1">
      <alignment horizontal="center" vertical="center" wrapText="1"/>
    </xf>
    <xf numFmtId="0" fontId="83" fillId="2" borderId="6" xfId="195" applyFont="1" applyFill="1" applyBorder="1" applyAlignment="1">
      <alignment horizontal="center" vertical="center" wrapText="1"/>
    </xf>
    <xf numFmtId="0" fontId="65" fillId="2" borderId="9" xfId="208" applyFont="1" applyFill="1" applyBorder="1" applyAlignment="1">
      <alignment horizontal="center" vertical="center" wrapText="1"/>
    </xf>
    <xf numFmtId="0" fontId="65" fillId="2" borderId="14" xfId="208" applyFont="1" applyFill="1" applyBorder="1" applyAlignment="1">
      <alignment horizontal="center" vertical="center" wrapText="1"/>
    </xf>
    <xf numFmtId="0" fontId="65" fillId="2" borderId="3" xfId="208" applyFont="1" applyFill="1" applyBorder="1" applyAlignment="1">
      <alignment horizontal="center" vertical="center" wrapText="1"/>
    </xf>
    <xf numFmtId="0" fontId="65" fillId="2" borderId="4" xfId="208" applyFont="1" applyFill="1" applyBorder="1" applyAlignment="1">
      <alignment horizontal="center" vertical="center" wrapText="1"/>
    </xf>
    <xf numFmtId="0" fontId="82" fillId="2" borderId="7" xfId="0" applyFont="1" applyFill="1" applyBorder="1" applyAlignment="1">
      <alignment horizontal="center" vertical="center"/>
    </xf>
    <xf numFmtId="0" fontId="82" fillId="2" borderId="8" xfId="0" applyFont="1" applyFill="1" applyBorder="1" applyAlignment="1">
      <alignment horizontal="center" vertical="center"/>
    </xf>
    <xf numFmtId="0" fontId="89" fillId="2" borderId="7" xfId="0" applyFont="1" applyFill="1" applyBorder="1" applyAlignment="1">
      <alignment horizontal="center" vertical="center"/>
    </xf>
    <xf numFmtId="0" fontId="89" fillId="2" borderId="8" xfId="0" applyFont="1" applyFill="1" applyBorder="1" applyAlignment="1">
      <alignment horizontal="center" vertical="center"/>
    </xf>
    <xf numFmtId="0" fontId="89" fillId="2" borderId="6" xfId="0" applyFont="1" applyFill="1" applyBorder="1" applyAlignment="1">
      <alignment horizontal="center" vertical="center"/>
    </xf>
    <xf numFmtId="0" fontId="62" fillId="4" borderId="47" xfId="208" applyFont="1" applyFill="1" applyBorder="1" applyAlignment="1">
      <alignment horizontal="center" vertical="center" wrapText="1"/>
    </xf>
    <xf numFmtId="0" fontId="62" fillId="4" borderId="43" xfId="208" applyFont="1" applyFill="1" applyBorder="1" applyAlignment="1">
      <alignment horizontal="center" vertical="center" wrapText="1"/>
    </xf>
    <xf numFmtId="0" fontId="64" fillId="4" borderId="46" xfId="208" applyFont="1" applyFill="1" applyBorder="1" applyAlignment="1">
      <alignment horizontal="center" vertical="center" wrapText="1"/>
    </xf>
    <xf numFmtId="0" fontId="83" fillId="3" borderId="11" xfId="150" applyFont="1" applyFill="1" applyBorder="1" applyAlignment="1">
      <alignment horizontal="center" vertical="top" wrapText="1"/>
    </xf>
    <xf numFmtId="0" fontId="83" fillId="3" borderId="12" xfId="150" applyFont="1" applyFill="1" applyBorder="1" applyAlignment="1">
      <alignment horizontal="center" vertical="top" wrapText="1"/>
    </xf>
    <xf numFmtId="0" fontId="95" fillId="0" borderId="9" xfId="0" applyFont="1" applyBorder="1" applyAlignment="1">
      <alignment horizontal="center" vertical="top" wrapText="1"/>
    </xf>
    <xf numFmtId="0" fontId="95" fillId="0" borderId="14" xfId="0" applyFont="1" applyBorder="1" applyAlignment="1">
      <alignment horizontal="center" vertical="top" wrapText="1"/>
    </xf>
    <xf numFmtId="0" fontId="83" fillId="3" borderId="15" xfId="150" applyFont="1" applyFill="1" applyBorder="1" applyAlignment="1" applyProtection="1">
      <alignment horizontal="center" vertical="center" wrapText="1"/>
      <protection locked="0"/>
    </xf>
    <xf numFmtId="0" fontId="83" fillId="3" borderId="13" xfId="150" applyFont="1" applyFill="1" applyBorder="1" applyAlignment="1" applyProtection="1">
      <alignment horizontal="center" vertical="center" wrapText="1"/>
      <protection locked="0"/>
    </xf>
    <xf numFmtId="0" fontId="95" fillId="0" borderId="9" xfId="0" applyFont="1" applyBorder="1" applyAlignment="1" applyProtection="1">
      <alignment horizontal="center" vertical="center"/>
      <protection locked="0"/>
    </xf>
    <xf numFmtId="0" fontId="95" fillId="0" borderId="10" xfId="0" applyFont="1" applyBorder="1" applyAlignment="1" applyProtection="1">
      <alignment horizontal="center" vertical="center"/>
      <protection locked="0"/>
    </xf>
    <xf numFmtId="0" fontId="95" fillId="0" borderId="14" xfId="0" applyFont="1" applyBorder="1" applyAlignment="1" applyProtection="1">
      <alignment horizontal="center" vertical="center"/>
      <protection locked="0"/>
    </xf>
    <xf numFmtId="0" fontId="91" fillId="0" borderId="11" xfId="0" applyFont="1" applyBorder="1" applyAlignment="1" applyProtection="1">
      <alignment wrapText="1"/>
      <protection locked="0"/>
    </xf>
    <xf numFmtId="0" fontId="91" fillId="0" borderId="0" xfId="0" applyFont="1" applyAlignment="1" applyProtection="1">
      <alignment wrapText="1"/>
      <protection locked="0"/>
    </xf>
    <xf numFmtId="0" fontId="91" fillId="0" borderId="0" xfId="0" applyFont="1" applyProtection="1">
      <protection locked="0"/>
    </xf>
    <xf numFmtId="0" fontId="91" fillId="0" borderId="15" xfId="0" applyFont="1" applyBorder="1" applyProtection="1">
      <protection locked="0"/>
    </xf>
    <xf numFmtId="0" fontId="91" fillId="0" borderId="12" xfId="0" applyFont="1" applyBorder="1" applyAlignment="1" applyProtection="1">
      <alignment wrapText="1"/>
      <protection locked="0"/>
    </xf>
    <xf numFmtId="0" fontId="91" fillId="0" borderId="5" xfId="0" applyFont="1" applyBorder="1" applyAlignment="1" applyProtection="1">
      <alignment wrapText="1"/>
      <protection locked="0"/>
    </xf>
    <xf numFmtId="0" fontId="91" fillId="0" borderId="5" xfId="0" applyFont="1" applyBorder="1" applyProtection="1">
      <protection locked="0"/>
    </xf>
    <xf numFmtId="0" fontId="91" fillId="0" borderId="13" xfId="0" applyFont="1" applyBorder="1" applyProtection="1">
      <protection locked="0"/>
    </xf>
    <xf numFmtId="0" fontId="0" fillId="0" borderId="10" xfId="0" applyBorder="1" applyAlignment="1" applyProtection="1">
      <alignment horizontal="justify" vertical="top" wrapText="1"/>
      <protection locked="0"/>
    </xf>
    <xf numFmtId="0" fontId="0" fillId="0" borderId="14" xfId="0" applyBorder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justify" vertical="top" wrapText="1"/>
      <protection locked="0"/>
    </xf>
    <xf numFmtId="0" fontId="0" fillId="0" borderId="15" xfId="0" applyBorder="1" applyAlignment="1" applyProtection="1">
      <alignment horizontal="justify" vertical="top" wrapText="1"/>
      <protection locked="0"/>
    </xf>
    <xf numFmtId="0" fontId="43" fillId="3" borderId="9" xfId="0" applyFont="1" applyFill="1" applyBorder="1" applyAlignment="1">
      <alignment horizontal="left" vertical="center"/>
    </xf>
    <xf numFmtId="0" fontId="43" fillId="3" borderId="10" xfId="0" applyFont="1" applyFill="1" applyBorder="1" applyAlignment="1">
      <alignment horizontal="left" vertical="center"/>
    </xf>
    <xf numFmtId="0" fontId="69" fillId="3" borderId="10" xfId="208" applyFont="1" applyFill="1" applyBorder="1" applyAlignment="1">
      <alignment horizontal="center" vertical="center" wrapText="1"/>
    </xf>
    <xf numFmtId="0" fontId="69" fillId="3" borderId="14" xfId="208" applyFont="1" applyFill="1" applyBorder="1" applyAlignment="1">
      <alignment horizontal="center" vertical="center" wrapText="1"/>
    </xf>
    <xf numFmtId="0" fontId="19" fillId="0" borderId="0" xfId="89" applyAlignment="1" applyProtection="1">
      <alignment horizontal="left"/>
      <protection locked="0"/>
    </xf>
    <xf numFmtId="0" fontId="109" fillId="4" borderId="0" xfId="82" applyFont="1" applyFill="1" applyAlignment="1">
      <alignment horizontal="right" vertical="center"/>
    </xf>
    <xf numFmtId="0" fontId="110" fillId="4" borderId="0" xfId="82" applyFont="1" applyFill="1" applyAlignment="1">
      <alignment horizontal="right" vertical="center" wrapText="1"/>
    </xf>
    <xf numFmtId="0" fontId="43" fillId="2" borderId="7" xfId="0" applyFont="1" applyFill="1" applyBorder="1" applyAlignment="1" applyProtection="1">
      <alignment horizontal="left" vertical="center"/>
      <protection locked="0"/>
    </xf>
    <xf numFmtId="0" fontId="43" fillId="2" borderId="8" xfId="0" applyFont="1" applyFill="1" applyBorder="1" applyAlignment="1" applyProtection="1">
      <alignment horizontal="left" vertical="center"/>
      <protection locked="0"/>
    </xf>
    <xf numFmtId="0" fontId="43" fillId="2" borderId="8" xfId="0" applyFont="1" applyFill="1" applyBorder="1" applyAlignment="1" applyProtection="1">
      <alignment horizontal="center" vertical="center" wrapText="1"/>
      <protection locked="0"/>
    </xf>
    <xf numFmtId="0" fontId="43" fillId="2" borderId="6" xfId="0" applyFont="1" applyFill="1" applyBorder="1" applyAlignment="1" applyProtection="1">
      <alignment horizontal="center" vertical="center" wrapText="1"/>
      <protection locked="0"/>
    </xf>
    <xf numFmtId="0" fontId="20" fillId="2" borderId="9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2" fillId="2" borderId="10" xfId="208" applyFont="1" applyFill="1" applyBorder="1" applyAlignment="1">
      <alignment horizontal="center" vertical="center" wrapText="1"/>
    </xf>
    <xf numFmtId="0" fontId="22" fillId="2" borderId="5" xfId="208" applyFont="1" applyFill="1" applyBorder="1" applyAlignment="1">
      <alignment horizontal="center" vertical="center" wrapText="1"/>
    </xf>
    <xf numFmtId="0" fontId="69" fillId="2" borderId="3" xfId="208" applyFont="1" applyFill="1" applyBorder="1" applyAlignment="1">
      <alignment horizontal="center" vertical="center" textRotation="90" wrapText="1"/>
    </xf>
    <xf numFmtId="0" fontId="69" fillId="2" borderId="4" xfId="208" applyFont="1" applyFill="1" applyBorder="1" applyAlignment="1">
      <alignment horizontal="center" vertical="center" textRotation="90" wrapText="1"/>
    </xf>
    <xf numFmtId="0" fontId="43" fillId="2" borderId="12" xfId="208" applyFont="1" applyFill="1" applyBorder="1" applyAlignment="1">
      <alignment horizontal="center" vertical="center" wrapText="1"/>
    </xf>
    <xf numFmtId="0" fontId="43" fillId="2" borderId="13" xfId="208" applyFont="1" applyFill="1" applyBorder="1" applyAlignment="1">
      <alignment horizontal="center" vertical="center" wrapText="1"/>
    </xf>
    <xf numFmtId="0" fontId="62" fillId="4" borderId="60" xfId="208" applyFont="1" applyFill="1" applyBorder="1" applyAlignment="1">
      <alignment horizontal="center" vertical="center" wrapText="1"/>
    </xf>
    <xf numFmtId="0" fontId="62" fillId="4" borderId="61" xfId="208" applyFont="1" applyFill="1" applyBorder="1" applyAlignment="1">
      <alignment horizontal="center" vertical="center" wrapText="1"/>
    </xf>
    <xf numFmtId="0" fontId="21" fillId="4" borderId="40" xfId="0" applyFont="1" applyFill="1" applyBorder="1" applyAlignment="1">
      <alignment horizontal="left" vertical="center"/>
    </xf>
    <xf numFmtId="0" fontId="21" fillId="4" borderId="41" xfId="0" applyFont="1" applyFill="1" applyBorder="1" applyAlignment="1">
      <alignment horizontal="left" vertical="center"/>
    </xf>
    <xf numFmtId="0" fontId="52" fillId="4" borderId="41" xfId="208" applyFont="1" applyFill="1" applyBorder="1" applyAlignment="1">
      <alignment horizontal="center" vertical="center" wrapText="1"/>
    </xf>
    <xf numFmtId="0" fontId="52" fillId="4" borderId="42" xfId="208" applyFont="1" applyFill="1" applyBorder="1" applyAlignment="1">
      <alignment horizontal="center" vertical="center" wrapText="1"/>
    </xf>
    <xf numFmtId="170" fontId="52" fillId="4" borderId="40" xfId="0" applyNumberFormat="1" applyFont="1" applyFill="1" applyBorder="1" applyAlignment="1">
      <alignment horizontal="center" vertical="center"/>
    </xf>
    <xf numFmtId="170" fontId="52" fillId="4" borderId="41" xfId="0" applyNumberFormat="1" applyFont="1" applyFill="1" applyBorder="1" applyAlignment="1">
      <alignment horizontal="center" vertical="center"/>
    </xf>
    <xf numFmtId="170" fontId="52" fillId="4" borderId="19" xfId="0" applyNumberFormat="1" applyFont="1" applyFill="1" applyBorder="1" applyAlignment="1">
      <alignment horizontal="center" vertical="center"/>
    </xf>
    <xf numFmtId="170" fontId="52" fillId="4" borderId="42" xfId="0" applyNumberFormat="1" applyFont="1" applyFill="1" applyBorder="1" applyAlignment="1">
      <alignment horizontal="center" vertical="center"/>
    </xf>
    <xf numFmtId="0" fontId="43" fillId="3" borderId="11" xfId="0" applyFont="1" applyFill="1" applyBorder="1" applyAlignment="1">
      <alignment horizontal="left" vertical="center"/>
    </xf>
    <xf numFmtId="0" fontId="43" fillId="3" borderId="0" xfId="0" applyFont="1" applyFill="1" applyAlignment="1">
      <alignment horizontal="left" vertical="center"/>
    </xf>
    <xf numFmtId="170" fontId="21" fillId="3" borderId="0" xfId="0" applyNumberFormat="1" applyFont="1" applyFill="1" applyAlignment="1">
      <alignment horizontal="center" vertical="center"/>
    </xf>
    <xf numFmtId="170" fontId="21" fillId="3" borderId="15" xfId="0" applyNumberFormat="1" applyFont="1" applyFill="1" applyBorder="1" applyAlignment="1">
      <alignment horizontal="center" vertical="center"/>
    </xf>
    <xf numFmtId="0" fontId="113" fillId="0" borderId="175" xfId="0" applyFont="1" applyBorder="1" applyAlignment="1" applyProtection="1">
      <alignment horizontal="center"/>
      <protection locked="0"/>
    </xf>
    <xf numFmtId="0" fontId="113" fillId="0" borderId="176" xfId="0" applyFont="1" applyBorder="1" applyAlignment="1" applyProtection="1">
      <alignment horizontal="center"/>
      <protection locked="0"/>
    </xf>
    <xf numFmtId="0" fontId="113" fillId="0" borderId="177" xfId="0" applyFont="1" applyBorder="1" applyAlignment="1" applyProtection="1">
      <alignment horizontal="center"/>
      <protection locked="0"/>
    </xf>
    <xf numFmtId="0" fontId="111" fillId="3" borderId="58" xfId="0" applyFont="1" applyFill="1" applyBorder="1" applyAlignment="1">
      <alignment horizontal="center" vertical="center"/>
    </xf>
    <xf numFmtId="0" fontId="49" fillId="0" borderId="0" xfId="151" applyFont="1" applyAlignment="1">
      <alignment horizontal="center" vertical="top" wrapText="1"/>
    </xf>
    <xf numFmtId="0" fontId="36" fillId="16" borderId="5" xfId="0" applyFont="1" applyFill="1" applyBorder="1" applyAlignment="1">
      <alignment horizontal="center"/>
    </xf>
    <xf numFmtId="0" fontId="36" fillId="16" borderId="13" xfId="0" applyFont="1" applyFill="1" applyBorder="1" applyAlignment="1">
      <alignment horizontal="center"/>
    </xf>
    <xf numFmtId="0" fontId="36" fillId="0" borderId="9" xfId="0" applyFont="1" applyBorder="1" applyAlignment="1">
      <alignment horizontal="left" vertical="center"/>
    </xf>
    <xf numFmtId="0" fontId="36" fillId="0" borderId="10" xfId="0" applyFont="1" applyBorder="1" applyAlignment="1">
      <alignment horizontal="left" vertical="center"/>
    </xf>
    <xf numFmtId="0" fontId="58" fillId="0" borderId="10" xfId="0" applyFont="1" applyBorder="1" applyAlignment="1" applyProtection="1">
      <alignment horizontal="left" vertical="center"/>
      <protection locked="0"/>
    </xf>
    <xf numFmtId="0" fontId="58" fillId="0" borderId="14" xfId="0" applyFont="1" applyBorder="1" applyAlignment="1" applyProtection="1">
      <alignment horizontal="left" vertical="center"/>
      <protection locked="0"/>
    </xf>
    <xf numFmtId="0" fontId="44" fillId="4" borderId="11" xfId="82" applyFont="1" applyFill="1" applyBorder="1" applyAlignment="1">
      <alignment horizontal="left" vertical="center" wrapText="1"/>
    </xf>
    <xf numFmtId="0" fontId="44" fillId="4" borderId="0" xfId="82" applyFont="1" applyFill="1" applyAlignment="1">
      <alignment horizontal="left" vertical="center" wrapText="1"/>
    </xf>
    <xf numFmtId="190" fontId="44" fillId="4" borderId="0" xfId="82" applyNumberFormat="1" applyFont="1" applyFill="1" applyAlignment="1">
      <alignment horizontal="center" vertical="center" wrapText="1"/>
    </xf>
    <xf numFmtId="190" fontId="44" fillId="4" borderId="0" xfId="82" applyNumberFormat="1" applyFont="1" applyFill="1" applyAlignment="1" applyProtection="1">
      <alignment horizontal="center" vertical="center" wrapText="1"/>
      <protection locked="0"/>
    </xf>
    <xf numFmtId="0" fontId="43" fillId="0" borderId="9" xfId="0" applyFont="1" applyBorder="1" applyAlignment="1">
      <alignment horizontal="center" vertical="top"/>
    </xf>
    <xf numFmtId="0" fontId="43" fillId="0" borderId="10" xfId="0" applyFont="1" applyBorder="1" applyAlignment="1">
      <alignment horizontal="center" vertical="top"/>
    </xf>
    <xf numFmtId="0" fontId="113" fillId="0" borderId="10" xfId="0" applyFont="1" applyBorder="1" applyAlignment="1" applyProtection="1">
      <alignment horizontal="center" vertical="top"/>
      <protection locked="0"/>
    </xf>
    <xf numFmtId="0" fontId="113" fillId="0" borderId="14" xfId="0" applyFont="1" applyBorder="1" applyAlignment="1" applyProtection="1">
      <alignment horizontal="center" vertical="top"/>
      <protection locked="0"/>
    </xf>
    <xf numFmtId="0" fontId="36" fillId="0" borderId="12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170" fontId="58" fillId="0" borderId="30" xfId="0" applyNumberFormat="1" applyFont="1" applyBorder="1" applyAlignment="1">
      <alignment horizontal="center" vertical="center"/>
    </xf>
    <xf numFmtId="170" fontId="58" fillId="0" borderId="5" xfId="0" applyNumberFormat="1" applyFont="1" applyBorder="1" applyAlignment="1">
      <alignment horizontal="center" vertical="center"/>
    </xf>
    <xf numFmtId="170" fontId="42" fillId="0" borderId="12" xfId="125" applyNumberFormat="1" applyFont="1" applyBorder="1" applyAlignment="1" applyProtection="1">
      <alignment horizontal="center" vertical="center" wrapText="1"/>
    </xf>
    <xf numFmtId="170" fontId="42" fillId="0" borderId="5" xfId="125" applyNumberFormat="1" applyFont="1" applyBorder="1" applyAlignment="1" applyProtection="1">
      <alignment horizontal="center" vertical="center" wrapText="1"/>
    </xf>
    <xf numFmtId="170" fontId="42" fillId="0" borderId="13" xfId="125" applyNumberFormat="1" applyFont="1" applyBorder="1" applyAlignment="1" applyProtection="1">
      <alignment horizontal="center" vertical="center" wrapText="1"/>
    </xf>
    <xf numFmtId="0" fontId="36" fillId="0" borderId="0" xfId="0" applyFont="1" applyAlignment="1">
      <alignment horizontal="left" vertical="center"/>
    </xf>
    <xf numFmtId="0" fontId="36" fillId="0" borderId="15" xfId="0" applyFont="1" applyBorder="1" applyAlignment="1">
      <alignment horizontal="left" vertical="center"/>
    </xf>
    <xf numFmtId="170" fontId="58" fillId="0" borderId="18" xfId="0" applyNumberFormat="1" applyFont="1" applyBorder="1" applyAlignment="1" applyProtection="1">
      <alignment horizontal="center" vertical="center" wrapText="1"/>
      <protection locked="0"/>
    </xf>
    <xf numFmtId="170" fontId="58" fillId="0" borderId="0" xfId="0" applyNumberFormat="1" applyFont="1" applyAlignment="1" applyProtection="1">
      <alignment horizontal="center" vertical="center" wrapText="1"/>
      <protection locked="0"/>
    </xf>
    <xf numFmtId="170" fontId="58" fillId="0" borderId="0" xfId="0" applyNumberFormat="1" applyFont="1" applyAlignment="1" applyProtection="1">
      <alignment horizontal="center" vertical="center"/>
      <protection locked="0"/>
    </xf>
    <xf numFmtId="170" fontId="58" fillId="0" borderId="11" xfId="125" applyNumberFormat="1" applyFont="1" applyBorder="1" applyAlignment="1" applyProtection="1">
      <alignment horizontal="center" vertical="center" wrapText="1"/>
    </xf>
    <xf numFmtId="170" fontId="58" fillId="0" borderId="0" xfId="125" applyNumberFormat="1" applyFont="1" applyBorder="1" applyAlignment="1" applyProtection="1">
      <alignment horizontal="center" vertical="center" wrapText="1"/>
    </xf>
    <xf numFmtId="170" fontId="58" fillId="0" borderId="15" xfId="125" applyNumberFormat="1" applyFont="1" applyBorder="1" applyAlignment="1" applyProtection="1">
      <alignment horizontal="center" vertical="center" wrapText="1"/>
    </xf>
    <xf numFmtId="0" fontId="19" fillId="0" borderId="15" xfId="89" applyBorder="1" applyAlignment="1" applyProtection="1">
      <alignment horizontal="left"/>
      <protection locked="0"/>
    </xf>
    <xf numFmtId="0" fontId="36" fillId="3" borderId="9" xfId="0" applyFont="1" applyFill="1" applyBorder="1" applyAlignment="1">
      <alignment horizontal="center" vertical="center" textRotation="90" wrapText="1"/>
    </xf>
    <xf numFmtId="0" fontId="36" fillId="3" borderId="12" xfId="0" applyFont="1" applyFill="1" applyBorder="1" applyAlignment="1">
      <alignment horizontal="center" vertical="center" textRotation="90" wrapText="1"/>
    </xf>
    <xf numFmtId="0" fontId="36" fillId="3" borderId="109" xfId="0" applyFont="1" applyFill="1" applyBorder="1" applyAlignment="1">
      <alignment horizontal="center" vertical="center" wrapText="1"/>
    </xf>
    <xf numFmtId="0" fontId="36" fillId="3" borderId="29" xfId="0" applyFont="1" applyFill="1" applyBorder="1" applyAlignment="1">
      <alignment horizontal="center" vertical="center" wrapText="1"/>
    </xf>
    <xf numFmtId="1" fontId="36" fillId="3" borderId="33" xfId="0" applyNumberFormat="1" applyFont="1" applyFill="1" applyBorder="1" applyAlignment="1">
      <alignment horizontal="center" vertical="center" wrapText="1"/>
    </xf>
    <xf numFmtId="1" fontId="36" fillId="3" borderId="10" xfId="0" applyNumberFormat="1" applyFont="1" applyFill="1" applyBorder="1" applyAlignment="1">
      <alignment horizontal="center" vertical="center" wrapText="1"/>
    </xf>
    <xf numFmtId="1" fontId="36" fillId="3" borderId="30" xfId="0" applyNumberFormat="1" applyFont="1" applyFill="1" applyBorder="1" applyAlignment="1">
      <alignment horizontal="center" vertical="center" wrapText="1"/>
    </xf>
    <xf numFmtId="1" fontId="36" fillId="3" borderId="5" xfId="0" applyNumberFormat="1" applyFont="1" applyFill="1" applyBorder="1" applyAlignment="1">
      <alignment horizontal="center" vertical="center" wrapText="1"/>
    </xf>
    <xf numFmtId="0" fontId="36" fillId="3" borderId="10" xfId="0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36" fillId="3" borderId="14" xfId="0" applyFont="1" applyFill="1" applyBorder="1" applyAlignment="1">
      <alignment horizontal="center" vertical="center" wrapText="1"/>
    </xf>
    <xf numFmtId="0" fontId="36" fillId="3" borderId="5" xfId="0" applyFont="1" applyFill="1" applyBorder="1" applyAlignment="1">
      <alignment horizontal="center" vertical="center" wrapText="1"/>
    </xf>
    <xf numFmtId="0" fontId="36" fillId="3" borderId="13" xfId="0" applyFont="1" applyFill="1" applyBorder="1" applyAlignment="1">
      <alignment horizontal="center" vertical="center" wrapText="1"/>
    </xf>
    <xf numFmtId="170" fontId="58" fillId="0" borderId="9" xfId="125" applyNumberFormat="1" applyFont="1" applyBorder="1" applyAlignment="1" applyProtection="1">
      <alignment horizontal="center" vertical="center" wrapText="1"/>
    </xf>
    <xf numFmtId="170" fontId="58" fillId="0" borderId="10" xfId="125" applyNumberFormat="1" applyFont="1" applyBorder="1" applyAlignment="1" applyProtection="1">
      <alignment horizontal="center" vertical="center" wrapText="1"/>
    </xf>
    <xf numFmtId="170" fontId="58" fillId="0" borderId="14" xfId="125" applyNumberFormat="1" applyFont="1" applyBorder="1" applyAlignment="1" applyProtection="1">
      <alignment horizontal="center" vertical="center" wrapText="1"/>
    </xf>
    <xf numFmtId="0" fontId="43" fillId="0" borderId="10" xfId="89" applyFont="1" applyBorder="1" applyAlignment="1" applyProtection="1">
      <alignment horizontal="center"/>
      <protection locked="0"/>
    </xf>
    <xf numFmtId="0" fontId="43" fillId="0" borderId="14" xfId="89" applyFont="1" applyBorder="1" applyAlignment="1" applyProtection="1">
      <alignment horizontal="center"/>
      <protection locked="0"/>
    </xf>
    <xf numFmtId="0" fontId="109" fillId="4" borderId="0" xfId="0" applyFont="1" applyFill="1" applyAlignment="1">
      <alignment horizontal="right" vertical="center"/>
    </xf>
    <xf numFmtId="0" fontId="44" fillId="0" borderId="0" xfId="89" applyFont="1" applyProtection="1">
      <protection locked="0"/>
    </xf>
    <xf numFmtId="0" fontId="44" fillId="0" borderId="15" xfId="89" applyFont="1" applyBorder="1" applyProtection="1">
      <protection locked="0"/>
    </xf>
    <xf numFmtId="0" fontId="110" fillId="4" borderId="0" xfId="203" applyFont="1" applyFill="1" applyAlignment="1">
      <alignment horizontal="right" vertical="center"/>
    </xf>
    <xf numFmtId="0" fontId="19" fillId="4" borderId="0" xfId="89" applyFill="1" applyProtection="1">
      <protection locked="0"/>
    </xf>
    <xf numFmtId="0" fontId="19" fillId="4" borderId="15" xfId="89" applyFill="1" applyBorder="1" applyProtection="1">
      <protection locked="0"/>
    </xf>
    <xf numFmtId="0" fontId="33" fillId="0" borderId="9" xfId="0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33" fillId="0" borderId="14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15" xfId="0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0" fontId="33" fillId="0" borderId="13" xfId="0" applyFont="1" applyBorder="1" applyAlignment="1">
      <alignment horizontal="center"/>
    </xf>
    <xf numFmtId="0" fontId="20" fillId="0" borderId="12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91" fillId="0" borderId="7" xfId="0" applyFont="1" applyBorder="1" applyAlignment="1" applyProtection="1">
      <alignment horizontal="center"/>
      <protection locked="0"/>
    </xf>
    <xf numFmtId="0" fontId="91" fillId="0" borderId="6" xfId="0" applyFont="1" applyBorder="1" applyAlignment="1" applyProtection="1">
      <alignment horizontal="center"/>
      <protection locked="0"/>
    </xf>
    <xf numFmtId="0" fontId="105" fillId="0" borderId="7" xfId="149" applyFont="1" applyBorder="1" applyAlignment="1">
      <alignment horizontal="left" vertical="center" wrapText="1"/>
    </xf>
    <xf numFmtId="0" fontId="105" fillId="0" borderId="8" xfId="149" applyFont="1" applyBorder="1" applyAlignment="1">
      <alignment horizontal="left" vertical="center" wrapText="1"/>
    </xf>
    <xf numFmtId="0" fontId="105" fillId="0" borderId="6" xfId="149" applyFont="1" applyBorder="1" applyAlignment="1">
      <alignment horizontal="left" vertical="center" wrapText="1"/>
    </xf>
    <xf numFmtId="0" fontId="22" fillId="0" borderId="0" xfId="103" applyFont="1" applyAlignment="1" applyProtection="1">
      <alignment horizontal="center" vertical="center"/>
      <protection locked="0"/>
    </xf>
    <xf numFmtId="171" fontId="60" fillId="17" borderId="178" xfId="0" applyNumberFormat="1" applyFont="1" applyFill="1" applyBorder="1" applyAlignment="1">
      <alignment horizontal="center" vertical="center" wrapText="1"/>
    </xf>
    <xf numFmtId="171" fontId="60" fillId="17" borderId="179" xfId="0" applyNumberFormat="1" applyFont="1" applyFill="1" applyBorder="1" applyAlignment="1">
      <alignment horizontal="center" vertical="center" wrapText="1"/>
    </xf>
    <xf numFmtId="0" fontId="61" fillId="0" borderId="132" xfId="0" applyFont="1" applyBorder="1" applyAlignment="1">
      <alignment horizontal="center" vertical="center" wrapText="1"/>
    </xf>
    <xf numFmtId="0" fontId="61" fillId="0" borderId="125" xfId="0" applyFont="1" applyBorder="1" applyAlignment="1">
      <alignment horizontal="center" vertical="center" wrapText="1"/>
    </xf>
    <xf numFmtId="0" fontId="61" fillId="0" borderId="133" xfId="0" applyFont="1" applyBorder="1" applyAlignment="1">
      <alignment horizontal="center" vertical="center" wrapText="1"/>
    </xf>
    <xf numFmtId="0" fontId="33" fillId="0" borderId="132" xfId="0" applyFont="1" applyBorder="1" applyAlignment="1">
      <alignment horizontal="center" vertical="center" wrapText="1"/>
    </xf>
    <xf numFmtId="0" fontId="33" fillId="0" borderId="125" xfId="0" applyFont="1" applyBorder="1" applyAlignment="1">
      <alignment horizontal="center" vertical="center" wrapText="1"/>
    </xf>
    <xf numFmtId="0" fontId="33" fillId="0" borderId="126" xfId="0" applyFont="1" applyBorder="1" applyAlignment="1">
      <alignment horizontal="center" vertical="center" wrapText="1"/>
    </xf>
    <xf numFmtId="0" fontId="19" fillId="0" borderId="0" xfId="89" applyAlignment="1" applyProtection="1">
      <alignment horizontal="right"/>
      <protection locked="0"/>
    </xf>
    <xf numFmtId="0" fontId="19" fillId="0" borderId="15" xfId="89" applyBorder="1" applyAlignment="1" applyProtection="1">
      <alignment horizontal="right"/>
      <protection locked="0"/>
    </xf>
    <xf numFmtId="0" fontId="21" fillId="0" borderId="5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171" fontId="42" fillId="0" borderId="10" xfId="0" applyNumberFormat="1" applyFont="1" applyBorder="1" applyAlignment="1">
      <alignment horizontal="center" vertical="center" wrapText="1"/>
    </xf>
    <xf numFmtId="171" fontId="42" fillId="0" borderId="14" xfId="0" applyNumberFormat="1" applyFont="1" applyBorder="1" applyAlignment="1">
      <alignment horizontal="center" vertical="center" wrapText="1"/>
    </xf>
    <xf numFmtId="0" fontId="36" fillId="3" borderId="8" xfId="0" applyFont="1" applyFill="1" applyBorder="1" applyAlignment="1">
      <alignment horizontal="center" vertical="center" wrapText="1"/>
    </xf>
    <xf numFmtId="0" fontId="91" fillId="0" borderId="161" xfId="0" applyFont="1" applyBorder="1" applyAlignment="1">
      <alignment horizontal="center" vertical="center"/>
    </xf>
    <xf numFmtId="0" fontId="91" fillId="0" borderId="4" xfId="0" applyFont="1" applyBorder="1" applyAlignment="1">
      <alignment horizontal="center" vertical="center"/>
    </xf>
    <xf numFmtId="170" fontId="59" fillId="0" borderId="0" xfId="0" applyNumberFormat="1" applyFont="1" applyAlignment="1">
      <alignment horizontal="center" vertical="center" wrapText="1"/>
    </xf>
    <xf numFmtId="0" fontId="42" fillId="4" borderId="9" xfId="0" applyFont="1" applyFill="1" applyBorder="1" applyAlignment="1">
      <alignment horizontal="center" vertical="center" wrapText="1"/>
    </xf>
    <xf numFmtId="0" fontId="42" fillId="4" borderId="10" xfId="0" applyFont="1" applyFill="1" applyBorder="1" applyAlignment="1">
      <alignment horizontal="center" vertical="center" wrapText="1"/>
    </xf>
    <xf numFmtId="0" fontId="42" fillId="4" borderId="12" xfId="0" applyFont="1" applyFill="1" applyBorder="1" applyAlignment="1">
      <alignment horizontal="center" vertical="center" wrapText="1"/>
    </xf>
    <xf numFmtId="0" fontId="42" fillId="4" borderId="5" xfId="0" applyFont="1" applyFill="1" applyBorder="1" applyAlignment="1">
      <alignment horizontal="center" vertical="center" wrapText="1"/>
    </xf>
    <xf numFmtId="0" fontId="42" fillId="4" borderId="10" xfId="0" applyFont="1" applyFill="1" applyBorder="1" applyAlignment="1">
      <alignment horizontal="center" vertical="top"/>
    </xf>
    <xf numFmtId="0" fontId="42" fillId="4" borderId="5" xfId="0" applyFont="1" applyFill="1" applyBorder="1" applyAlignment="1">
      <alignment horizontal="center" vertical="top"/>
    </xf>
    <xf numFmtId="0" fontId="42" fillId="4" borderId="112" xfId="0" applyFont="1" applyFill="1" applyBorder="1" applyAlignment="1">
      <alignment horizontal="center" vertical="center" textRotation="90" wrapText="1"/>
    </xf>
    <xf numFmtId="0" fontId="42" fillId="4" borderId="57" xfId="0" applyFont="1" applyFill="1" applyBorder="1" applyAlignment="1">
      <alignment horizontal="center" vertical="center" textRotation="90" wrapText="1"/>
    </xf>
    <xf numFmtId="0" fontId="42" fillId="4" borderId="113" xfId="0" applyFont="1" applyFill="1" applyBorder="1" applyAlignment="1">
      <alignment horizontal="center" vertical="center" textRotation="90" wrapText="1"/>
    </xf>
    <xf numFmtId="0" fontId="42" fillId="4" borderId="55" xfId="0" applyFont="1" applyFill="1" applyBorder="1" applyAlignment="1">
      <alignment horizontal="center" vertical="center" wrapText="1"/>
    </xf>
    <xf numFmtId="0" fontId="42" fillId="4" borderId="50" xfId="0" applyFont="1" applyFill="1" applyBorder="1" applyAlignment="1">
      <alignment horizontal="center" vertical="center" wrapText="1"/>
    </xf>
    <xf numFmtId="0" fontId="42" fillId="4" borderId="54" xfId="0" applyFont="1" applyFill="1" applyBorder="1" applyAlignment="1">
      <alignment horizontal="center" vertical="center" wrapText="1"/>
    </xf>
    <xf numFmtId="0" fontId="42" fillId="4" borderId="51" xfId="0" applyFont="1" applyFill="1" applyBorder="1" applyAlignment="1">
      <alignment horizontal="center" vertical="center" wrapText="1"/>
    </xf>
    <xf numFmtId="0" fontId="42" fillId="4" borderId="56" xfId="0" applyFont="1" applyFill="1" applyBorder="1" applyAlignment="1">
      <alignment horizontal="center" vertical="center" wrapText="1"/>
    </xf>
    <xf numFmtId="0" fontId="42" fillId="4" borderId="52" xfId="0" applyFont="1" applyFill="1" applyBorder="1" applyAlignment="1">
      <alignment horizontal="center" vertical="center" wrapText="1"/>
    </xf>
    <xf numFmtId="0" fontId="42" fillId="3" borderId="9" xfId="0" applyFont="1" applyFill="1" applyBorder="1" applyAlignment="1">
      <alignment horizontal="center" vertical="center"/>
    </xf>
    <xf numFmtId="0" fontId="42" fillId="3" borderId="10" xfId="0" applyFont="1" applyFill="1" applyBorder="1" applyAlignment="1">
      <alignment horizontal="center" vertical="center"/>
    </xf>
    <xf numFmtId="0" fontId="42" fillId="3" borderId="12" xfId="0" applyFont="1" applyFill="1" applyBorder="1" applyAlignment="1">
      <alignment horizontal="center" vertical="center"/>
    </xf>
    <xf numFmtId="0" fontId="42" fillId="3" borderId="5" xfId="0" applyFont="1" applyFill="1" applyBorder="1" applyAlignment="1">
      <alignment horizontal="center" vertical="center"/>
    </xf>
    <xf numFmtId="0" fontId="36" fillId="3" borderId="0" xfId="0" applyFont="1" applyFill="1" applyAlignment="1">
      <alignment horizontal="center" vertical="center" wrapText="1"/>
    </xf>
    <xf numFmtId="0" fontId="66" fillId="3" borderId="15" xfId="0" applyFont="1" applyFill="1" applyBorder="1" applyAlignment="1">
      <alignment horizontal="center" vertical="center" wrapText="1"/>
    </xf>
    <xf numFmtId="0" fontId="42" fillId="3" borderId="5" xfId="0" applyFont="1" applyFill="1" applyBorder="1" applyAlignment="1">
      <alignment horizontal="center" vertical="top"/>
    </xf>
    <xf numFmtId="0" fontId="61" fillId="0" borderId="123" xfId="0" applyFont="1" applyBorder="1" applyAlignment="1">
      <alignment horizontal="center" vertical="center" wrapText="1"/>
    </xf>
    <xf numFmtId="0" fontId="42" fillId="4" borderId="9" xfId="0" applyFont="1" applyFill="1" applyBorder="1" applyAlignment="1">
      <alignment horizontal="center" vertical="center" textRotation="90" wrapText="1"/>
    </xf>
    <xf numFmtId="0" fontId="42" fillId="4" borderId="11" xfId="0" applyFont="1" applyFill="1" applyBorder="1" applyAlignment="1">
      <alignment horizontal="center" vertical="center" textRotation="90" wrapText="1"/>
    </xf>
    <xf numFmtId="0" fontId="42" fillId="4" borderId="12" xfId="0" applyFont="1" applyFill="1" applyBorder="1" applyAlignment="1">
      <alignment horizontal="center" vertical="center" textRotation="90" wrapText="1"/>
    </xf>
    <xf numFmtId="0" fontId="42" fillId="4" borderId="110" xfId="0" applyFont="1" applyFill="1" applyBorder="1" applyAlignment="1">
      <alignment horizontal="center" vertical="top"/>
    </xf>
    <xf numFmtId="0" fontId="42" fillId="4" borderId="111" xfId="0" applyFont="1" applyFill="1" applyBorder="1" applyAlignment="1">
      <alignment horizontal="center" vertical="top"/>
    </xf>
    <xf numFmtId="0" fontId="66" fillId="3" borderId="6" xfId="0" applyFont="1" applyFill="1" applyBorder="1" applyAlignment="1">
      <alignment horizontal="center" vertical="center" wrapText="1"/>
    </xf>
    <xf numFmtId="0" fontId="60" fillId="3" borderId="2" xfId="0" applyFont="1" applyFill="1" applyBorder="1" applyAlignment="1">
      <alignment horizontal="center" vertical="center" wrapText="1"/>
    </xf>
    <xf numFmtId="0" fontId="36" fillId="0" borderId="2" xfId="0" applyFont="1" applyBorder="1" applyAlignment="1" applyProtection="1">
      <alignment horizontal="center"/>
      <protection locked="0"/>
    </xf>
    <xf numFmtId="170" fontId="60" fillId="0" borderId="5" xfId="0" applyNumberFormat="1" applyFont="1" applyBorder="1" applyAlignment="1">
      <alignment horizontal="center" vertical="center"/>
    </xf>
    <xf numFmtId="0" fontId="66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11" xfId="0" applyFont="1" applyBorder="1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33" fillId="0" borderId="15" xfId="0" applyFont="1" applyBorder="1" applyAlignment="1" applyProtection="1">
      <alignment horizontal="center"/>
      <protection locked="0"/>
    </xf>
    <xf numFmtId="0" fontId="111" fillId="3" borderId="180" xfId="0" applyFont="1" applyFill="1" applyBorder="1" applyAlignment="1">
      <alignment horizontal="center" vertical="center"/>
    </xf>
    <xf numFmtId="0" fontId="111" fillId="3" borderId="181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4" fillId="0" borderId="11" xfId="0" applyFont="1" applyBorder="1" applyAlignment="1">
      <alignment horizontal="left"/>
    </xf>
    <xf numFmtId="0" fontId="34" fillId="0" borderId="0" xfId="0" applyFont="1" applyAlignment="1">
      <alignment horizontal="left"/>
    </xf>
    <xf numFmtId="0" fontId="34" fillId="0" borderId="15" xfId="0" applyFont="1" applyBorder="1" applyAlignment="1">
      <alignment horizontal="left"/>
    </xf>
    <xf numFmtId="0" fontId="0" fillId="0" borderId="0" xfId="149" applyFont="1" applyAlignment="1">
      <alignment wrapText="1"/>
    </xf>
    <xf numFmtId="190" fontId="0" fillId="0" borderId="0" xfId="149" applyNumberFormat="1" applyFont="1" applyAlignment="1" applyProtection="1">
      <alignment horizontal="center" wrapText="1"/>
      <protection locked="0"/>
    </xf>
    <xf numFmtId="190" fontId="19" fillId="0" borderId="0" xfId="149" applyNumberFormat="1" applyFont="1" applyAlignment="1" applyProtection="1">
      <alignment horizontal="center" wrapText="1"/>
      <protection locked="0"/>
    </xf>
    <xf numFmtId="0" fontId="34" fillId="0" borderId="25" xfId="0" applyFont="1" applyBorder="1" applyAlignment="1" applyProtection="1">
      <alignment horizontal="center" vertical="top"/>
      <protection locked="0"/>
    </xf>
    <xf numFmtId="0" fontId="49" fillId="0" borderId="0" xfId="149" applyFont="1" applyAlignment="1">
      <alignment horizontal="center" wrapText="1"/>
    </xf>
    <xf numFmtId="0" fontId="36" fillId="0" borderId="0" xfId="0" applyFont="1" applyAlignment="1">
      <alignment horizontal="center" vertical="center" wrapText="1"/>
    </xf>
    <xf numFmtId="0" fontId="20" fillId="0" borderId="25" xfId="0" applyFont="1" applyBorder="1" applyAlignment="1">
      <alignment horizontal="left" vertical="top"/>
    </xf>
    <xf numFmtId="0" fontId="0" fillId="14" borderId="0" xfId="0" applyFill="1" applyAlignment="1">
      <alignment horizontal="center" vertical="center"/>
    </xf>
    <xf numFmtId="0" fontId="0" fillId="14" borderId="0" xfId="0" applyFill="1" applyAlignment="1">
      <alignment horizontal="center" vertical="center" wrapText="1"/>
    </xf>
    <xf numFmtId="0" fontId="19" fillId="0" borderId="0" xfId="0" applyFont="1" applyAlignment="1" applyProtection="1">
      <alignment horizontal="center" vertical="center"/>
      <protection locked="0"/>
    </xf>
    <xf numFmtId="0" fontId="42" fillId="0" borderId="121" xfId="0" applyFont="1" applyBorder="1" applyAlignment="1">
      <alignment horizontal="center" vertical="center"/>
    </xf>
    <xf numFmtId="0" fontId="42" fillId="0" borderId="114" xfId="0" applyFont="1" applyBorder="1" applyAlignment="1">
      <alignment horizontal="center" vertical="center"/>
    </xf>
    <xf numFmtId="0" fontId="42" fillId="0" borderId="122" xfId="0" applyFont="1" applyBorder="1" applyAlignment="1">
      <alignment horizontal="center" vertical="center"/>
    </xf>
    <xf numFmtId="0" fontId="42" fillId="4" borderId="53" xfId="0" applyFont="1" applyFill="1" applyBorder="1" applyAlignment="1">
      <alignment horizontal="center" vertical="top"/>
    </xf>
    <xf numFmtId="0" fontId="42" fillId="4" borderId="13" xfId="0" applyFont="1" applyFill="1" applyBorder="1" applyAlignment="1">
      <alignment horizontal="center" vertical="top"/>
    </xf>
    <xf numFmtId="0" fontId="91" fillId="0" borderId="9" xfId="0" applyFont="1" applyBorder="1" applyAlignment="1">
      <alignment horizontal="center" vertical="center" wrapText="1"/>
    </xf>
    <xf numFmtId="0" fontId="91" fillId="0" borderId="12" xfId="0" applyFont="1" applyBorder="1" applyAlignment="1">
      <alignment horizontal="center" vertical="center" wrapText="1"/>
    </xf>
    <xf numFmtId="0" fontId="91" fillId="0" borderId="132" xfId="0" applyFont="1" applyBorder="1" applyAlignment="1">
      <alignment horizontal="center" vertical="center" wrapText="1"/>
    </xf>
    <xf numFmtId="0" fontId="91" fillId="0" borderId="126" xfId="0" applyFont="1" applyBorder="1" applyAlignment="1">
      <alignment horizontal="center" vertical="center" wrapText="1"/>
    </xf>
    <xf numFmtId="0" fontId="33" fillId="0" borderId="161" xfId="0" applyFont="1" applyBorder="1" applyAlignment="1">
      <alignment horizontal="center" vertical="center" wrapText="1"/>
    </xf>
    <xf numFmtId="0" fontId="33" fillId="0" borderId="162" xfId="0" applyFont="1" applyBorder="1" applyAlignment="1">
      <alignment horizontal="center" vertical="center" wrapText="1"/>
    </xf>
    <xf numFmtId="171" fontId="59" fillId="17" borderId="0" xfId="0" applyNumberFormat="1" applyFont="1" applyFill="1" applyAlignment="1">
      <alignment horizontal="center" vertical="center"/>
    </xf>
    <xf numFmtId="171" fontId="59" fillId="17" borderId="15" xfId="0" applyNumberFormat="1" applyFont="1" applyFill="1" applyBorder="1" applyAlignment="1">
      <alignment horizontal="center" vertical="center"/>
    </xf>
    <xf numFmtId="171" fontId="59" fillId="17" borderId="5" xfId="0" applyNumberFormat="1" applyFont="1" applyFill="1" applyBorder="1" applyAlignment="1">
      <alignment horizontal="center" vertical="center"/>
    </xf>
    <xf numFmtId="171" fontId="59" fillId="17" borderId="13" xfId="0" applyNumberFormat="1" applyFont="1" applyFill="1" applyBorder="1" applyAlignment="1">
      <alignment horizontal="center" vertical="center"/>
    </xf>
    <xf numFmtId="0" fontId="71" fillId="4" borderId="10" xfId="0" applyFont="1" applyFill="1" applyBorder="1" applyAlignment="1">
      <alignment horizontal="center" vertical="center"/>
    </xf>
    <xf numFmtId="0" fontId="42" fillId="4" borderId="11" xfId="0" applyFont="1" applyFill="1" applyBorder="1" applyAlignment="1">
      <alignment horizontal="center" vertical="center" wrapText="1"/>
    </xf>
    <xf numFmtId="0" fontId="42" fillId="4" borderId="0" xfId="0" applyFont="1" applyFill="1" applyAlignment="1">
      <alignment horizontal="center" vertical="center" wrapText="1"/>
    </xf>
    <xf numFmtId="170" fontId="36" fillId="3" borderId="8" xfId="0" applyNumberFormat="1" applyFont="1" applyFill="1" applyBorder="1" applyAlignment="1">
      <alignment horizontal="center" vertical="center" wrapText="1"/>
    </xf>
    <xf numFmtId="0" fontId="36" fillId="3" borderId="6" xfId="0" applyFont="1" applyFill="1" applyBorder="1" applyAlignment="1">
      <alignment horizontal="center" vertical="center" wrapText="1"/>
    </xf>
    <xf numFmtId="170" fontId="59" fillId="0" borderId="0" xfId="0" applyNumberFormat="1" applyFont="1" applyAlignment="1">
      <alignment horizontal="center" vertical="center"/>
    </xf>
    <xf numFmtId="170" fontId="59" fillId="0" borderId="15" xfId="0" applyNumberFormat="1" applyFont="1" applyBorder="1" applyAlignment="1">
      <alignment horizontal="center" vertical="center"/>
    </xf>
    <xf numFmtId="170" fontId="60" fillId="0" borderId="13" xfId="0" applyNumberFormat="1" applyFont="1" applyBorder="1" applyAlignment="1">
      <alignment horizontal="center" vertical="center"/>
    </xf>
    <xf numFmtId="12" fontId="44" fillId="4" borderId="11" xfId="0" applyNumberFormat="1" applyFont="1" applyFill="1" applyBorder="1" applyAlignment="1">
      <alignment horizontal="left" vertical="center" wrapText="1"/>
    </xf>
    <xf numFmtId="12" fontId="44" fillId="4" borderId="0" xfId="0" applyNumberFormat="1" applyFont="1" applyFill="1" applyAlignment="1">
      <alignment horizontal="left" vertical="center" wrapText="1"/>
    </xf>
    <xf numFmtId="12" fontId="43" fillId="4" borderId="0" xfId="0" applyNumberFormat="1" applyFont="1" applyFill="1" applyAlignment="1">
      <alignment horizontal="center" vertical="center" wrapText="1"/>
    </xf>
    <xf numFmtId="0" fontId="44" fillId="14" borderId="0" xfId="0" applyFont="1" applyFill="1" applyAlignment="1" applyProtection="1">
      <alignment horizontal="center" vertical="center"/>
      <protection locked="0"/>
    </xf>
    <xf numFmtId="0" fontId="44" fillId="14" borderId="15" xfId="0" applyFont="1" applyFill="1" applyBorder="1" applyAlignment="1" applyProtection="1">
      <alignment horizontal="center" vertical="center"/>
      <protection locked="0"/>
    </xf>
    <xf numFmtId="0" fontId="44" fillId="4" borderId="11" xfId="0" applyFont="1" applyFill="1" applyBorder="1" applyAlignment="1">
      <alignment horizontal="left" vertical="center" wrapText="1"/>
    </xf>
    <xf numFmtId="0" fontId="44" fillId="4" borderId="0" xfId="0" applyFont="1" applyFill="1" applyAlignment="1">
      <alignment horizontal="left" vertical="center" wrapText="1"/>
    </xf>
    <xf numFmtId="0" fontId="44" fillId="4" borderId="0" xfId="0" applyFont="1" applyFill="1" applyAlignment="1">
      <alignment horizontal="center" vertical="center"/>
    </xf>
    <xf numFmtId="0" fontId="44" fillId="4" borderId="11" xfId="0" applyFont="1" applyFill="1" applyBorder="1" applyAlignment="1">
      <alignment horizontal="left" vertical="center"/>
    </xf>
    <xf numFmtId="0" fontId="44" fillId="4" borderId="0" xfId="0" applyFont="1" applyFill="1" applyAlignment="1">
      <alignment horizontal="left" vertical="center"/>
    </xf>
    <xf numFmtId="0" fontId="44" fillId="0" borderId="0" xfId="0" applyFont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96" fillId="0" borderId="9" xfId="0" applyFont="1" applyBorder="1" applyAlignment="1">
      <alignment horizontal="center" vertical="center" wrapText="1"/>
    </xf>
    <xf numFmtId="0" fontId="96" fillId="0" borderId="10" xfId="0" applyFont="1" applyBorder="1" applyAlignment="1">
      <alignment horizontal="center" vertical="center" wrapText="1"/>
    </xf>
    <xf numFmtId="0" fontId="96" fillId="0" borderId="14" xfId="0" applyFont="1" applyBorder="1" applyAlignment="1">
      <alignment horizontal="center" vertical="center" wrapText="1"/>
    </xf>
    <xf numFmtId="0" fontId="96" fillId="0" borderId="11" xfId="0" applyFont="1" applyBorder="1" applyAlignment="1">
      <alignment horizontal="center" vertical="center" wrapText="1"/>
    </xf>
    <xf numFmtId="0" fontId="96" fillId="0" borderId="0" xfId="0" applyFont="1" applyAlignment="1">
      <alignment horizontal="center" vertical="center" wrapText="1"/>
    </xf>
    <xf numFmtId="0" fontId="96" fillId="0" borderId="15" xfId="0" applyFont="1" applyBorder="1" applyAlignment="1">
      <alignment horizontal="center" vertical="center" wrapText="1"/>
    </xf>
    <xf numFmtId="0" fontId="96" fillId="0" borderId="12" xfId="0" applyFont="1" applyBorder="1" applyAlignment="1">
      <alignment horizontal="center" vertical="center" wrapText="1"/>
    </xf>
    <xf numFmtId="0" fontId="96" fillId="0" borderId="5" xfId="0" applyFont="1" applyBorder="1" applyAlignment="1">
      <alignment horizontal="center" vertical="center" wrapText="1"/>
    </xf>
    <xf numFmtId="0" fontId="96" fillId="0" borderId="13" xfId="0" applyFont="1" applyBorder="1" applyAlignment="1">
      <alignment horizontal="center" vertical="center" wrapText="1"/>
    </xf>
    <xf numFmtId="0" fontId="82" fillId="4" borderId="11" xfId="0" applyFont="1" applyFill="1" applyBorder="1" applyAlignment="1">
      <alignment horizontal="left" vertical="center"/>
    </xf>
    <xf numFmtId="0" fontId="82" fillId="4" borderId="0" xfId="0" applyFont="1" applyFill="1" applyAlignment="1">
      <alignment horizontal="left" vertical="center"/>
    </xf>
    <xf numFmtId="0" fontId="82" fillId="4" borderId="0" xfId="0" applyFont="1" applyFill="1" applyAlignment="1">
      <alignment horizontal="center" vertical="center"/>
    </xf>
    <xf numFmtId="173" fontId="43" fillId="4" borderId="0" xfId="0" applyNumberFormat="1" applyFont="1" applyFill="1" applyAlignment="1">
      <alignment horizontal="center" vertical="center" wrapText="1"/>
    </xf>
    <xf numFmtId="173" fontId="43" fillId="4" borderId="15" xfId="0" applyNumberFormat="1" applyFont="1" applyFill="1" applyBorder="1" applyAlignment="1">
      <alignment horizontal="center" vertical="center" wrapText="1"/>
    </xf>
    <xf numFmtId="0" fontId="95" fillId="0" borderId="7" xfId="0" applyFont="1" applyBorder="1" applyAlignment="1">
      <alignment horizontal="center" vertical="center"/>
    </xf>
    <xf numFmtId="0" fontId="95" fillId="0" borderId="6" xfId="0" applyFont="1" applyBorder="1" applyAlignment="1">
      <alignment horizontal="center" vertical="center"/>
    </xf>
    <xf numFmtId="0" fontId="95" fillId="0" borderId="8" xfId="0" applyFont="1" applyBorder="1" applyAlignment="1">
      <alignment horizontal="center" vertical="center"/>
    </xf>
    <xf numFmtId="10" fontId="43" fillId="4" borderId="0" xfId="0" applyNumberFormat="1" applyFont="1" applyFill="1" applyAlignment="1">
      <alignment horizontal="center" vertical="center"/>
    </xf>
    <xf numFmtId="10" fontId="43" fillId="4" borderId="15" xfId="0" applyNumberFormat="1" applyFont="1" applyFill="1" applyBorder="1" applyAlignment="1">
      <alignment horizontal="center" vertical="center"/>
    </xf>
    <xf numFmtId="0" fontId="69" fillId="2" borderId="9" xfId="197" applyFont="1" applyFill="1" applyBorder="1" applyAlignment="1">
      <alignment horizontal="center" vertical="center" wrapText="1"/>
    </xf>
    <xf numFmtId="0" fontId="69" fillId="2" borderId="14" xfId="197" applyFont="1" applyFill="1" applyBorder="1" applyAlignment="1">
      <alignment horizontal="center" vertical="center" wrapText="1"/>
    </xf>
    <xf numFmtId="0" fontId="20" fillId="0" borderId="10" xfId="89" applyFont="1" applyBorder="1" applyAlignment="1" applyProtection="1">
      <alignment horizontal="center" vertical="center"/>
      <protection locked="0"/>
    </xf>
    <xf numFmtId="0" fontId="20" fillId="0" borderId="14" xfId="89" applyFont="1" applyBorder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0" fontId="33" fillId="0" borderId="7" xfId="0" applyFont="1" applyBorder="1" applyAlignment="1" applyProtection="1">
      <alignment horizontal="center" vertical="center"/>
      <protection locked="0"/>
    </xf>
    <xf numFmtId="0" fontId="33" fillId="0" borderId="6" xfId="0" applyFont="1" applyBorder="1" applyAlignment="1" applyProtection="1">
      <alignment horizontal="center" vertical="center"/>
      <protection locked="0"/>
    </xf>
    <xf numFmtId="0" fontId="34" fillId="0" borderId="7" xfId="0" applyFont="1" applyBorder="1" applyAlignment="1" applyProtection="1">
      <alignment horizontal="left" vertical="center"/>
      <protection locked="0"/>
    </xf>
    <xf numFmtId="0" fontId="34" fillId="0" borderId="6" xfId="0" applyFont="1" applyBorder="1" applyAlignment="1" applyProtection="1">
      <alignment horizontal="left" vertical="center"/>
      <protection locked="0"/>
    </xf>
    <xf numFmtId="0" fontId="43" fillId="3" borderId="7" xfId="0" applyFont="1" applyFill="1" applyBorder="1" applyAlignment="1">
      <alignment horizontal="center" vertical="center" wrapText="1"/>
    </xf>
    <xf numFmtId="0" fontId="43" fillId="3" borderId="8" xfId="0" applyFont="1" applyFill="1" applyBorder="1" applyAlignment="1">
      <alignment horizontal="center" vertical="center" wrapText="1"/>
    </xf>
    <xf numFmtId="0" fontId="43" fillId="3" borderId="6" xfId="0" applyFont="1" applyFill="1" applyBorder="1" applyAlignment="1">
      <alignment horizontal="center" vertical="center" wrapText="1"/>
    </xf>
    <xf numFmtId="0" fontId="106" fillId="4" borderId="0" xfId="0" applyFont="1" applyFill="1" applyAlignment="1" applyProtection="1">
      <alignment horizontal="center" vertical="center" wrapText="1"/>
      <protection locked="0"/>
    </xf>
    <xf numFmtId="0" fontId="106" fillId="4" borderId="15" xfId="0" applyFont="1" applyFill="1" applyBorder="1" applyAlignment="1" applyProtection="1">
      <alignment horizontal="center" vertical="center" wrapText="1"/>
      <protection locked="0"/>
    </xf>
    <xf numFmtId="0" fontId="44" fillId="0" borderId="1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2" fontId="44" fillId="0" borderId="0" xfId="0" applyNumberFormat="1" applyFont="1" applyAlignment="1" applyProtection="1">
      <alignment horizontal="center" vertical="center" wrapText="1"/>
      <protection locked="0"/>
    </xf>
    <xf numFmtId="2" fontId="44" fillId="0" borderId="15" xfId="0" applyNumberFormat="1" applyFont="1" applyBorder="1" applyAlignment="1" applyProtection="1">
      <alignment horizontal="center" vertical="center" wrapText="1"/>
      <protection locked="0"/>
    </xf>
    <xf numFmtId="0" fontId="111" fillId="3" borderId="16" xfId="150" applyFont="1" applyFill="1" applyBorder="1" applyAlignment="1">
      <alignment horizontal="center" vertical="center"/>
    </xf>
    <xf numFmtId="1" fontId="43" fillId="4" borderId="0" xfId="0" applyNumberFormat="1" applyFont="1" applyFill="1" applyAlignment="1">
      <alignment horizontal="center" vertical="center" wrapText="1"/>
    </xf>
    <xf numFmtId="1" fontId="43" fillId="4" borderId="15" xfId="0" applyNumberFormat="1" applyFont="1" applyFill="1" applyBorder="1" applyAlignment="1">
      <alignment horizontal="center" vertical="center" wrapText="1"/>
    </xf>
    <xf numFmtId="0" fontId="82" fillId="4" borderId="59" xfId="0" applyFont="1" applyFill="1" applyBorder="1" applyAlignment="1">
      <alignment horizontal="left" vertical="center"/>
    </xf>
    <xf numFmtId="0" fontId="82" fillId="4" borderId="19" xfId="0" applyFont="1" applyFill="1" applyBorder="1" applyAlignment="1">
      <alignment horizontal="left" vertical="center"/>
    </xf>
    <xf numFmtId="0" fontId="44" fillId="4" borderId="19" xfId="0" applyFont="1" applyFill="1" applyBorder="1" applyAlignment="1">
      <alignment horizontal="center" vertical="center"/>
    </xf>
    <xf numFmtId="170" fontId="43" fillId="4" borderId="19" xfId="0" applyNumberFormat="1" applyFont="1" applyFill="1" applyBorder="1" applyAlignment="1">
      <alignment horizontal="center" vertical="center" wrapText="1"/>
    </xf>
    <xf numFmtId="170" fontId="43" fillId="4" borderId="20" xfId="0" applyNumberFormat="1" applyFont="1" applyFill="1" applyBorder="1" applyAlignment="1">
      <alignment horizontal="center" vertical="center" wrapText="1"/>
    </xf>
    <xf numFmtId="0" fontId="43" fillId="3" borderId="7" xfId="205" applyFont="1" applyFill="1" applyBorder="1" applyAlignment="1">
      <alignment horizontal="center" vertical="center" wrapText="1"/>
    </xf>
    <xf numFmtId="0" fontId="43" fillId="3" borderId="8" xfId="205" applyFont="1" applyFill="1" applyBorder="1" applyAlignment="1">
      <alignment horizontal="center" vertical="center" wrapText="1"/>
    </xf>
    <xf numFmtId="0" fontId="43" fillId="3" borderId="6" xfId="205" applyFont="1" applyFill="1" applyBorder="1" applyAlignment="1">
      <alignment horizontal="center" vertical="center" wrapText="1"/>
    </xf>
    <xf numFmtId="0" fontId="44" fillId="0" borderId="33" xfId="0" applyFont="1" applyBorder="1" applyAlignment="1">
      <alignment horizontal="left" vertical="center"/>
    </xf>
    <xf numFmtId="0" fontId="44" fillId="0" borderId="10" xfId="0" applyFont="1" applyBorder="1" applyAlignment="1">
      <alignment horizontal="left" vertical="center"/>
    </xf>
    <xf numFmtId="0" fontId="106" fillId="0" borderId="10" xfId="0" applyFont="1" applyBorder="1" applyAlignment="1" applyProtection="1">
      <alignment horizontal="center" vertical="center"/>
      <protection locked="0"/>
    </xf>
    <xf numFmtId="0" fontId="106" fillId="0" borderId="14" xfId="0" applyFont="1" applyBorder="1" applyAlignment="1" applyProtection="1">
      <alignment horizontal="center" vertical="center"/>
      <protection locked="0"/>
    </xf>
    <xf numFmtId="0" fontId="44" fillId="0" borderId="9" xfId="0" applyFont="1" applyBorder="1" applyAlignment="1">
      <alignment horizontal="left" vertical="center"/>
    </xf>
    <xf numFmtId="0" fontId="44" fillId="0" borderId="14" xfId="0" applyFont="1" applyBorder="1" applyAlignment="1">
      <alignment horizontal="left" vertical="center"/>
    </xf>
    <xf numFmtId="0" fontId="0" fillId="0" borderId="0" xfId="0" applyAlignment="1" applyProtection="1">
      <alignment horizontal="center" vertical="center" wrapText="1"/>
      <protection locked="0"/>
    </xf>
    <xf numFmtId="0" fontId="20" fillId="0" borderId="9" xfId="0" applyFont="1" applyBorder="1" applyAlignment="1" applyProtection="1">
      <alignment horizontal="center" vertical="top"/>
      <protection locked="0"/>
    </xf>
    <xf numFmtId="0" fontId="20" fillId="0" borderId="10" xfId="0" applyFont="1" applyBorder="1" applyAlignment="1" applyProtection="1">
      <alignment horizontal="center" vertical="top"/>
      <protection locked="0"/>
    </xf>
    <xf numFmtId="0" fontId="95" fillId="0" borderId="127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173" fontId="118" fillId="16" borderId="11" xfId="0" applyNumberFormat="1" applyFont="1" applyFill="1" applyBorder="1" applyAlignment="1" applyProtection="1">
      <alignment horizontal="center" vertical="center"/>
      <protection locked="0"/>
    </xf>
    <xf numFmtId="173" fontId="118" fillId="16" borderId="0" xfId="0" applyNumberFormat="1" applyFont="1" applyFill="1" applyAlignment="1" applyProtection="1">
      <alignment horizontal="center" vertical="center"/>
      <protection locked="0"/>
    </xf>
    <xf numFmtId="173" fontId="118" fillId="16" borderId="15" xfId="0" applyNumberFormat="1" applyFont="1" applyFill="1" applyBorder="1" applyAlignment="1" applyProtection="1">
      <alignment horizontal="center" vertical="center"/>
      <protection locked="0"/>
    </xf>
    <xf numFmtId="173" fontId="43" fillId="16" borderId="12" xfId="0" applyNumberFormat="1" applyFont="1" applyFill="1" applyBorder="1" applyAlignment="1">
      <alignment horizontal="center" vertical="center"/>
    </xf>
    <xf numFmtId="173" fontId="43" fillId="16" borderId="5" xfId="0" applyNumberFormat="1" applyFont="1" applyFill="1" applyBorder="1" applyAlignment="1">
      <alignment horizontal="center" vertical="center"/>
    </xf>
    <xf numFmtId="173" fontId="43" fillId="16" borderId="13" xfId="0" applyNumberFormat="1" applyFont="1" applyFill="1" applyBorder="1" applyAlignment="1">
      <alignment horizontal="center" vertical="center"/>
    </xf>
    <xf numFmtId="170" fontId="44" fillId="0" borderId="18" xfId="0" applyNumberFormat="1" applyFont="1" applyBorder="1" applyAlignment="1">
      <alignment horizontal="left" vertical="center" wrapText="1"/>
    </xf>
    <xf numFmtId="170" fontId="44" fillId="0" borderId="0" xfId="0" applyNumberFormat="1" applyFont="1" applyAlignment="1">
      <alignment horizontal="left" vertical="center" wrapText="1"/>
    </xf>
    <xf numFmtId="0" fontId="106" fillId="4" borderId="0" xfId="0" applyFont="1" applyFill="1" applyAlignment="1">
      <alignment horizontal="center" vertical="center" wrapText="1"/>
    </xf>
    <xf numFmtId="0" fontId="106" fillId="4" borderId="15" xfId="0" applyFont="1" applyFill="1" applyBorder="1" applyAlignment="1">
      <alignment horizontal="center" vertical="center" wrapText="1"/>
    </xf>
    <xf numFmtId="1" fontId="44" fillId="0" borderId="30" xfId="0" applyNumberFormat="1" applyFont="1" applyBorder="1" applyAlignment="1">
      <alignment horizontal="left" vertical="center" wrapText="1"/>
    </xf>
    <xf numFmtId="1" fontId="44" fillId="0" borderId="5" xfId="0" applyNumberFormat="1" applyFont="1" applyBorder="1" applyAlignment="1">
      <alignment horizontal="left" vertical="center" wrapText="1"/>
    </xf>
    <xf numFmtId="173" fontId="43" fillId="0" borderId="5" xfId="0" applyNumberFormat="1" applyFont="1" applyBorder="1" applyAlignment="1">
      <alignment horizontal="center" vertical="center"/>
    </xf>
    <xf numFmtId="173" fontId="43" fillId="0" borderId="13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 wrapText="1"/>
    </xf>
    <xf numFmtId="190" fontId="0" fillId="0" borderId="0" xfId="0" applyNumberFormat="1" applyAlignment="1" applyProtection="1">
      <alignment horizontal="center" vertical="center" wrapText="1"/>
      <protection locked="0"/>
    </xf>
    <xf numFmtId="1" fontId="82" fillId="0" borderId="18" xfId="0" applyNumberFormat="1" applyFont="1" applyBorder="1" applyAlignment="1">
      <alignment horizontal="left" vertical="center" wrapText="1"/>
    </xf>
    <xf numFmtId="1" fontId="82" fillId="0" borderId="0" xfId="0" applyNumberFormat="1" applyFont="1" applyAlignment="1">
      <alignment horizontal="left" vertical="center" wrapText="1"/>
    </xf>
    <xf numFmtId="0" fontId="44" fillId="0" borderId="15" xfId="0" applyFont="1" applyBorder="1" applyAlignment="1">
      <alignment horizontal="left" vertical="center"/>
    </xf>
    <xf numFmtId="0" fontId="55" fillId="5" borderId="0" xfId="75" applyNumberFormat="1" applyFont="1" applyFill="1" applyAlignment="1">
      <alignment horizontal="center" vertical="top" wrapText="1"/>
    </xf>
    <xf numFmtId="0" fontId="96" fillId="14" borderId="2" xfId="0" applyFont="1" applyFill="1" applyBorder="1" applyAlignment="1">
      <alignment horizontal="center" vertical="center"/>
    </xf>
    <xf numFmtId="0" fontId="128" fillId="0" borderId="114" xfId="0" applyFont="1" applyBorder="1" applyAlignment="1">
      <alignment horizontal="center" vertical="center"/>
    </xf>
    <xf numFmtId="0" fontId="128" fillId="0" borderId="122" xfId="0" applyFont="1" applyBorder="1" applyAlignment="1">
      <alignment horizontal="center" vertical="center"/>
    </xf>
    <xf numFmtId="0" fontId="0" fillId="0" borderId="0" xfId="89" applyFont="1" applyAlignment="1" applyProtection="1">
      <alignment horizontal="right"/>
      <protection locked="0"/>
    </xf>
    <xf numFmtId="0" fontId="34" fillId="0" borderId="3" xfId="0" applyFont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  <protection locked="0"/>
    </xf>
    <xf numFmtId="0" fontId="65" fillId="2" borderId="11" xfId="197" applyFont="1" applyFill="1" applyBorder="1" applyAlignment="1">
      <alignment horizontal="center" vertical="center" wrapText="1"/>
    </xf>
    <xf numFmtId="0" fontId="65" fillId="2" borderId="15" xfId="197" applyFont="1" applyFill="1" applyBorder="1" applyAlignment="1">
      <alignment horizontal="center" vertical="center" wrapText="1"/>
    </xf>
    <xf numFmtId="0" fontId="102" fillId="2" borderId="11" xfId="197" applyFont="1" applyFill="1" applyBorder="1" applyAlignment="1">
      <alignment vertical="center" wrapText="1"/>
    </xf>
    <xf numFmtId="0" fontId="102" fillId="2" borderId="15" xfId="197" applyFont="1" applyFill="1" applyBorder="1" applyAlignment="1">
      <alignment vertical="center" wrapText="1"/>
    </xf>
    <xf numFmtId="0" fontId="34" fillId="0" borderId="11" xfId="0" applyFont="1" applyBorder="1" applyAlignment="1" applyProtection="1">
      <alignment horizontal="center" vertical="justify" wrapText="1"/>
      <protection locked="0"/>
    </xf>
    <xf numFmtId="0" fontId="34" fillId="0" borderId="15" xfId="0" applyFont="1" applyBorder="1" applyAlignment="1" applyProtection="1">
      <alignment horizontal="center" vertical="justify" wrapText="1"/>
      <protection locked="0"/>
    </xf>
    <xf numFmtId="0" fontId="39" fillId="0" borderId="11" xfId="0" applyFont="1" applyBorder="1" applyProtection="1">
      <protection locked="0"/>
    </xf>
    <xf numFmtId="0" fontId="39" fillId="0" borderId="15" xfId="0" applyFont="1" applyBorder="1" applyProtection="1">
      <protection locked="0"/>
    </xf>
    <xf numFmtId="0" fontId="104" fillId="0" borderId="134" xfId="0" applyFont="1" applyBorder="1" applyAlignment="1" applyProtection="1">
      <alignment wrapText="1"/>
      <protection locked="0"/>
    </xf>
    <xf numFmtId="0" fontId="104" fillId="0" borderId="139" xfId="0" applyFont="1" applyBorder="1" applyAlignment="1" applyProtection="1">
      <alignment wrapText="1"/>
      <protection locked="0"/>
    </xf>
    <xf numFmtId="0" fontId="44" fillId="0" borderId="5" xfId="82" applyFont="1" applyBorder="1" applyAlignment="1" applyProtection="1">
      <alignment horizontal="center" vertical="center" wrapText="1"/>
      <protection locked="0"/>
    </xf>
    <xf numFmtId="0" fontId="44" fillId="0" borderId="13" xfId="82" applyFont="1" applyBorder="1" applyAlignment="1" applyProtection="1">
      <alignment horizontal="center" vertical="center" wrapText="1"/>
      <protection locked="0"/>
    </xf>
    <xf numFmtId="0" fontId="95" fillId="0" borderId="2" xfId="0" applyFont="1" applyBorder="1" applyAlignment="1" applyProtection="1">
      <alignment horizontal="center" vertical="center"/>
      <protection locked="0"/>
    </xf>
    <xf numFmtId="170" fontId="82" fillId="0" borderId="18" xfId="0" applyNumberFormat="1" applyFont="1" applyBorder="1" applyAlignment="1">
      <alignment horizontal="left" vertical="center" wrapText="1"/>
    </xf>
    <xf numFmtId="170" fontId="82" fillId="0" borderId="0" xfId="0" applyNumberFormat="1" applyFont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top"/>
      <protection locked="0"/>
    </xf>
    <xf numFmtId="0" fontId="109" fillId="4" borderId="0" xfId="0" applyFont="1" applyFill="1" applyAlignment="1" applyProtection="1">
      <alignment horizontal="center" vertical="center"/>
      <protection locked="0"/>
    </xf>
    <xf numFmtId="173" fontId="44" fillId="4" borderId="0" xfId="0" applyNumberFormat="1" applyFont="1" applyFill="1" applyAlignment="1">
      <alignment horizontal="center" vertical="center" wrapText="1"/>
    </xf>
    <xf numFmtId="173" fontId="44" fillId="4" borderId="15" xfId="0" applyNumberFormat="1" applyFont="1" applyFill="1" applyBorder="1" applyAlignment="1">
      <alignment horizontal="center" vertical="center" wrapText="1"/>
    </xf>
    <xf numFmtId="170" fontId="44" fillId="4" borderId="19" xfId="0" applyNumberFormat="1" applyFont="1" applyFill="1" applyBorder="1" applyAlignment="1">
      <alignment horizontal="center" vertical="center" wrapText="1"/>
    </xf>
    <xf numFmtId="170" fontId="44" fillId="4" borderId="20" xfId="0" applyNumberFormat="1" applyFont="1" applyFill="1" applyBorder="1" applyAlignment="1">
      <alignment horizontal="center" vertical="center" wrapText="1"/>
    </xf>
    <xf numFmtId="0" fontId="43" fillId="3" borderId="7" xfId="197" applyFont="1" applyFill="1" applyBorder="1" applyAlignment="1">
      <alignment horizontal="center" vertical="center" wrapText="1"/>
    </xf>
    <xf numFmtId="0" fontId="43" fillId="3" borderId="8" xfId="197" applyFont="1" applyFill="1" applyBorder="1" applyAlignment="1">
      <alignment horizontal="center" vertical="center" wrapText="1"/>
    </xf>
    <xf numFmtId="0" fontId="43" fillId="3" borderId="6" xfId="197" applyFont="1" applyFill="1" applyBorder="1" applyAlignment="1">
      <alignment horizontal="center" vertical="center" wrapText="1"/>
    </xf>
    <xf numFmtId="0" fontId="91" fillId="0" borderId="172" xfId="0" applyFont="1" applyBorder="1" applyAlignment="1">
      <alignment horizontal="center" vertical="center"/>
    </xf>
    <xf numFmtId="0" fontId="91" fillId="0" borderId="6" xfId="0" applyFont="1" applyBorder="1" applyAlignment="1">
      <alignment horizontal="center" vertical="center"/>
    </xf>
    <xf numFmtId="0" fontId="91" fillId="0" borderId="7" xfId="0" applyFont="1" applyBorder="1" applyAlignment="1">
      <alignment horizontal="center" vertical="center"/>
    </xf>
    <xf numFmtId="0" fontId="96" fillId="14" borderId="117" xfId="0" applyFont="1" applyFill="1" applyBorder="1" applyAlignment="1">
      <alignment horizontal="center" vertical="center"/>
    </xf>
    <xf numFmtId="0" fontId="96" fillId="14" borderId="118" xfId="0" applyFont="1" applyFill="1" applyBorder="1" applyAlignment="1">
      <alignment horizontal="center" vertical="center"/>
    </xf>
    <xf numFmtId="0" fontId="91" fillId="0" borderId="127" xfId="0" applyFont="1" applyBorder="1" applyAlignment="1">
      <alignment horizontal="center" vertical="center"/>
    </xf>
    <xf numFmtId="0" fontId="95" fillId="0" borderId="121" xfId="0" applyFont="1" applyBorder="1" applyAlignment="1">
      <alignment horizontal="center"/>
    </xf>
    <xf numFmtId="0" fontId="95" fillId="0" borderId="114" xfId="0" applyFont="1" applyBorder="1" applyAlignment="1">
      <alignment horizontal="center"/>
    </xf>
    <xf numFmtId="0" fontId="95" fillId="0" borderId="122" xfId="0" applyFont="1" applyBorder="1" applyAlignment="1">
      <alignment horizontal="center"/>
    </xf>
    <xf numFmtId="0" fontId="44" fillId="14" borderId="0" xfId="0" applyFont="1" applyFill="1" applyAlignment="1">
      <alignment horizontal="center" vertical="center"/>
    </xf>
    <xf numFmtId="0" fontId="44" fillId="14" borderId="15" xfId="0" applyFont="1" applyFill="1" applyBorder="1" applyAlignment="1">
      <alignment horizontal="center" vertical="center"/>
    </xf>
    <xf numFmtId="173" fontId="43" fillId="4" borderId="0" xfId="0" applyNumberFormat="1" applyFont="1" applyFill="1" applyAlignment="1" applyProtection="1">
      <alignment horizontal="center" vertical="center" wrapText="1"/>
      <protection locked="0"/>
    </xf>
    <xf numFmtId="173" fontId="43" fillId="4" borderId="15" xfId="0" applyNumberFormat="1" applyFont="1" applyFill="1" applyBorder="1" applyAlignment="1" applyProtection="1">
      <alignment horizontal="center" vertical="center" wrapText="1"/>
      <protection locked="0"/>
    </xf>
    <xf numFmtId="1" fontId="44" fillId="4" borderId="0" xfId="0" applyNumberFormat="1" applyFont="1" applyFill="1" applyAlignment="1">
      <alignment horizontal="center" vertical="center" wrapText="1"/>
    </xf>
    <xf numFmtId="1" fontId="44" fillId="4" borderId="15" xfId="0" applyNumberFormat="1" applyFont="1" applyFill="1" applyBorder="1" applyAlignment="1">
      <alignment horizontal="center" vertical="center" wrapText="1"/>
    </xf>
    <xf numFmtId="0" fontId="105" fillId="0" borderId="9" xfId="149" applyFont="1" applyBorder="1" applyAlignment="1">
      <alignment horizontal="left" vertical="center" wrapText="1"/>
    </xf>
    <xf numFmtId="0" fontId="105" fillId="0" borderId="10" xfId="149" applyFont="1" applyBorder="1" applyAlignment="1">
      <alignment horizontal="left" vertical="center" wrapText="1"/>
    </xf>
    <xf numFmtId="0" fontId="105" fillId="0" borderId="14" xfId="149" applyFont="1" applyBorder="1" applyAlignment="1">
      <alignment horizontal="left" vertical="center" wrapText="1"/>
    </xf>
    <xf numFmtId="0" fontId="78" fillId="0" borderId="101" xfId="0" applyFont="1" applyBorder="1" applyAlignment="1">
      <alignment horizontal="center"/>
    </xf>
    <xf numFmtId="0" fontId="119" fillId="0" borderId="2" xfId="149" applyFont="1" applyBorder="1" applyAlignment="1">
      <alignment horizontal="left" vertical="center" wrapText="1"/>
    </xf>
    <xf numFmtId="0" fontId="0" fillId="0" borderId="0" xfId="89" applyFont="1" applyAlignment="1" applyProtection="1">
      <alignment horizontal="left" vertical="center"/>
      <protection locked="0"/>
    </xf>
    <xf numFmtId="0" fontId="44" fillId="0" borderId="0" xfId="0" applyFont="1" applyAlignment="1">
      <alignment vertical="center"/>
    </xf>
    <xf numFmtId="0" fontId="69" fillId="0" borderId="22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94" fillId="2" borderId="0" xfId="204" applyFont="1" applyFill="1" applyAlignment="1">
      <alignment horizontal="center" vertical="center" wrapText="1"/>
    </xf>
    <xf numFmtId="10" fontId="83" fillId="4" borderId="0" xfId="0" applyNumberFormat="1" applyFont="1" applyFill="1" applyAlignment="1">
      <alignment horizontal="center" vertical="center"/>
    </xf>
    <xf numFmtId="10" fontId="83" fillId="4" borderId="15" xfId="0" applyNumberFormat="1" applyFont="1" applyFill="1" applyBorder="1" applyAlignment="1">
      <alignment horizontal="center" vertical="center"/>
    </xf>
    <xf numFmtId="0" fontId="19" fillId="0" borderId="0" xfId="89" applyProtection="1">
      <protection locked="0"/>
    </xf>
    <xf numFmtId="0" fontId="19" fillId="0" borderId="15" xfId="89" applyBorder="1" applyProtection="1">
      <protection locked="0"/>
    </xf>
    <xf numFmtId="0" fontId="43" fillId="3" borderId="11" xfId="198" applyFont="1" applyFill="1" applyBorder="1" applyAlignment="1">
      <alignment horizontal="center" vertical="center" wrapText="1"/>
    </xf>
    <xf numFmtId="0" fontId="43" fillId="3" borderId="0" xfId="198" applyFont="1" applyFill="1" applyAlignment="1">
      <alignment horizontal="center" vertical="center" wrapText="1"/>
    </xf>
    <xf numFmtId="0" fontId="43" fillId="3" borderId="15" xfId="198" applyFont="1" applyFill="1" applyBorder="1" applyAlignment="1">
      <alignment horizontal="center" vertical="center" wrapText="1"/>
    </xf>
    <xf numFmtId="0" fontId="44" fillId="4" borderId="10" xfId="204" applyFont="1" applyFill="1" applyBorder="1" applyAlignment="1">
      <alignment vertical="center" wrapText="1"/>
    </xf>
    <xf numFmtId="0" fontId="43" fillId="4" borderId="10" xfId="204" applyFont="1" applyFill="1" applyBorder="1" applyAlignment="1">
      <alignment horizontal="center" vertical="center" wrapText="1"/>
    </xf>
    <xf numFmtId="0" fontId="82" fillId="4" borderId="0" xfId="204" applyFont="1" applyFill="1" applyAlignment="1">
      <alignment vertical="center" wrapText="1"/>
    </xf>
    <xf numFmtId="0" fontId="82" fillId="0" borderId="0" xfId="0" applyFont="1" applyAlignment="1">
      <alignment horizontal="center" vertical="center"/>
    </xf>
    <xf numFmtId="0" fontId="110" fillId="0" borderId="5" xfId="89" applyFont="1" applyBorder="1" applyProtection="1">
      <protection locked="0"/>
    </xf>
    <xf numFmtId="0" fontId="110" fillId="0" borderId="13" xfId="89" applyFont="1" applyBorder="1" applyProtection="1">
      <protection locked="0"/>
    </xf>
    <xf numFmtId="0" fontId="95" fillId="0" borderId="9" xfId="0" applyFont="1" applyBorder="1" applyAlignment="1">
      <alignment horizontal="center" vertical="center"/>
    </xf>
    <xf numFmtId="0" fontId="95" fillId="0" borderId="10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82" fillId="4" borderId="0" xfId="0" applyFont="1" applyFill="1" applyAlignment="1">
      <alignment vertical="center"/>
    </xf>
    <xf numFmtId="173" fontId="82" fillId="4" borderId="0" xfId="0" applyNumberFormat="1" applyFont="1" applyFill="1" applyAlignment="1">
      <alignment horizontal="center" vertical="center" wrapText="1"/>
    </xf>
    <xf numFmtId="173" fontId="82" fillId="4" borderId="15" xfId="0" applyNumberFormat="1" applyFont="1" applyFill="1" applyBorder="1" applyAlignment="1">
      <alignment horizontal="center" vertical="center" wrapText="1"/>
    </xf>
    <xf numFmtId="0" fontId="82" fillId="0" borderId="0" xfId="0" applyFont="1" applyAlignment="1">
      <alignment vertical="center"/>
    </xf>
    <xf numFmtId="10" fontId="95" fillId="0" borderId="7" xfId="0" applyNumberFormat="1" applyFont="1" applyBorder="1" applyAlignment="1" applyProtection="1">
      <alignment horizontal="center" vertical="center"/>
      <protection locked="0"/>
    </xf>
    <xf numFmtId="10" fontId="95" fillId="0" borderId="6" xfId="0" applyNumberFormat="1" applyFont="1" applyBorder="1" applyAlignment="1" applyProtection="1">
      <alignment horizontal="center" vertical="center"/>
      <protection locked="0"/>
    </xf>
    <xf numFmtId="1" fontId="82" fillId="18" borderId="0" xfId="0" applyNumberFormat="1" applyFont="1" applyFill="1" applyAlignment="1">
      <alignment horizontal="center" vertical="center"/>
    </xf>
    <xf numFmtId="1" fontId="82" fillId="18" borderId="15" xfId="0" applyNumberFormat="1" applyFont="1" applyFill="1" applyBorder="1" applyAlignment="1">
      <alignment horizontal="center" vertical="center"/>
    </xf>
    <xf numFmtId="1" fontId="82" fillId="0" borderId="0" xfId="0" applyNumberFormat="1" applyFont="1" applyAlignment="1">
      <alignment horizontal="center" vertical="center" wrapText="1"/>
    </xf>
    <xf numFmtId="1" fontId="82" fillId="0" borderId="15" xfId="0" applyNumberFormat="1" applyFont="1" applyBorder="1" applyAlignment="1">
      <alignment horizontal="center" vertical="center" wrapText="1"/>
    </xf>
    <xf numFmtId="0" fontId="91" fillId="0" borderId="22" xfId="0" applyFont="1" applyBorder="1" applyAlignment="1" applyProtection="1">
      <alignment horizontal="center" vertical="center"/>
      <protection locked="0"/>
    </xf>
    <xf numFmtId="0" fontId="91" fillId="0" borderId="116" xfId="0" applyFont="1" applyBorder="1" applyAlignment="1" applyProtection="1">
      <alignment horizontal="center" vertical="center"/>
      <protection locked="0"/>
    </xf>
    <xf numFmtId="0" fontId="82" fillId="18" borderId="15" xfId="0" applyFont="1" applyFill="1" applyBorder="1" applyAlignment="1">
      <alignment horizontal="center" vertical="center"/>
    </xf>
    <xf numFmtId="0" fontId="44" fillId="0" borderId="0" xfId="0" applyFont="1" applyAlignment="1">
      <alignment vertical="center" wrapText="1"/>
    </xf>
    <xf numFmtId="10" fontId="44" fillId="0" borderId="0" xfId="0" applyNumberFormat="1" applyFont="1" applyAlignment="1">
      <alignment vertical="center"/>
    </xf>
    <xf numFmtId="170" fontId="44" fillId="18" borderId="0" xfId="0" applyNumberFormat="1" applyFont="1" applyFill="1" applyAlignment="1">
      <alignment horizontal="center" vertical="center"/>
    </xf>
    <xf numFmtId="170" fontId="44" fillId="18" borderId="15" xfId="0" applyNumberFormat="1" applyFont="1" applyFill="1" applyBorder="1" applyAlignment="1">
      <alignment horizontal="center" vertical="center"/>
    </xf>
    <xf numFmtId="170" fontId="82" fillId="18" borderId="0" xfId="0" applyNumberFormat="1" applyFont="1" applyFill="1" applyAlignment="1">
      <alignment horizontal="center" vertical="center"/>
    </xf>
    <xf numFmtId="170" fontId="82" fillId="18" borderId="15" xfId="0" applyNumberFormat="1" applyFont="1" applyFill="1" applyBorder="1" applyAlignment="1">
      <alignment horizontal="center" vertical="center"/>
    </xf>
    <xf numFmtId="10" fontId="44" fillId="0" borderId="5" xfId="0" applyNumberFormat="1" applyFont="1" applyBorder="1" applyAlignment="1">
      <alignment vertical="center"/>
    </xf>
    <xf numFmtId="0" fontId="43" fillId="0" borderId="5" xfId="0" applyFont="1" applyBorder="1" applyAlignment="1">
      <alignment horizontal="center" vertical="center"/>
    </xf>
    <xf numFmtId="170" fontId="44" fillId="18" borderId="5" xfId="0" applyNumberFormat="1" applyFont="1" applyFill="1" applyBorder="1" applyAlignment="1">
      <alignment horizontal="center" vertical="center"/>
    </xf>
    <xf numFmtId="170" fontId="44" fillId="18" borderId="13" xfId="0" applyNumberFormat="1" applyFont="1" applyFill="1" applyBorder="1" applyAlignment="1">
      <alignment horizontal="center" vertical="center"/>
    </xf>
    <xf numFmtId="0" fontId="82" fillId="4" borderId="11" xfId="0" applyFont="1" applyFill="1" applyBorder="1" applyAlignment="1">
      <alignment horizontal="center" vertical="center" wrapText="1"/>
    </xf>
    <xf numFmtId="0" fontId="82" fillId="4" borderId="0" xfId="0" applyFont="1" applyFill="1" applyAlignment="1">
      <alignment horizontal="center" vertical="center" wrapText="1"/>
    </xf>
    <xf numFmtId="0" fontId="82" fillId="4" borderId="15" xfId="0" applyFont="1" applyFill="1" applyBorder="1" applyAlignment="1">
      <alignment horizontal="center" vertical="center" wrapText="1"/>
    </xf>
    <xf numFmtId="0" fontId="116" fillId="4" borderId="0" xfId="0" applyFont="1" applyFill="1" applyAlignment="1">
      <alignment horizontal="left" vertical="center" wrapText="1"/>
    </xf>
    <xf numFmtId="173" fontId="82" fillId="4" borderId="0" xfId="0" applyNumberFormat="1" applyFont="1" applyFill="1" applyAlignment="1">
      <alignment horizontal="center" vertical="center"/>
    </xf>
    <xf numFmtId="1" fontId="116" fillId="4" borderId="0" xfId="0" applyNumberFormat="1" applyFont="1" applyFill="1" applyAlignment="1">
      <alignment horizontal="left" vertical="center"/>
    </xf>
    <xf numFmtId="173" fontId="44" fillId="4" borderId="0" xfId="0" applyNumberFormat="1" applyFont="1" applyFill="1" applyAlignment="1">
      <alignment horizontal="center" vertical="center"/>
    </xf>
    <xf numFmtId="173" fontId="44" fillId="4" borderId="15" xfId="0" applyNumberFormat="1" applyFont="1" applyFill="1" applyBorder="1" applyAlignment="1">
      <alignment horizontal="center" vertical="center"/>
    </xf>
    <xf numFmtId="0" fontId="83" fillId="6" borderId="119" xfId="75" applyNumberFormat="1" applyFont="1" applyFill="1" applyBorder="1" applyAlignment="1">
      <alignment horizontal="center" vertical="center"/>
    </xf>
    <xf numFmtId="0" fontId="83" fillId="6" borderId="100" xfId="75" applyNumberFormat="1" applyFont="1" applyFill="1" applyBorder="1" applyAlignment="1">
      <alignment horizontal="center" vertical="center"/>
    </xf>
    <xf numFmtId="0" fontId="83" fillId="6" borderId="120" xfId="75" applyNumberFormat="1" applyFont="1" applyFill="1" applyBorder="1" applyAlignment="1">
      <alignment horizontal="center" vertical="center"/>
    </xf>
    <xf numFmtId="0" fontId="89" fillId="0" borderId="0" xfId="149" applyFont="1" applyAlignment="1" applyProtection="1">
      <alignment horizontal="left" vertical="top" wrapText="1"/>
      <protection locked="0"/>
    </xf>
    <xf numFmtId="0" fontId="83" fillId="0" borderId="23" xfId="75" applyNumberFormat="1" applyFont="1" applyBorder="1" applyAlignment="1">
      <alignment horizontal="center"/>
    </xf>
    <xf numFmtId="0" fontId="83" fillId="0" borderId="0" xfId="75" applyNumberFormat="1" applyFont="1" applyAlignment="1">
      <alignment horizontal="center"/>
    </xf>
    <xf numFmtId="0" fontId="96" fillId="0" borderId="10" xfId="149" applyFont="1" applyBorder="1" applyAlignment="1">
      <alignment horizontal="left" vertical="top" wrapText="1"/>
    </xf>
    <xf numFmtId="0" fontId="82" fillId="0" borderId="10" xfId="149" applyFont="1" applyBorder="1" applyAlignment="1" applyProtection="1">
      <alignment horizontal="center" vertical="top" wrapText="1"/>
      <protection locked="0"/>
    </xf>
    <xf numFmtId="0" fontId="96" fillId="0" borderId="24" xfId="75" applyNumberFormat="1" applyFont="1" applyBorder="1" applyAlignment="1">
      <alignment horizontal="center"/>
    </xf>
    <xf numFmtId="0" fontId="96" fillId="0" borderId="16" xfId="75" applyNumberFormat="1" applyFont="1" applyBorder="1" applyAlignment="1">
      <alignment horizontal="center"/>
    </xf>
    <xf numFmtId="0" fontId="83" fillId="0" borderId="0" xfId="149" applyFont="1" applyAlignment="1">
      <alignment horizontal="center" vertical="top" wrapText="1"/>
    </xf>
    <xf numFmtId="0" fontId="83" fillId="0" borderId="16" xfId="149" applyFont="1" applyBorder="1" applyAlignment="1">
      <alignment horizontal="center" vertical="top" wrapText="1"/>
    </xf>
    <xf numFmtId="173" fontId="82" fillId="0" borderId="0" xfId="0" applyNumberFormat="1" applyFont="1" applyAlignment="1">
      <alignment horizontal="center" vertical="center"/>
    </xf>
    <xf numFmtId="12" fontId="116" fillId="4" borderId="0" xfId="0" applyNumberFormat="1" applyFont="1" applyFill="1" applyAlignment="1">
      <alignment horizontal="left" vertical="center"/>
    </xf>
    <xf numFmtId="190" fontId="89" fillId="0" borderId="0" xfId="149" applyNumberFormat="1" applyFont="1" applyAlignment="1" applyProtection="1">
      <alignment horizontal="center" vertical="center" wrapText="1"/>
      <protection locked="0"/>
    </xf>
    <xf numFmtId="0" fontId="111" fillId="3" borderId="100" xfId="0" applyFont="1" applyFill="1" applyBorder="1" applyAlignment="1">
      <alignment horizontal="center" vertical="center"/>
    </xf>
    <xf numFmtId="0" fontId="49" fillId="0" borderId="0" xfId="151" applyFont="1" applyAlignment="1">
      <alignment horizontal="center" vertical="center" wrapText="1"/>
    </xf>
    <xf numFmtId="0" fontId="61" fillId="0" borderId="0" xfId="0" applyFont="1" applyAlignment="1">
      <alignment horizontal="center" vertical="center"/>
    </xf>
    <xf numFmtId="0" fontId="89" fillId="14" borderId="0" xfId="0" applyFont="1" applyFill="1" applyAlignment="1">
      <alignment horizontal="center" vertical="center" wrapText="1"/>
    </xf>
    <xf numFmtId="170" fontId="51" fillId="0" borderId="0" xfId="0" applyNumberFormat="1" applyFont="1" applyAlignment="1">
      <alignment horizontal="center" vertical="center"/>
    </xf>
    <xf numFmtId="0" fontId="91" fillId="0" borderId="0" xfId="0" applyFont="1" applyAlignment="1">
      <alignment horizontal="center" vertical="center" wrapText="1"/>
    </xf>
    <xf numFmtId="0" fontId="89" fillId="14" borderId="0" xfId="0" applyFont="1" applyFill="1" applyAlignment="1">
      <alignment horizontal="center" vertical="center"/>
    </xf>
    <xf numFmtId="170" fontId="68" fillId="0" borderId="0" xfId="0" applyNumberFormat="1" applyFont="1" applyAlignment="1">
      <alignment horizontal="center" vertical="center"/>
    </xf>
    <xf numFmtId="0" fontId="43" fillId="2" borderId="148" xfId="193" applyFont="1" applyFill="1" applyBorder="1" applyAlignment="1">
      <alignment horizontal="left" vertical="center"/>
    </xf>
    <xf numFmtId="0" fontId="43" fillId="2" borderId="149" xfId="193" applyFont="1" applyFill="1" applyBorder="1" applyAlignment="1">
      <alignment horizontal="left" vertical="center"/>
    </xf>
    <xf numFmtId="0" fontId="43" fillId="2" borderId="150" xfId="193" applyFont="1" applyFill="1" applyBorder="1" applyAlignment="1">
      <alignment horizontal="left" vertical="center"/>
    </xf>
    <xf numFmtId="1" fontId="43" fillId="2" borderId="151" xfId="193" applyNumberFormat="1" applyFont="1" applyFill="1" applyBorder="1" applyAlignment="1" applyProtection="1">
      <alignment horizontal="center" vertical="center"/>
      <protection locked="0"/>
    </xf>
    <xf numFmtId="1" fontId="43" fillId="2" borderId="152" xfId="193" applyNumberFormat="1" applyFont="1" applyFill="1" applyBorder="1" applyAlignment="1" applyProtection="1">
      <alignment horizontal="center" vertical="center"/>
      <protection locked="0"/>
    </xf>
    <xf numFmtId="1" fontId="43" fillId="2" borderId="153" xfId="193" applyNumberFormat="1" applyFont="1" applyFill="1" applyBorder="1" applyAlignment="1" applyProtection="1">
      <alignment horizontal="center" vertical="center"/>
      <protection locked="0"/>
    </xf>
    <xf numFmtId="1" fontId="43" fillId="2" borderId="154" xfId="193" applyNumberFormat="1" applyFont="1" applyFill="1" applyBorder="1" applyAlignment="1" applyProtection="1">
      <alignment horizontal="center" vertical="center"/>
      <protection locked="0"/>
    </xf>
    <xf numFmtId="1" fontId="43" fillId="2" borderId="155" xfId="193" applyNumberFormat="1" applyFont="1" applyFill="1" applyBorder="1" applyAlignment="1" applyProtection="1">
      <alignment horizontal="center" vertical="center"/>
      <protection locked="0"/>
    </xf>
    <xf numFmtId="0" fontId="19" fillId="4" borderId="9" xfId="78" applyFill="1" applyBorder="1" applyAlignment="1">
      <alignment horizontal="center"/>
    </xf>
    <xf numFmtId="0" fontId="19" fillId="4" borderId="10" xfId="78" applyFill="1" applyBorder="1" applyAlignment="1">
      <alignment horizontal="center"/>
    </xf>
    <xf numFmtId="0" fontId="19" fillId="4" borderId="14" xfId="78" applyFill="1" applyBorder="1" applyAlignment="1">
      <alignment horizontal="center"/>
    </xf>
    <xf numFmtId="0" fontId="19" fillId="4" borderId="11" xfId="78" applyFill="1" applyBorder="1" applyAlignment="1">
      <alignment horizontal="center"/>
    </xf>
    <xf numFmtId="0" fontId="19" fillId="4" borderId="0" xfId="78" applyFill="1" applyAlignment="1">
      <alignment horizontal="center"/>
    </xf>
    <xf numFmtId="0" fontId="19" fillId="4" borderId="15" xfId="78" applyFill="1" applyBorder="1" applyAlignment="1">
      <alignment horizontal="center"/>
    </xf>
    <xf numFmtId="0" fontId="20" fillId="4" borderId="9" xfId="78" applyFont="1" applyFill="1" applyBorder="1" applyAlignment="1">
      <alignment horizontal="center" vertical="center" wrapText="1"/>
    </xf>
    <xf numFmtId="0" fontId="20" fillId="4" borderId="10" xfId="78" applyFont="1" applyFill="1" applyBorder="1" applyAlignment="1">
      <alignment horizontal="center" vertical="center" wrapText="1"/>
    </xf>
    <xf numFmtId="0" fontId="20" fillId="4" borderId="14" xfId="78" applyFont="1" applyFill="1" applyBorder="1" applyAlignment="1">
      <alignment horizontal="center" vertical="center" wrapText="1"/>
    </xf>
    <xf numFmtId="0" fontId="20" fillId="4" borderId="11" xfId="78" applyFont="1" applyFill="1" applyBorder="1" applyAlignment="1">
      <alignment horizontal="center" vertical="center" wrapText="1"/>
    </xf>
    <xf numFmtId="0" fontId="20" fillId="4" borderId="0" xfId="78" applyFont="1" applyFill="1" applyAlignment="1">
      <alignment horizontal="center" vertical="center" wrapText="1"/>
    </xf>
    <xf numFmtId="0" fontId="20" fillId="4" borderId="15" xfId="78" applyFont="1" applyFill="1" applyBorder="1" applyAlignment="1">
      <alignment horizontal="center" vertical="center" wrapText="1"/>
    </xf>
    <xf numFmtId="0" fontId="20" fillId="4" borderId="12" xfId="78" applyFont="1" applyFill="1" applyBorder="1" applyAlignment="1">
      <alignment horizontal="center" vertical="center" wrapText="1"/>
    </xf>
    <xf numFmtId="0" fontId="20" fillId="4" borderId="5" xfId="78" applyFont="1" applyFill="1" applyBorder="1" applyAlignment="1">
      <alignment horizontal="center" vertical="center" wrapText="1"/>
    </xf>
    <xf numFmtId="0" fontId="20" fillId="4" borderId="13" xfId="78" applyFont="1" applyFill="1" applyBorder="1" applyAlignment="1">
      <alignment horizontal="center" vertical="center" wrapText="1"/>
    </xf>
    <xf numFmtId="0" fontId="105" fillId="4" borderId="9" xfId="89" applyFont="1" applyFill="1" applyBorder="1" applyAlignment="1">
      <alignment horizontal="left" vertical="center" wrapText="1"/>
    </xf>
    <xf numFmtId="0" fontId="105" fillId="4" borderId="10" xfId="89" applyFont="1" applyFill="1" applyBorder="1" applyAlignment="1">
      <alignment horizontal="left" vertical="center" wrapText="1"/>
    </xf>
    <xf numFmtId="0" fontId="105" fillId="4" borderId="14" xfId="89" applyFont="1" applyFill="1" applyBorder="1" applyAlignment="1">
      <alignment horizontal="left" vertical="center" wrapText="1"/>
    </xf>
    <xf numFmtId="0" fontId="105" fillId="4" borderId="9" xfId="89" applyFont="1" applyFill="1" applyBorder="1" applyAlignment="1">
      <alignment horizontal="left" vertical="center"/>
    </xf>
    <xf numFmtId="0" fontId="105" fillId="4" borderId="10" xfId="89" applyFont="1" applyFill="1" applyBorder="1" applyAlignment="1">
      <alignment horizontal="left" vertical="center"/>
    </xf>
    <xf numFmtId="0" fontId="105" fillId="4" borderId="14" xfId="89" applyFont="1" applyFill="1" applyBorder="1" applyAlignment="1">
      <alignment horizontal="left" vertical="center"/>
    </xf>
    <xf numFmtId="1" fontId="31" fillId="0" borderId="8" xfId="193" applyNumberFormat="1" applyFont="1" applyBorder="1" applyAlignment="1" applyProtection="1">
      <alignment horizontal="center" vertical="center"/>
      <protection locked="0"/>
    </xf>
    <xf numFmtId="1" fontId="31" fillId="0" borderId="6" xfId="193" applyNumberFormat="1" applyFont="1" applyBorder="1" applyAlignment="1" applyProtection="1">
      <alignment horizontal="center" vertical="center"/>
      <protection locked="0"/>
    </xf>
    <xf numFmtId="1" fontId="31" fillId="0" borderId="7" xfId="193" applyNumberFormat="1" applyFont="1" applyBorder="1" applyAlignment="1" applyProtection="1">
      <alignment horizontal="center" vertical="center"/>
      <protection locked="0"/>
    </xf>
    <xf numFmtId="170" fontId="106" fillId="0" borderId="80" xfId="193" applyNumberFormat="1" applyFont="1" applyBorder="1" applyAlignment="1">
      <alignment horizontal="center"/>
    </xf>
    <xf numFmtId="170" fontId="106" fillId="0" borderId="81" xfId="193" applyNumberFormat="1" applyFont="1" applyBorder="1" applyAlignment="1">
      <alignment horizontal="center"/>
    </xf>
    <xf numFmtId="170" fontId="106" fillId="0" borderId="88" xfId="193" applyNumberFormat="1" applyFont="1" applyBorder="1" applyAlignment="1">
      <alignment horizontal="center"/>
    </xf>
    <xf numFmtId="170" fontId="106" fillId="0" borderId="86" xfId="193" applyNumberFormat="1" applyFont="1" applyBorder="1" applyAlignment="1">
      <alignment horizontal="center"/>
    </xf>
    <xf numFmtId="170" fontId="106" fillId="0" borderId="84" xfId="193" applyNumberFormat="1" applyFont="1" applyBorder="1" applyAlignment="1">
      <alignment horizontal="center"/>
    </xf>
    <xf numFmtId="170" fontId="106" fillId="0" borderId="87" xfId="193" applyNumberFormat="1" applyFont="1" applyBorder="1" applyAlignment="1">
      <alignment horizontal="center"/>
    </xf>
    <xf numFmtId="0" fontId="19" fillId="0" borderId="8" xfId="193" applyBorder="1" applyAlignment="1">
      <alignment horizontal="center" vertical="center"/>
    </xf>
    <xf numFmtId="0" fontId="19" fillId="0" borderId="6" xfId="193" applyBorder="1" applyAlignment="1">
      <alignment horizontal="center" vertical="center"/>
    </xf>
    <xf numFmtId="170" fontId="106" fillId="0" borderId="83" xfId="193" applyNumberFormat="1" applyFont="1" applyBorder="1" applyAlignment="1" applyProtection="1">
      <alignment horizontal="center"/>
      <protection locked="0"/>
    </xf>
    <xf numFmtId="170" fontId="106" fillId="0" borderId="84" xfId="193" applyNumberFormat="1" applyFont="1" applyBorder="1" applyAlignment="1" applyProtection="1">
      <alignment horizontal="center"/>
      <protection locked="0"/>
    </xf>
    <xf numFmtId="170" fontId="106" fillId="0" borderId="85" xfId="193" applyNumberFormat="1" applyFont="1" applyBorder="1" applyAlignment="1" applyProtection="1">
      <alignment horizontal="center"/>
      <protection locked="0"/>
    </xf>
    <xf numFmtId="170" fontId="106" fillId="0" borderId="86" xfId="193" applyNumberFormat="1" applyFont="1" applyBorder="1" applyAlignment="1" applyProtection="1">
      <alignment horizontal="center"/>
      <protection locked="0"/>
    </xf>
    <xf numFmtId="170" fontId="106" fillId="0" borderId="87" xfId="193" applyNumberFormat="1" applyFont="1" applyBorder="1" applyAlignment="1" applyProtection="1">
      <alignment horizontal="center"/>
      <protection locked="0"/>
    </xf>
    <xf numFmtId="0" fontId="0" fillId="0" borderId="8" xfId="193" applyFont="1" applyBorder="1" applyAlignment="1">
      <alignment horizontal="center"/>
    </xf>
    <xf numFmtId="0" fontId="19" fillId="0" borderId="8" xfId="193" applyBorder="1" applyAlignment="1">
      <alignment horizontal="center"/>
    </xf>
    <xf numFmtId="0" fontId="19" fillId="0" borderId="6" xfId="193" applyBorder="1" applyAlignment="1">
      <alignment horizontal="center"/>
    </xf>
    <xf numFmtId="173" fontId="106" fillId="4" borderId="83" xfId="193" applyNumberFormat="1" applyFont="1" applyFill="1" applyBorder="1" applyAlignment="1">
      <alignment horizontal="center"/>
    </xf>
    <xf numFmtId="173" fontId="106" fillId="4" borderId="84" xfId="193" applyNumberFormat="1" applyFont="1" applyFill="1" applyBorder="1" applyAlignment="1">
      <alignment horizontal="center"/>
    </xf>
    <xf numFmtId="173" fontId="106" fillId="4" borderId="85" xfId="193" applyNumberFormat="1" applyFont="1" applyFill="1" applyBorder="1" applyAlignment="1">
      <alignment horizontal="center"/>
    </xf>
    <xf numFmtId="173" fontId="106" fillId="4" borderId="86" xfId="193" applyNumberFormat="1" applyFont="1" applyFill="1" applyBorder="1" applyAlignment="1">
      <alignment horizontal="center"/>
    </xf>
    <xf numFmtId="173" fontId="106" fillId="4" borderId="87" xfId="193" applyNumberFormat="1" applyFont="1" applyFill="1" applyBorder="1" applyAlignment="1">
      <alignment horizontal="center"/>
    </xf>
    <xf numFmtId="170" fontId="106" fillId="4" borderId="83" xfId="193" applyNumberFormat="1" applyFont="1" applyFill="1" applyBorder="1" applyAlignment="1">
      <alignment horizontal="center"/>
    </xf>
    <xf numFmtId="170" fontId="106" fillId="4" borderId="84" xfId="193" applyNumberFormat="1" applyFont="1" applyFill="1" applyBorder="1" applyAlignment="1">
      <alignment horizontal="center"/>
    </xf>
    <xf numFmtId="170" fontId="106" fillId="4" borderId="85" xfId="193" applyNumberFormat="1" applyFont="1" applyFill="1" applyBorder="1" applyAlignment="1">
      <alignment horizontal="center"/>
    </xf>
    <xf numFmtId="170" fontId="106" fillId="4" borderId="86" xfId="193" applyNumberFormat="1" applyFont="1" applyFill="1" applyBorder="1" applyAlignment="1">
      <alignment horizontal="center"/>
    </xf>
    <xf numFmtId="170" fontId="106" fillId="4" borderId="87" xfId="193" applyNumberFormat="1" applyFont="1" applyFill="1" applyBorder="1" applyAlignment="1">
      <alignment horizontal="center"/>
    </xf>
    <xf numFmtId="170" fontId="106" fillId="0" borderId="156" xfId="193" applyNumberFormat="1" applyFont="1" applyBorder="1" applyAlignment="1">
      <alignment horizontal="center"/>
    </xf>
    <xf numFmtId="170" fontId="106" fillId="0" borderId="157" xfId="193" applyNumberFormat="1" applyFont="1" applyBorder="1" applyAlignment="1">
      <alignment horizontal="center"/>
    </xf>
    <xf numFmtId="170" fontId="106" fillId="0" borderId="158" xfId="193" applyNumberFormat="1" applyFont="1" applyBorder="1" applyAlignment="1">
      <alignment horizontal="center"/>
    </xf>
    <xf numFmtId="170" fontId="106" fillId="0" borderId="159" xfId="193" applyNumberFormat="1" applyFont="1" applyBorder="1" applyAlignment="1">
      <alignment horizontal="center"/>
    </xf>
    <xf numFmtId="170" fontId="106" fillId="0" borderId="160" xfId="193" applyNumberFormat="1" applyFont="1" applyBorder="1" applyAlignment="1">
      <alignment horizontal="center"/>
    </xf>
    <xf numFmtId="170" fontId="106" fillId="0" borderId="83" xfId="107" applyNumberFormat="1" applyFont="1" applyFill="1" applyBorder="1" applyAlignment="1" applyProtection="1">
      <alignment horizontal="center"/>
    </xf>
    <xf numFmtId="170" fontId="106" fillId="0" borderId="84" xfId="107" applyNumberFormat="1" applyFont="1" applyFill="1" applyBorder="1" applyAlignment="1" applyProtection="1">
      <alignment horizontal="center"/>
    </xf>
    <xf numFmtId="170" fontId="106" fillId="0" borderId="85" xfId="107" applyNumberFormat="1" applyFont="1" applyFill="1" applyBorder="1" applyAlignment="1" applyProtection="1">
      <alignment horizontal="center"/>
    </xf>
    <xf numFmtId="170" fontId="106" fillId="0" borderId="173" xfId="107" applyNumberFormat="1" applyFont="1" applyFill="1" applyBorder="1" applyAlignment="1" applyProtection="1">
      <alignment horizontal="center"/>
    </xf>
    <xf numFmtId="170" fontId="106" fillId="0" borderId="174" xfId="107" applyNumberFormat="1" applyFont="1" applyFill="1" applyBorder="1" applyAlignment="1" applyProtection="1">
      <alignment horizontal="center"/>
    </xf>
    <xf numFmtId="170" fontId="106" fillId="0" borderId="144" xfId="107" applyNumberFormat="1" applyFont="1" applyFill="1" applyBorder="1" applyAlignment="1" applyProtection="1">
      <alignment horizontal="center"/>
    </xf>
    <xf numFmtId="0" fontId="0" fillId="0" borderId="7" xfId="193" applyFont="1" applyBorder="1" applyAlignment="1">
      <alignment horizontal="center"/>
    </xf>
    <xf numFmtId="0" fontId="0" fillId="0" borderId="6" xfId="193" applyFont="1" applyBorder="1" applyAlignment="1">
      <alignment horizontal="center"/>
    </xf>
    <xf numFmtId="0" fontId="44" fillId="4" borderId="11" xfId="193" applyFont="1" applyFill="1" applyBorder="1" applyAlignment="1">
      <alignment horizontal="left"/>
    </xf>
    <xf numFmtId="0" fontId="44" fillId="4" borderId="0" xfId="193" applyFont="1" applyFill="1" applyAlignment="1">
      <alignment horizontal="left"/>
    </xf>
    <xf numFmtId="170" fontId="82" fillId="4" borderId="18" xfId="193" applyNumberFormat="1" applyFont="1" applyFill="1" applyBorder="1" applyAlignment="1">
      <alignment horizontal="center"/>
    </xf>
    <xf numFmtId="170" fontId="82" fillId="4" borderId="0" xfId="193" applyNumberFormat="1" applyFont="1" applyFill="1" applyAlignment="1">
      <alignment horizontal="center"/>
    </xf>
    <xf numFmtId="170" fontId="82" fillId="4" borderId="26" xfId="193" applyNumberFormat="1" applyFont="1" applyFill="1" applyBorder="1" applyAlignment="1">
      <alignment horizontal="center"/>
    </xf>
    <xf numFmtId="170" fontId="82" fillId="4" borderId="15" xfId="193" applyNumberFormat="1" applyFont="1" applyFill="1" applyBorder="1" applyAlignment="1">
      <alignment horizontal="center"/>
    </xf>
    <xf numFmtId="0" fontId="44" fillId="4" borderId="9" xfId="193" applyFont="1" applyFill="1" applyBorder="1" applyAlignment="1">
      <alignment horizontal="left"/>
    </xf>
    <xf numFmtId="0" fontId="44" fillId="4" borderId="10" xfId="193" applyFont="1" applyFill="1" applyBorder="1" applyAlignment="1">
      <alignment horizontal="left"/>
    </xf>
    <xf numFmtId="173" fontId="82" fillId="4" borderId="33" xfId="193" applyNumberFormat="1" applyFont="1" applyFill="1" applyBorder="1" applyAlignment="1">
      <alignment horizontal="center"/>
    </xf>
    <xf numFmtId="173" fontId="82" fillId="4" borderId="10" xfId="193" applyNumberFormat="1" applyFont="1" applyFill="1" applyBorder="1" applyAlignment="1">
      <alignment horizontal="center"/>
    </xf>
    <xf numFmtId="173" fontId="82" fillId="4" borderId="109" xfId="193" applyNumberFormat="1" applyFont="1" applyFill="1" applyBorder="1" applyAlignment="1">
      <alignment horizontal="center"/>
    </xf>
    <xf numFmtId="173" fontId="82" fillId="4" borderId="14" xfId="193" applyNumberFormat="1" applyFont="1" applyFill="1" applyBorder="1" applyAlignment="1">
      <alignment horizontal="center"/>
    </xf>
    <xf numFmtId="173" fontId="82" fillId="4" borderId="18" xfId="193" applyNumberFormat="1" applyFont="1" applyFill="1" applyBorder="1" applyAlignment="1">
      <alignment horizontal="center"/>
    </xf>
    <xf numFmtId="173" fontId="82" fillId="4" borderId="0" xfId="193" applyNumberFormat="1" applyFont="1" applyFill="1" applyAlignment="1">
      <alignment horizontal="center"/>
    </xf>
    <xf numFmtId="173" fontId="82" fillId="4" borderId="26" xfId="193" applyNumberFormat="1" applyFont="1" applyFill="1" applyBorder="1" applyAlignment="1">
      <alignment horizontal="center"/>
    </xf>
    <xf numFmtId="173" fontId="82" fillId="4" borderId="15" xfId="193" applyNumberFormat="1" applyFont="1" applyFill="1" applyBorder="1" applyAlignment="1">
      <alignment horizontal="center"/>
    </xf>
    <xf numFmtId="1" fontId="21" fillId="3" borderId="75" xfId="193" applyNumberFormat="1" applyFont="1" applyFill="1" applyBorder="1" applyAlignment="1" applyProtection="1">
      <alignment horizontal="center"/>
      <protection locked="0"/>
    </xf>
    <xf numFmtId="1" fontId="21" fillId="3" borderId="76" xfId="193" applyNumberFormat="1" applyFont="1" applyFill="1" applyBorder="1" applyAlignment="1" applyProtection="1">
      <alignment horizontal="center"/>
      <protection locked="0"/>
    </xf>
    <xf numFmtId="1" fontId="21" fillId="3" borderId="77" xfId="193" applyNumberFormat="1" applyFont="1" applyFill="1" applyBorder="1" applyAlignment="1" applyProtection="1">
      <alignment horizontal="center"/>
      <protection locked="0"/>
    </xf>
    <xf numFmtId="1" fontId="21" fillId="3" borderId="75" xfId="193" applyNumberFormat="1" applyFont="1" applyFill="1" applyBorder="1" applyAlignment="1">
      <alignment horizontal="center"/>
    </xf>
    <xf numFmtId="1" fontId="21" fillId="3" borderId="76" xfId="193" applyNumberFormat="1" applyFont="1" applyFill="1" applyBorder="1" applyAlignment="1">
      <alignment horizontal="center"/>
    </xf>
    <xf numFmtId="1" fontId="21" fillId="3" borderId="79" xfId="193" applyNumberFormat="1" applyFont="1" applyFill="1" applyBorder="1" applyAlignment="1">
      <alignment horizontal="center"/>
    </xf>
    <xf numFmtId="0" fontId="43" fillId="2" borderId="9" xfId="193" applyFont="1" applyFill="1" applyBorder="1" applyAlignment="1">
      <alignment horizontal="center" vertical="center"/>
    </xf>
    <xf numFmtId="0" fontId="43" fillId="2" borderId="10" xfId="193" applyFont="1" applyFill="1" applyBorder="1" applyAlignment="1">
      <alignment horizontal="center" vertical="center"/>
    </xf>
    <xf numFmtId="1" fontId="43" fillId="2" borderId="10" xfId="193" applyNumberFormat="1" applyFont="1" applyFill="1" applyBorder="1" applyAlignment="1">
      <alignment horizontal="center" vertical="center"/>
    </xf>
    <xf numFmtId="1" fontId="43" fillId="2" borderId="14" xfId="193" applyNumberFormat="1" applyFont="1" applyFill="1" applyBorder="1" applyAlignment="1">
      <alignment horizontal="center" vertical="center"/>
    </xf>
    <xf numFmtId="0" fontId="43" fillId="2" borderId="11" xfId="193" applyFont="1" applyFill="1" applyBorder="1" applyAlignment="1">
      <alignment horizontal="left" vertical="center"/>
    </xf>
    <xf numFmtId="0" fontId="43" fillId="2" borderId="0" xfId="193" applyFont="1" applyFill="1" applyAlignment="1">
      <alignment horizontal="left" vertical="center"/>
    </xf>
    <xf numFmtId="0" fontId="43" fillId="2" borderId="0" xfId="193" applyFont="1" applyFill="1" applyAlignment="1">
      <alignment horizontal="center" vertical="center"/>
    </xf>
    <xf numFmtId="0" fontId="43" fillId="2" borderId="0" xfId="193" applyFont="1" applyFill="1" applyAlignment="1">
      <alignment horizontal="center" vertical="center" wrapText="1"/>
    </xf>
    <xf numFmtId="0" fontId="43" fillId="2" borderId="15" xfId="193" applyFont="1" applyFill="1" applyBorder="1" applyAlignment="1">
      <alignment horizontal="center" vertical="center" wrapText="1"/>
    </xf>
    <xf numFmtId="1" fontId="31" fillId="0" borderId="0" xfId="193" applyNumberFormat="1" applyFont="1" applyAlignment="1" applyProtection="1">
      <alignment horizontal="center" vertical="center"/>
      <protection locked="0"/>
    </xf>
    <xf numFmtId="0" fontId="44" fillId="14" borderId="75" xfId="202" applyFont="1" applyFill="1" applyBorder="1" applyAlignment="1">
      <alignment horizontal="center" vertical="center"/>
    </xf>
    <xf numFmtId="0" fontId="44" fillId="14" borderId="76" xfId="202" applyFont="1" applyFill="1" applyBorder="1" applyAlignment="1">
      <alignment horizontal="center" vertical="center"/>
    </xf>
    <xf numFmtId="0" fontId="44" fillId="14" borderId="79" xfId="202" applyFont="1" applyFill="1" applyBorder="1" applyAlignment="1">
      <alignment horizontal="center" vertical="center"/>
    </xf>
    <xf numFmtId="0" fontId="19" fillId="0" borderId="2" xfId="193" applyBorder="1" applyAlignment="1">
      <alignment horizontal="center"/>
    </xf>
    <xf numFmtId="0" fontId="0" fillId="0" borderId="2" xfId="193" applyFont="1" applyBorder="1" applyAlignment="1">
      <alignment horizontal="center"/>
    </xf>
    <xf numFmtId="170" fontId="106" fillId="0" borderId="83" xfId="193" applyNumberFormat="1" applyFont="1" applyBorder="1" applyAlignment="1">
      <alignment horizontal="center"/>
    </xf>
    <xf numFmtId="170" fontId="106" fillId="0" borderId="85" xfId="193" applyNumberFormat="1" applyFont="1" applyBorder="1" applyAlignment="1">
      <alignment horizontal="center"/>
    </xf>
    <xf numFmtId="0" fontId="43" fillId="2" borderId="14" xfId="193" applyFont="1" applyFill="1" applyBorder="1" applyAlignment="1">
      <alignment horizontal="center" vertical="center"/>
    </xf>
    <xf numFmtId="1" fontId="43" fillId="2" borderId="9" xfId="193" applyNumberFormat="1" applyFont="1" applyFill="1" applyBorder="1" applyAlignment="1">
      <alignment horizontal="center" vertical="center"/>
    </xf>
    <xf numFmtId="170" fontId="106" fillId="0" borderId="92" xfId="193" applyNumberFormat="1" applyFont="1" applyBorder="1" applyAlignment="1">
      <alignment horizontal="center"/>
    </xf>
    <xf numFmtId="170" fontId="106" fillId="0" borderId="93" xfId="193" applyNumberFormat="1" applyFont="1" applyBorder="1" applyAlignment="1">
      <alignment horizontal="center"/>
    </xf>
    <xf numFmtId="170" fontId="106" fillId="0" borderId="94" xfId="193" applyNumberFormat="1" applyFont="1" applyBorder="1" applyAlignment="1">
      <alignment horizontal="center"/>
    </xf>
    <xf numFmtId="170" fontId="106" fillId="0" borderId="96" xfId="193" applyNumberFormat="1" applyFont="1" applyBorder="1" applyAlignment="1">
      <alignment horizontal="center"/>
    </xf>
    <xf numFmtId="1" fontId="43" fillId="2" borderId="75" xfId="193" applyNumberFormat="1" applyFont="1" applyFill="1" applyBorder="1" applyAlignment="1">
      <alignment horizontal="center"/>
    </xf>
    <xf numFmtId="1" fontId="43" fillId="2" borderId="76" xfId="193" applyNumberFormat="1" applyFont="1" applyFill="1" applyBorder="1" applyAlignment="1">
      <alignment horizontal="center"/>
    </xf>
    <xf numFmtId="1" fontId="43" fillId="2" borderId="77" xfId="193" applyNumberFormat="1" applyFont="1" applyFill="1" applyBorder="1" applyAlignment="1">
      <alignment horizontal="center"/>
    </xf>
    <xf numFmtId="1" fontId="43" fillId="2" borderId="78" xfId="193" applyNumberFormat="1" applyFont="1" applyFill="1" applyBorder="1" applyAlignment="1" applyProtection="1">
      <alignment horizontal="center"/>
      <protection locked="0"/>
    </xf>
    <xf numFmtId="1" fontId="43" fillId="2" borderId="76" xfId="193" applyNumberFormat="1" applyFont="1" applyFill="1" applyBorder="1" applyAlignment="1" applyProtection="1">
      <alignment horizontal="center"/>
      <protection locked="0"/>
    </xf>
    <xf numFmtId="1" fontId="43" fillId="2" borderId="79" xfId="193" applyNumberFormat="1" applyFont="1" applyFill="1" applyBorder="1" applyAlignment="1" applyProtection="1">
      <alignment horizontal="center"/>
      <protection locked="0"/>
    </xf>
    <xf numFmtId="170" fontId="106" fillId="4" borderId="75" xfId="193" applyNumberFormat="1" applyFont="1" applyFill="1" applyBorder="1" applyAlignment="1">
      <alignment horizontal="center"/>
    </xf>
    <xf numFmtId="170" fontId="106" fillId="4" borderId="76" xfId="193" applyNumberFormat="1" applyFont="1" applyFill="1" applyBorder="1" applyAlignment="1">
      <alignment horizontal="center"/>
    </xf>
    <xf numFmtId="170" fontId="106" fillId="4" borderId="77" xfId="193" applyNumberFormat="1" applyFont="1" applyFill="1" applyBorder="1" applyAlignment="1">
      <alignment horizontal="center"/>
    </xf>
    <xf numFmtId="170" fontId="82" fillId="4" borderId="78" xfId="107" applyNumberFormat="1" applyFont="1" applyFill="1" applyBorder="1" applyAlignment="1" applyProtection="1">
      <alignment horizontal="center"/>
    </xf>
    <xf numFmtId="170" fontId="82" fillId="4" borderId="76" xfId="107" applyNumberFormat="1" applyFont="1" applyFill="1" applyBorder="1" applyAlignment="1" applyProtection="1">
      <alignment horizontal="center"/>
    </xf>
    <xf numFmtId="170" fontId="82" fillId="4" borderId="79" xfId="107" applyNumberFormat="1" applyFont="1" applyFill="1" applyBorder="1" applyAlignment="1" applyProtection="1">
      <alignment horizontal="center"/>
    </xf>
    <xf numFmtId="170" fontId="82" fillId="4" borderId="92" xfId="193" applyNumberFormat="1" applyFont="1" applyFill="1" applyBorder="1" applyAlignment="1">
      <alignment horizontal="center"/>
    </xf>
    <xf numFmtId="170" fontId="82" fillId="4" borderId="93" xfId="193" applyNumberFormat="1" applyFont="1" applyFill="1" applyBorder="1" applyAlignment="1">
      <alignment horizontal="center"/>
    </xf>
    <xf numFmtId="170" fontId="82" fillId="4" borderId="94" xfId="193" applyNumberFormat="1" applyFont="1" applyFill="1" applyBorder="1" applyAlignment="1">
      <alignment horizontal="center"/>
    </xf>
    <xf numFmtId="170" fontId="82" fillId="4" borderId="95" xfId="107" applyNumberFormat="1" applyFont="1" applyFill="1" applyBorder="1" applyAlignment="1" applyProtection="1">
      <alignment horizontal="center"/>
    </xf>
    <xf numFmtId="170" fontId="82" fillId="4" borderId="93" xfId="107" applyNumberFormat="1" applyFont="1" applyFill="1" applyBorder="1" applyAlignment="1" applyProtection="1">
      <alignment horizontal="center"/>
    </xf>
    <xf numFmtId="170" fontId="82" fillId="4" borderId="96" xfId="107" applyNumberFormat="1" applyFont="1" applyFill="1" applyBorder="1" applyAlignment="1" applyProtection="1">
      <alignment horizontal="center"/>
    </xf>
    <xf numFmtId="1" fontId="106" fillId="0" borderId="86" xfId="193" applyNumberFormat="1" applyFont="1" applyBorder="1" applyAlignment="1">
      <alignment horizontal="center"/>
    </xf>
    <xf numFmtId="1" fontId="106" fillId="0" borderId="84" xfId="193" applyNumberFormat="1" applyFont="1" applyBorder="1" applyAlignment="1">
      <alignment horizontal="center"/>
    </xf>
    <xf numFmtId="1" fontId="106" fillId="0" borderId="87" xfId="193" applyNumberFormat="1" applyFont="1" applyBorder="1" applyAlignment="1">
      <alignment horizontal="center"/>
    </xf>
    <xf numFmtId="1" fontId="106" fillId="4" borderId="86" xfId="193" applyNumberFormat="1" applyFont="1" applyFill="1" applyBorder="1" applyAlignment="1">
      <alignment horizontal="center"/>
    </xf>
    <xf numFmtId="1" fontId="106" fillId="4" borderId="84" xfId="193" applyNumberFormat="1" applyFont="1" applyFill="1" applyBorder="1" applyAlignment="1">
      <alignment horizontal="center"/>
    </xf>
    <xf numFmtId="1" fontId="106" fillId="4" borderId="87" xfId="193" applyNumberFormat="1" applyFont="1" applyFill="1" applyBorder="1" applyAlignment="1">
      <alignment horizontal="center"/>
    </xf>
    <xf numFmtId="2" fontId="106" fillId="4" borderId="86" xfId="193" applyNumberFormat="1" applyFont="1" applyFill="1" applyBorder="1" applyAlignment="1" applyProtection="1">
      <alignment horizontal="center"/>
      <protection locked="0"/>
    </xf>
    <xf numFmtId="2" fontId="106" fillId="4" borderId="84" xfId="193" applyNumberFormat="1" applyFont="1" applyFill="1" applyBorder="1" applyAlignment="1" applyProtection="1">
      <alignment horizontal="center"/>
      <protection locked="0"/>
    </xf>
    <xf numFmtId="2" fontId="106" fillId="4" borderId="87" xfId="193" applyNumberFormat="1" applyFont="1" applyFill="1" applyBorder="1" applyAlignment="1" applyProtection="1">
      <alignment horizontal="center"/>
      <protection locked="0"/>
    </xf>
    <xf numFmtId="0" fontId="49" fillId="0" borderId="17" xfId="149" applyFont="1" applyBorder="1" applyAlignment="1">
      <alignment horizontal="center" wrapText="1"/>
    </xf>
    <xf numFmtId="0" fontId="83" fillId="4" borderId="18" xfId="193" applyFont="1" applyFill="1" applyBorder="1" applyAlignment="1" applyProtection="1">
      <alignment horizontal="center"/>
      <protection locked="0"/>
    </xf>
    <xf numFmtId="0" fontId="83" fillId="4" borderId="0" xfId="193" applyFont="1" applyFill="1" applyAlignment="1" applyProtection="1">
      <alignment horizontal="center"/>
      <protection locked="0"/>
    </xf>
    <xf numFmtId="0" fontId="83" fillId="14" borderId="0" xfId="202" applyFont="1" applyFill="1" applyAlignment="1">
      <alignment horizontal="center" vertical="center"/>
    </xf>
    <xf numFmtId="0" fontId="83" fillId="14" borderId="15" xfId="202" applyFont="1" applyFill="1" applyBorder="1" applyAlignment="1">
      <alignment horizontal="center" vertical="center"/>
    </xf>
    <xf numFmtId="0" fontId="20" fillId="4" borderId="10" xfId="82" applyFont="1" applyFill="1" applyBorder="1" applyAlignment="1" applyProtection="1">
      <alignment horizontal="left" vertical="top" wrapText="1"/>
      <protection locked="0"/>
    </xf>
    <xf numFmtId="0" fontId="111" fillId="3" borderId="100" xfId="150" applyFont="1" applyFill="1" applyBorder="1" applyAlignment="1">
      <alignment horizontal="center" vertical="center"/>
    </xf>
    <xf numFmtId="170" fontId="82" fillId="4" borderId="12" xfId="107" applyNumberFormat="1" applyFont="1" applyFill="1" applyBorder="1" applyAlignment="1" applyProtection="1">
      <alignment horizontal="center"/>
    </xf>
    <xf numFmtId="170" fontId="82" fillId="4" borderId="5" xfId="107" applyNumberFormat="1" applyFont="1" applyFill="1" applyBorder="1" applyAlignment="1" applyProtection="1">
      <alignment horizontal="center"/>
    </xf>
    <xf numFmtId="170" fontId="82" fillId="4" borderId="29" xfId="107" applyNumberFormat="1" applyFont="1" applyFill="1" applyBorder="1" applyAlignment="1" applyProtection="1">
      <alignment horizontal="center"/>
    </xf>
    <xf numFmtId="170" fontId="82" fillId="4" borderId="145" xfId="107" applyNumberFormat="1" applyFont="1" applyFill="1" applyBorder="1" applyAlignment="1" applyProtection="1">
      <alignment horizontal="center"/>
    </xf>
    <xf numFmtId="170" fontId="82" fillId="4" borderId="146" xfId="107" applyNumberFormat="1" applyFont="1" applyFill="1" applyBorder="1" applyAlignment="1" applyProtection="1">
      <alignment horizontal="center"/>
    </xf>
    <xf numFmtId="170" fontId="82" fillId="4" borderId="147" xfId="107" applyNumberFormat="1" applyFont="1" applyFill="1" applyBorder="1" applyAlignment="1" applyProtection="1">
      <alignment horizontal="center"/>
    </xf>
    <xf numFmtId="0" fontId="43" fillId="4" borderId="11" xfId="193" applyFont="1" applyFill="1" applyBorder="1" applyAlignment="1">
      <alignment horizontal="left"/>
    </xf>
    <xf numFmtId="0" fontId="43" fillId="4" borderId="0" xfId="193" applyFont="1" applyFill="1" applyAlignment="1">
      <alignment horizontal="left"/>
    </xf>
    <xf numFmtId="170" fontId="83" fillId="4" borderId="141" xfId="107" applyNumberFormat="1" applyFont="1" applyFill="1" applyBorder="1" applyAlignment="1" applyProtection="1">
      <alignment horizontal="center"/>
    </xf>
    <xf numFmtId="170" fontId="83" fillId="4" borderId="142" xfId="107" applyNumberFormat="1" applyFont="1" applyFill="1" applyBorder="1" applyAlignment="1" applyProtection="1">
      <alignment horizontal="center"/>
    </xf>
    <xf numFmtId="170" fontId="83" fillId="4" borderId="143" xfId="107" applyNumberFormat="1" applyFont="1" applyFill="1" applyBorder="1" applyAlignment="1" applyProtection="1">
      <alignment horizontal="center"/>
    </xf>
    <xf numFmtId="0" fontId="43" fillId="4" borderId="73" xfId="193" applyFont="1" applyFill="1" applyBorder="1" applyAlignment="1">
      <alignment horizontal="right"/>
    </xf>
    <xf numFmtId="0" fontId="43" fillId="4" borderId="74" xfId="193" applyFont="1" applyFill="1" applyBorder="1" applyAlignment="1">
      <alignment horizontal="right"/>
    </xf>
    <xf numFmtId="170" fontId="83" fillId="4" borderId="11" xfId="107" applyNumberFormat="1" applyFont="1" applyFill="1" applyBorder="1" applyAlignment="1" applyProtection="1">
      <alignment horizontal="center"/>
    </xf>
    <xf numFmtId="170" fontId="83" fillId="4" borderId="0" xfId="107" applyNumberFormat="1" applyFont="1" applyFill="1" applyBorder="1" applyAlignment="1" applyProtection="1">
      <alignment horizontal="center"/>
    </xf>
    <xf numFmtId="170" fontId="83" fillId="4" borderId="15" xfId="107" applyNumberFormat="1" applyFont="1" applyFill="1" applyBorder="1" applyAlignment="1" applyProtection="1">
      <alignment horizontal="center"/>
    </xf>
    <xf numFmtId="0" fontId="19" fillId="4" borderId="10" xfId="82" applyFill="1" applyBorder="1" applyAlignment="1" applyProtection="1">
      <alignment horizontal="center" vertical="top" wrapText="1"/>
      <protection locked="0"/>
    </xf>
    <xf numFmtId="190" fontId="19" fillId="4" borderId="10" xfId="82" applyNumberFormat="1" applyFill="1" applyBorder="1" applyAlignment="1" applyProtection="1">
      <alignment horizontal="center" vertical="top" wrapText="1"/>
      <protection locked="0"/>
    </xf>
    <xf numFmtId="190" fontId="44" fillId="4" borderId="0" xfId="193" applyNumberFormat="1" applyFont="1" applyFill="1" applyAlignment="1" applyProtection="1">
      <alignment horizontal="center"/>
      <protection locked="0"/>
    </xf>
    <xf numFmtId="1" fontId="106" fillId="4" borderId="92" xfId="193" applyNumberFormat="1" applyFont="1" applyFill="1" applyBorder="1" applyAlignment="1">
      <alignment horizontal="center"/>
    </xf>
    <xf numFmtId="1" fontId="106" fillId="4" borderId="93" xfId="193" applyNumberFormat="1" applyFont="1" applyFill="1" applyBorder="1" applyAlignment="1">
      <alignment horizontal="center"/>
    </xf>
    <xf numFmtId="1" fontId="106" fillId="4" borderId="94" xfId="193" applyNumberFormat="1" applyFont="1" applyFill="1" applyBorder="1" applyAlignment="1">
      <alignment horizontal="center"/>
    </xf>
    <xf numFmtId="170" fontId="106" fillId="4" borderId="95" xfId="107" applyNumberFormat="1" applyFont="1" applyFill="1" applyBorder="1" applyAlignment="1" applyProtection="1">
      <alignment horizontal="center"/>
    </xf>
    <xf numFmtId="170" fontId="106" fillId="4" borderId="93" xfId="107" applyNumberFormat="1" applyFont="1" applyFill="1" applyBorder="1" applyAlignment="1" applyProtection="1">
      <alignment horizontal="center"/>
    </xf>
    <xf numFmtId="170" fontId="106" fillId="4" borderId="96" xfId="107" applyNumberFormat="1" applyFont="1" applyFill="1" applyBorder="1" applyAlignment="1" applyProtection="1">
      <alignment horizontal="center"/>
    </xf>
  </cellXfs>
  <cellStyles count="215">
    <cellStyle name="CIENTOS" xfId="1" xr:uid="{00000000-0005-0000-0000-000000000000}"/>
    <cellStyle name="CIENTOS 2D" xfId="2" xr:uid="{00000000-0005-0000-0000-000001000000}"/>
    <cellStyle name="CIENTOS 3D" xfId="3" xr:uid="{00000000-0005-0000-0000-000002000000}"/>
    <cellStyle name="CIENTOS 4D" xfId="4" xr:uid="{00000000-0005-0000-0000-000003000000}"/>
    <cellStyle name="CIENTOS_Acta 01 Sep15 a Oct 31_07 Rogelio" xfId="5" xr:uid="{00000000-0005-0000-0000-000004000000}"/>
    <cellStyle name="Comma" xfId="6" xr:uid="{00000000-0005-0000-0000-000005000000}"/>
    <cellStyle name="Comma0" xfId="7" xr:uid="{00000000-0005-0000-0000-000006000000}"/>
    <cellStyle name="Comma0 - Modelo5" xfId="8" xr:uid="{00000000-0005-0000-0000-000007000000}"/>
    <cellStyle name="Comma1 - Modelo1" xfId="9" xr:uid="{00000000-0005-0000-0000-000008000000}"/>
    <cellStyle name="Curren - Modelo2" xfId="10" xr:uid="{00000000-0005-0000-0000-000009000000}"/>
    <cellStyle name="Curren - Modelo6" xfId="11" xr:uid="{00000000-0005-0000-0000-00000A000000}"/>
    <cellStyle name="Currency" xfId="12" xr:uid="{00000000-0005-0000-0000-00000B000000}"/>
    <cellStyle name="Currency0" xfId="13" xr:uid="{00000000-0005-0000-0000-00000C000000}"/>
    <cellStyle name="Date" xfId="14" xr:uid="{00000000-0005-0000-0000-00000D000000}"/>
    <cellStyle name="Date - Modelo4" xfId="15" xr:uid="{00000000-0005-0000-0000-00000E000000}"/>
    <cellStyle name="Euro" xfId="16" xr:uid="{00000000-0005-0000-0000-00000F000000}"/>
    <cellStyle name="Euro 2" xfId="17" xr:uid="{00000000-0005-0000-0000-000010000000}"/>
    <cellStyle name="Euro 3" xfId="18" xr:uid="{00000000-0005-0000-0000-000011000000}"/>
    <cellStyle name="Euro 4" xfId="19" xr:uid="{00000000-0005-0000-0000-000012000000}"/>
    <cellStyle name="Euro 5" xfId="20" xr:uid="{00000000-0005-0000-0000-000013000000}"/>
    <cellStyle name="Euro_ACTAS DE OBRA CONTRATO" xfId="21" xr:uid="{00000000-0005-0000-0000-000014000000}"/>
    <cellStyle name="F2" xfId="22" xr:uid="{00000000-0005-0000-0000-000015000000}"/>
    <cellStyle name="F3" xfId="23" xr:uid="{00000000-0005-0000-0000-000016000000}"/>
    <cellStyle name="F4" xfId="24" xr:uid="{00000000-0005-0000-0000-000017000000}"/>
    <cellStyle name="F5" xfId="25" xr:uid="{00000000-0005-0000-0000-000018000000}"/>
    <cellStyle name="F6" xfId="26" xr:uid="{00000000-0005-0000-0000-000019000000}"/>
    <cellStyle name="F7" xfId="27" xr:uid="{00000000-0005-0000-0000-00001A000000}"/>
    <cellStyle name="F8" xfId="28" xr:uid="{00000000-0005-0000-0000-00001B000000}"/>
    <cellStyle name="Fixed" xfId="29" xr:uid="{00000000-0005-0000-0000-00001C000000}"/>
    <cellStyle name="Heading 1" xfId="30" xr:uid="{00000000-0005-0000-0000-00001D000000}"/>
    <cellStyle name="Heading 2" xfId="31" xr:uid="{00000000-0005-0000-0000-00001E000000}"/>
    <cellStyle name="Heading1" xfId="32" xr:uid="{00000000-0005-0000-0000-00001F000000}"/>
    <cellStyle name="Heading2" xfId="33" xr:uid="{00000000-0005-0000-0000-000020000000}"/>
    <cellStyle name="MILE DE MILLONES" xfId="34" xr:uid="{00000000-0005-0000-0000-000021000000}"/>
    <cellStyle name="MILES" xfId="35" xr:uid="{00000000-0005-0000-0000-000022000000}"/>
    <cellStyle name="Millares [0] 2" xfId="36" xr:uid="{00000000-0005-0000-0000-000023000000}"/>
    <cellStyle name="Millares [0] 2 2" xfId="37" xr:uid="{00000000-0005-0000-0000-000024000000}"/>
    <cellStyle name="Millares [0] 2 2 2" xfId="127" xr:uid="{00000000-0005-0000-0000-000025000000}"/>
    <cellStyle name="Millares [0] 2 2 2 2" xfId="170" xr:uid="{00000000-0005-0000-0000-000026000000}"/>
    <cellStyle name="Millares [0] 2 3" xfId="38" xr:uid="{00000000-0005-0000-0000-000027000000}"/>
    <cellStyle name="Millares [0] 2 3 2" xfId="128" xr:uid="{00000000-0005-0000-0000-000028000000}"/>
    <cellStyle name="Millares [0] 2 3 2 2" xfId="171" xr:uid="{00000000-0005-0000-0000-000029000000}"/>
    <cellStyle name="Millares [0] 2 4" xfId="39" xr:uid="{00000000-0005-0000-0000-00002A000000}"/>
    <cellStyle name="Millares [0] 2 4 2" xfId="129" xr:uid="{00000000-0005-0000-0000-00002B000000}"/>
    <cellStyle name="Millares [0] 2 4 2 2" xfId="172" xr:uid="{00000000-0005-0000-0000-00002C000000}"/>
    <cellStyle name="Millares [0] 2 5" xfId="40" xr:uid="{00000000-0005-0000-0000-00002D000000}"/>
    <cellStyle name="Millares [0] 2 5 2" xfId="130" xr:uid="{00000000-0005-0000-0000-00002E000000}"/>
    <cellStyle name="Millares [0] 2 5 2 2" xfId="173" xr:uid="{00000000-0005-0000-0000-00002F000000}"/>
    <cellStyle name="Millares [0] 2 6" xfId="126" xr:uid="{00000000-0005-0000-0000-000030000000}"/>
    <cellStyle name="Millares [0] 2 6 2" xfId="169" xr:uid="{00000000-0005-0000-0000-000031000000}"/>
    <cellStyle name="Millares 10" xfId="41" xr:uid="{00000000-0005-0000-0000-000032000000}"/>
    <cellStyle name="Millares 11" xfId="42" xr:uid="{00000000-0005-0000-0000-000033000000}"/>
    <cellStyle name="Millares 12" xfId="43" xr:uid="{00000000-0005-0000-0000-000034000000}"/>
    <cellStyle name="Millares 13" xfId="44" xr:uid="{00000000-0005-0000-0000-000035000000}"/>
    <cellStyle name="Millares 14" xfId="45" xr:uid="{00000000-0005-0000-0000-000036000000}"/>
    <cellStyle name="Millares 15" xfId="46" xr:uid="{00000000-0005-0000-0000-000037000000}"/>
    <cellStyle name="Millares 2" xfId="47" xr:uid="{00000000-0005-0000-0000-000038000000}"/>
    <cellStyle name="Millares 2 2" xfId="124" xr:uid="{00000000-0005-0000-0000-000039000000}"/>
    <cellStyle name="Millares 2 2 2" xfId="148" xr:uid="{00000000-0005-0000-0000-00003A000000}"/>
    <cellStyle name="Millares 2 2 2 2" xfId="191" xr:uid="{00000000-0005-0000-0000-00003B000000}"/>
    <cellStyle name="Millares 2 2 3" xfId="168" xr:uid="{00000000-0005-0000-0000-00003C000000}"/>
    <cellStyle name="Millares 3" xfId="48" xr:uid="{00000000-0005-0000-0000-00003D000000}"/>
    <cellStyle name="Millares 3 2" xfId="49" xr:uid="{00000000-0005-0000-0000-00003E000000}"/>
    <cellStyle name="Millares 3 2 2" xfId="131" xr:uid="{00000000-0005-0000-0000-00003F000000}"/>
    <cellStyle name="Millares 3 2 2 2" xfId="174" xr:uid="{00000000-0005-0000-0000-000040000000}"/>
    <cellStyle name="Millares 4" xfId="50" xr:uid="{00000000-0005-0000-0000-000041000000}"/>
    <cellStyle name="Millares 5" xfId="51" xr:uid="{00000000-0005-0000-0000-000042000000}"/>
    <cellStyle name="Millares 6" xfId="52" xr:uid="{00000000-0005-0000-0000-000043000000}"/>
    <cellStyle name="Millares 7" xfId="53" xr:uid="{00000000-0005-0000-0000-000044000000}"/>
    <cellStyle name="Millares 8" xfId="54" xr:uid="{00000000-0005-0000-0000-000045000000}"/>
    <cellStyle name="Millares 9" xfId="55" xr:uid="{00000000-0005-0000-0000-000046000000}"/>
    <cellStyle name="MILLONES" xfId="56" xr:uid="{00000000-0005-0000-0000-000047000000}"/>
    <cellStyle name="Moneda 10" xfId="57" xr:uid="{00000000-0005-0000-0000-000048000000}"/>
    <cellStyle name="Moneda 11" xfId="58" xr:uid="{00000000-0005-0000-0000-000049000000}"/>
    <cellStyle name="Moneda 12" xfId="59" xr:uid="{00000000-0005-0000-0000-00004A000000}"/>
    <cellStyle name="Moneda 13" xfId="60" xr:uid="{00000000-0005-0000-0000-00004B000000}"/>
    <cellStyle name="Moneda 2" xfId="61" xr:uid="{00000000-0005-0000-0000-00004C000000}"/>
    <cellStyle name="Moneda 3" xfId="62" xr:uid="{00000000-0005-0000-0000-00004D000000}"/>
    <cellStyle name="Moneda 4" xfId="63" xr:uid="{00000000-0005-0000-0000-00004E000000}"/>
    <cellStyle name="Moneda 5" xfId="64" xr:uid="{00000000-0005-0000-0000-00004F000000}"/>
    <cellStyle name="Moneda 6" xfId="65" xr:uid="{00000000-0005-0000-0000-000050000000}"/>
    <cellStyle name="Moneda 7" xfId="66" xr:uid="{00000000-0005-0000-0000-000051000000}"/>
    <cellStyle name="Moneda 8" xfId="67" xr:uid="{00000000-0005-0000-0000-000052000000}"/>
    <cellStyle name="Moneda 9" xfId="68" xr:uid="{00000000-0005-0000-0000-000053000000}"/>
    <cellStyle name="Monetario0" xfId="69" xr:uid="{00000000-0005-0000-0000-000054000000}"/>
    <cellStyle name="Nïrmal_PROINVER" xfId="70" xr:uid="{00000000-0005-0000-0000-000055000000}"/>
    <cellStyle name="No. punto" xfId="71" xr:uid="{00000000-0005-0000-0000-000056000000}"/>
    <cellStyle name="Normal" xfId="0" builtinId="0"/>
    <cellStyle name="Normal 10" xfId="72" xr:uid="{00000000-0005-0000-0000-000058000000}"/>
    <cellStyle name="Normal 10 2" xfId="132" xr:uid="{00000000-0005-0000-0000-000059000000}"/>
    <cellStyle name="Normal 10 2 2" xfId="175" xr:uid="{00000000-0005-0000-0000-00005A000000}"/>
    <cellStyle name="Normal 10 3" xfId="73" xr:uid="{00000000-0005-0000-0000-00005B000000}"/>
    <cellStyle name="Normal 10 4" xfId="152" xr:uid="{00000000-0005-0000-0000-00005C000000}"/>
    <cellStyle name="Normal 11" xfId="74" xr:uid="{00000000-0005-0000-0000-00005D000000}"/>
    <cellStyle name="Normal 12" xfId="122" xr:uid="{00000000-0005-0000-0000-00005E000000}"/>
    <cellStyle name="Normal 12 2" xfId="146" xr:uid="{00000000-0005-0000-0000-00005F000000}"/>
    <cellStyle name="Normal 12 2 2" xfId="189" xr:uid="{00000000-0005-0000-0000-000060000000}"/>
    <cellStyle name="Normal 12 3" xfId="166" xr:uid="{00000000-0005-0000-0000-000061000000}"/>
    <cellStyle name="Normal 13" xfId="75" xr:uid="{00000000-0005-0000-0000-000062000000}"/>
    <cellStyle name="Normal 15" xfId="192" xr:uid="{00000000-0005-0000-0000-000063000000}"/>
    <cellStyle name="Normal 15 2" xfId="194" xr:uid="{00000000-0005-0000-0000-000064000000}"/>
    <cellStyle name="Normal 15 2 2" xfId="196" xr:uid="{00000000-0005-0000-0000-000065000000}"/>
    <cellStyle name="Normal 15 2 3" xfId="199" xr:uid="{00000000-0005-0000-0000-000066000000}"/>
    <cellStyle name="Normal 15 2 3 2" xfId="200" xr:uid="{00000000-0005-0000-0000-000067000000}"/>
    <cellStyle name="Normal 15 2 3 3" xfId="202" xr:uid="{00000000-0005-0000-0000-000068000000}"/>
    <cellStyle name="Normal 15 2 3 3 2" xfId="213" xr:uid="{00000000-0005-0000-0000-000069000000}"/>
    <cellStyle name="Normal 2" xfId="76" xr:uid="{00000000-0005-0000-0000-00006A000000}"/>
    <cellStyle name="Normal 2 10 2" xfId="203" xr:uid="{00000000-0005-0000-0000-00006B000000}"/>
    <cellStyle name="Normal 2 2" xfId="77" xr:uid="{00000000-0005-0000-0000-00006C000000}"/>
    <cellStyle name="Normal 2 2 2" xfId="78" xr:uid="{00000000-0005-0000-0000-00006D000000}"/>
    <cellStyle name="Normal 2 2 3" xfId="79" xr:uid="{00000000-0005-0000-0000-00006E000000}"/>
    <cellStyle name="Normal 2 2 4" xfId="80" xr:uid="{00000000-0005-0000-0000-00006F000000}"/>
    <cellStyle name="Normal 2 2 5" xfId="133" xr:uid="{00000000-0005-0000-0000-000070000000}"/>
    <cellStyle name="Normal 2 2 5 2" xfId="176" xr:uid="{00000000-0005-0000-0000-000071000000}"/>
    <cellStyle name="Normal 2 2 6" xfId="153" xr:uid="{00000000-0005-0000-0000-000072000000}"/>
    <cellStyle name="Normal 2 3" xfId="81" xr:uid="{00000000-0005-0000-0000-000073000000}"/>
    <cellStyle name="Normal 2 3 3" xfId="150" xr:uid="{00000000-0005-0000-0000-000074000000}"/>
    <cellStyle name="Normal 2 4" xfId="82" xr:uid="{00000000-0005-0000-0000-000075000000}"/>
    <cellStyle name="Normal 2 5" xfId="83" xr:uid="{00000000-0005-0000-0000-000076000000}"/>
    <cellStyle name="Normal 2 6" xfId="84" xr:uid="{00000000-0005-0000-0000-000077000000}"/>
    <cellStyle name="Normal 2 7" xfId="85" xr:uid="{00000000-0005-0000-0000-000078000000}"/>
    <cellStyle name="Normal 2 8" xfId="86" xr:uid="{00000000-0005-0000-0000-000079000000}"/>
    <cellStyle name="Normal 2 8 2" xfId="134" xr:uid="{00000000-0005-0000-0000-00007A000000}"/>
    <cellStyle name="Normal 2 8 2 2" xfId="177" xr:uid="{00000000-0005-0000-0000-00007B000000}"/>
    <cellStyle name="Normal 2 8 3" xfId="154" xr:uid="{00000000-0005-0000-0000-00007C000000}"/>
    <cellStyle name="Normal 2 9" xfId="87" xr:uid="{00000000-0005-0000-0000-00007D000000}"/>
    <cellStyle name="Normal 2 9 2" xfId="135" xr:uid="{00000000-0005-0000-0000-00007E000000}"/>
    <cellStyle name="Normal 2 9 2 2" xfId="178" xr:uid="{00000000-0005-0000-0000-00007F000000}"/>
    <cellStyle name="Normal 2 9 3" xfId="155" xr:uid="{00000000-0005-0000-0000-000080000000}"/>
    <cellStyle name="Normal 3" xfId="88" xr:uid="{00000000-0005-0000-0000-000081000000}"/>
    <cellStyle name="Normal 3 2" xfId="89" xr:uid="{00000000-0005-0000-0000-000082000000}"/>
    <cellStyle name="Normal 3 3" xfId="123" xr:uid="{00000000-0005-0000-0000-000083000000}"/>
    <cellStyle name="Normal 3 3 2" xfId="147" xr:uid="{00000000-0005-0000-0000-000084000000}"/>
    <cellStyle name="Normal 3 3 2 2" xfId="190" xr:uid="{00000000-0005-0000-0000-000085000000}"/>
    <cellStyle name="Normal 3 3 3" xfId="167" xr:uid="{00000000-0005-0000-0000-000086000000}"/>
    <cellStyle name="Normal 4" xfId="90" xr:uid="{00000000-0005-0000-0000-000087000000}"/>
    <cellStyle name="Normal 4 2" xfId="136" xr:uid="{00000000-0005-0000-0000-000088000000}"/>
    <cellStyle name="Normal 4 2 2" xfId="179" xr:uid="{00000000-0005-0000-0000-000089000000}"/>
    <cellStyle name="Normal 4 3" xfId="156" xr:uid="{00000000-0005-0000-0000-00008A000000}"/>
    <cellStyle name="Normal 4 4" xfId="195" xr:uid="{00000000-0005-0000-0000-00008B000000}"/>
    <cellStyle name="Normal 4 4 2" xfId="197" xr:uid="{00000000-0005-0000-0000-00008C000000}"/>
    <cellStyle name="Normal 4 4 2 2" xfId="205" xr:uid="{00000000-0005-0000-0000-00008D000000}"/>
    <cellStyle name="Normal 4 4 2 3" xfId="209" xr:uid="{00000000-0005-0000-0000-00008E000000}"/>
    <cellStyle name="Normal 4 4 2 4" xfId="211" xr:uid="{00000000-0005-0000-0000-00008F000000}"/>
    <cellStyle name="Normal 4 4 3" xfId="198" xr:uid="{00000000-0005-0000-0000-000090000000}"/>
    <cellStyle name="Normal 4 4 3 2" xfId="204" xr:uid="{00000000-0005-0000-0000-000091000000}"/>
    <cellStyle name="Normal 4 4 3 3" xfId="210" xr:uid="{00000000-0005-0000-0000-000092000000}"/>
    <cellStyle name="Normal 4 4 3 4" xfId="212" xr:uid="{00000000-0005-0000-0000-000093000000}"/>
    <cellStyle name="Normal 4 4 4" xfId="206" xr:uid="{00000000-0005-0000-0000-000094000000}"/>
    <cellStyle name="Normal 4 4 5" xfId="208" xr:uid="{00000000-0005-0000-0000-000095000000}"/>
    <cellStyle name="Normal 4 4 6" xfId="214" xr:uid="{00000000-0005-0000-0000-000096000000}"/>
    <cellStyle name="Normal 4 5" xfId="201" xr:uid="{00000000-0005-0000-0000-000097000000}"/>
    <cellStyle name="Normal 4 6" xfId="207" xr:uid="{00000000-0005-0000-0000-000098000000}"/>
    <cellStyle name="Normal 5" xfId="91" xr:uid="{00000000-0005-0000-0000-000099000000}"/>
    <cellStyle name="Normal 5 2" xfId="92" xr:uid="{00000000-0005-0000-0000-00009A000000}"/>
    <cellStyle name="Normal 5 3" xfId="93" xr:uid="{00000000-0005-0000-0000-00009B000000}"/>
    <cellStyle name="Normal 5 4" xfId="94" xr:uid="{00000000-0005-0000-0000-00009C000000}"/>
    <cellStyle name="Normal 5 5" xfId="95" xr:uid="{00000000-0005-0000-0000-00009D000000}"/>
    <cellStyle name="Normal 5 6" xfId="149" xr:uid="{00000000-0005-0000-0000-00009E000000}"/>
    <cellStyle name="Normal 6" xfId="96" xr:uid="{00000000-0005-0000-0000-00009F000000}"/>
    <cellStyle name="Normal 6 2" xfId="97" xr:uid="{00000000-0005-0000-0000-0000A0000000}"/>
    <cellStyle name="Normal 6 2 2" xfId="137" xr:uid="{00000000-0005-0000-0000-0000A1000000}"/>
    <cellStyle name="Normal 6 2 2 2" xfId="180" xr:uid="{00000000-0005-0000-0000-0000A2000000}"/>
    <cellStyle name="Normal 6 2 3" xfId="157" xr:uid="{00000000-0005-0000-0000-0000A3000000}"/>
    <cellStyle name="Normal 6 3" xfId="98" xr:uid="{00000000-0005-0000-0000-0000A4000000}"/>
    <cellStyle name="Normal 6 3 2" xfId="138" xr:uid="{00000000-0005-0000-0000-0000A5000000}"/>
    <cellStyle name="Normal 6 3 2 2" xfId="181" xr:uid="{00000000-0005-0000-0000-0000A6000000}"/>
    <cellStyle name="Normal 6 3 3" xfId="158" xr:uid="{00000000-0005-0000-0000-0000A7000000}"/>
    <cellStyle name="Normal 6 4" xfId="99" xr:uid="{00000000-0005-0000-0000-0000A8000000}"/>
    <cellStyle name="Normal 6 4 2" xfId="139" xr:uid="{00000000-0005-0000-0000-0000A9000000}"/>
    <cellStyle name="Normal 6 4 2 2" xfId="182" xr:uid="{00000000-0005-0000-0000-0000AA000000}"/>
    <cellStyle name="Normal 6 4 3" xfId="159" xr:uid="{00000000-0005-0000-0000-0000AB000000}"/>
    <cellStyle name="Normal 7" xfId="100" xr:uid="{00000000-0005-0000-0000-0000AC000000}"/>
    <cellStyle name="Normal 7 2" xfId="140" xr:uid="{00000000-0005-0000-0000-0000AD000000}"/>
    <cellStyle name="Normal 7 2 2" xfId="183" xr:uid="{00000000-0005-0000-0000-0000AE000000}"/>
    <cellStyle name="Normal 7 3" xfId="160" xr:uid="{00000000-0005-0000-0000-0000AF000000}"/>
    <cellStyle name="Normal 8" xfId="101" xr:uid="{00000000-0005-0000-0000-0000B0000000}"/>
    <cellStyle name="Normal 8 2" xfId="141" xr:uid="{00000000-0005-0000-0000-0000B1000000}"/>
    <cellStyle name="Normal 8 2 2" xfId="184" xr:uid="{00000000-0005-0000-0000-0000B2000000}"/>
    <cellStyle name="Normal 8 3" xfId="161" xr:uid="{00000000-0005-0000-0000-0000B3000000}"/>
    <cellStyle name="Normal 9" xfId="102" xr:uid="{00000000-0005-0000-0000-0000B4000000}"/>
    <cellStyle name="Normal 9 2" xfId="142" xr:uid="{00000000-0005-0000-0000-0000B5000000}"/>
    <cellStyle name="Normal 9 2 2" xfId="185" xr:uid="{00000000-0005-0000-0000-0000B6000000}"/>
    <cellStyle name="Normal 9 3" xfId="162" xr:uid="{00000000-0005-0000-0000-0000B7000000}"/>
    <cellStyle name="Normal_Grad. Lim. Auto 1-4" xfId="151" xr:uid="{00000000-0005-0000-0000-0000B8000000}"/>
    <cellStyle name="Normal_GRADACION (2)" xfId="103" xr:uid="{00000000-0005-0000-0000-0000B9000000}"/>
    <cellStyle name="Normal_MEZCLAR4  " xfId="104" xr:uid="{00000000-0005-0000-0000-0000BA000000}"/>
    <cellStyle name="Normal_TSR-DISEÑO" xfId="193" xr:uid="{00000000-0005-0000-0000-0000BB000000}"/>
    <cellStyle name="Percen - Modelo3" xfId="105" xr:uid="{00000000-0005-0000-0000-0000BC000000}"/>
    <cellStyle name="Percent" xfId="106" xr:uid="{00000000-0005-0000-0000-0000BD000000}"/>
    <cellStyle name="Porcentaje" xfId="125" builtinId="5"/>
    <cellStyle name="Porcentaje 2" xfId="107" xr:uid="{00000000-0005-0000-0000-0000BF000000}"/>
    <cellStyle name="Porcentual 2" xfId="108" xr:uid="{00000000-0005-0000-0000-0000C0000000}"/>
    <cellStyle name="Porcentual 2 2" xfId="109" xr:uid="{00000000-0005-0000-0000-0000C1000000}"/>
    <cellStyle name="Porcentual 2 2 2" xfId="110" xr:uid="{00000000-0005-0000-0000-0000C2000000}"/>
    <cellStyle name="Porcentual 2 2 3" xfId="111" xr:uid="{00000000-0005-0000-0000-0000C3000000}"/>
    <cellStyle name="Porcentual 2 2 4" xfId="112" xr:uid="{00000000-0005-0000-0000-0000C4000000}"/>
    <cellStyle name="Porcentual 2 2 5" xfId="143" xr:uid="{00000000-0005-0000-0000-0000C5000000}"/>
    <cellStyle name="Porcentual 2 2 5 2" xfId="186" xr:uid="{00000000-0005-0000-0000-0000C6000000}"/>
    <cellStyle name="Porcentual 2 2 6" xfId="163" xr:uid="{00000000-0005-0000-0000-0000C7000000}"/>
    <cellStyle name="Porcentual 2 3" xfId="113" xr:uid="{00000000-0005-0000-0000-0000C8000000}"/>
    <cellStyle name="Porcentual 2 4" xfId="114" xr:uid="{00000000-0005-0000-0000-0000C9000000}"/>
    <cellStyle name="Porcentual 2 5" xfId="115" xr:uid="{00000000-0005-0000-0000-0000CA000000}"/>
    <cellStyle name="Porcentual 2 6" xfId="116" xr:uid="{00000000-0005-0000-0000-0000CB000000}"/>
    <cellStyle name="Porcentual 2 7" xfId="117" xr:uid="{00000000-0005-0000-0000-0000CC000000}"/>
    <cellStyle name="Porcentual 2 8" xfId="118" xr:uid="{00000000-0005-0000-0000-0000CD000000}"/>
    <cellStyle name="Porcentual 2 8 2" xfId="144" xr:uid="{00000000-0005-0000-0000-0000CE000000}"/>
    <cellStyle name="Porcentual 2 8 2 2" xfId="187" xr:uid="{00000000-0005-0000-0000-0000CF000000}"/>
    <cellStyle name="Porcentual 2 8 3" xfId="164" xr:uid="{00000000-0005-0000-0000-0000D0000000}"/>
    <cellStyle name="Porcentual 2 9" xfId="119" xr:uid="{00000000-0005-0000-0000-0000D1000000}"/>
    <cellStyle name="Porcentual 2 9 2" xfId="145" xr:uid="{00000000-0005-0000-0000-0000D2000000}"/>
    <cellStyle name="Porcentual 2 9 2 2" xfId="188" xr:uid="{00000000-0005-0000-0000-0000D3000000}"/>
    <cellStyle name="Porcentual 2 9 3" xfId="165" xr:uid="{00000000-0005-0000-0000-0000D4000000}"/>
    <cellStyle name="Porcentual 3" xfId="120" xr:uid="{00000000-0005-0000-0000-0000D5000000}"/>
    <cellStyle name="resaltado" xfId="121" xr:uid="{00000000-0005-0000-0000-0000D6000000}"/>
  </cellStyles>
  <dxfs count="4">
    <dxf>
      <font>
        <color rgb="FF9C0006"/>
      </font>
    </dxf>
    <dxf>
      <font>
        <color rgb="FF9C0006"/>
      </font>
    </dxf>
    <dxf>
      <font>
        <b val="0"/>
        <i val="0"/>
        <color rgb="FFFF0000"/>
      </font>
      <fill>
        <patternFill>
          <bgColor rgb="FFFF0000"/>
        </patternFill>
      </fill>
    </dxf>
    <dxf>
      <font>
        <color rgb="FFFF0000"/>
      </font>
    </dxf>
  </dxfs>
  <tableStyles count="0" defaultTableStyle="TableStyleMedium9" defaultPivotStyle="PivotStyleLight16"/>
  <colors>
    <mruColors>
      <color rgb="FFE46C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9" Type="http://schemas.openxmlformats.org/officeDocument/2006/relationships/externalLink" Target="externalLinks/externalLink31.xml"/><Relationship Id="rId21" Type="http://schemas.openxmlformats.org/officeDocument/2006/relationships/externalLink" Target="externalLinks/externalLink13.xml"/><Relationship Id="rId34" Type="http://schemas.openxmlformats.org/officeDocument/2006/relationships/externalLink" Target="externalLinks/externalLink26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externalLink" Target="externalLinks/externalLink24.xml"/><Relationship Id="rId37" Type="http://schemas.openxmlformats.org/officeDocument/2006/relationships/externalLink" Target="externalLinks/externalLink29.xml"/><Relationship Id="rId40" Type="http://schemas.openxmlformats.org/officeDocument/2006/relationships/externalLink" Target="externalLinks/externalLink3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36" Type="http://schemas.openxmlformats.org/officeDocument/2006/relationships/externalLink" Target="externalLinks/externalLink28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externalLink" Target="externalLinks/externalLink23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35" Type="http://schemas.openxmlformats.org/officeDocument/2006/relationships/externalLink" Target="externalLinks/externalLink27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externalLink" Target="externalLinks/externalLink25.xml"/><Relationship Id="rId38" Type="http://schemas.openxmlformats.org/officeDocument/2006/relationships/externalLink" Target="externalLinks/externalLink30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59501820842198E-2"/>
          <c:y val="0.13923097917366475"/>
          <c:w val="0.90794325075982563"/>
          <c:h val="0.70260886063941275"/>
        </c:manualLayout>
      </c:layout>
      <c:scatterChart>
        <c:scatterStyle val="lineMarker"/>
        <c:varyColors val="0"/>
        <c:ser>
          <c:idx val="1"/>
          <c:order val="0"/>
          <c:tx>
            <c:v>Resultado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Gradación'!$V$31:$AE$31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EE-4B3A-A11D-D4D67436D7F2}"/>
            </c:ext>
          </c:extLst>
        </c:ser>
        <c:ser>
          <c:idx val="2"/>
          <c:order val="1"/>
          <c:tx>
            <c:v>Especificación max</c:v>
          </c:tx>
          <c:spPr>
            <a:ln w="12700" cap="rnd">
              <a:solidFill>
                <a:srgbClr val="FF0000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Gradación'!$E$25:$M$25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EE-4B3A-A11D-D4D67436D7F2}"/>
            </c:ext>
          </c:extLst>
        </c:ser>
        <c:ser>
          <c:idx val="4"/>
          <c:order val="2"/>
          <c:tx>
            <c:v>Especificación min</c:v>
          </c:tx>
          <c:spPr>
            <a:ln w="12700" cap="rnd">
              <a:solidFill>
                <a:srgbClr val="FF0000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Gradación'!$E$26:$M$26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EE-4B3A-A11D-D4D67436D7F2}"/>
            </c:ext>
          </c:extLst>
        </c:ser>
        <c:ser>
          <c:idx val="3"/>
          <c:order val="3"/>
          <c:tx>
            <c:v>1"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270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20EE-4B3A-A11D-D4D67436D7F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25.4</c:v>
              </c:pt>
              <c:pt idx="1">
                <c:v>25.4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20EE-4B3A-A11D-D4D67436D7F2}"/>
            </c:ext>
          </c:extLst>
        </c:ser>
        <c:ser>
          <c:idx val="6"/>
          <c:order val="4"/>
          <c:tx>
            <c:v>3/4"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19</c:v>
              </c:pt>
              <c:pt idx="1">
                <c:v>19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8-20EE-4B3A-A11D-D4D67436D7F2}"/>
            </c:ext>
          </c:extLst>
        </c:ser>
        <c:ser>
          <c:idx val="7"/>
          <c:order val="5"/>
          <c:tx>
            <c:v>1/2"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EE-4B3A-A11D-D4D67436D7F2}"/>
                </c:ext>
              </c:extLst>
            </c:dLbl>
            <c:dLbl>
              <c:idx val="1"/>
              <c:layout>
                <c:manualLayout>
                  <c:x val="-3.4864642950566238E-2"/>
                  <c:y val="6.8562176993715529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12.5</c:v>
              </c:pt>
              <c:pt idx="1">
                <c:v>12.5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B-20EE-4B3A-A11D-D4D67436D7F2}"/>
            </c:ext>
          </c:extLst>
        </c:ser>
        <c:ser>
          <c:idx val="8"/>
          <c:order val="6"/>
          <c:tx>
            <c:v>3/8"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EE-4B3A-A11D-D4D67436D7F2}"/>
                </c:ext>
              </c:extLst>
            </c:dLbl>
            <c:dLbl>
              <c:idx val="1"/>
              <c:layout>
                <c:manualLayout>
                  <c:x val="-1.7139274505221735E-2"/>
                  <c:y val="7.104180301083931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9.5</c:v>
              </c:pt>
              <c:pt idx="1">
                <c:v>9.5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E-20EE-4B3A-A11D-D4D67436D7F2}"/>
            </c:ext>
          </c:extLst>
        </c:ser>
        <c:ser>
          <c:idx val="9"/>
          <c:order val="7"/>
          <c:tx>
            <c:v>No.4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0EE-4B3A-A11D-D4D67436D7F2}"/>
                </c:ext>
              </c:extLst>
            </c:dLbl>
            <c:dLbl>
              <c:idx val="1"/>
              <c:layout>
                <c:manualLayout>
                  <c:x val="-3.3427301890436759E-2"/>
                  <c:y val="7.364070673617481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4.76</c:v>
              </c:pt>
              <c:pt idx="1">
                <c:v>4.76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1-20EE-4B3A-A11D-D4D67436D7F2}"/>
            </c:ext>
          </c:extLst>
        </c:ser>
        <c:ser>
          <c:idx val="10"/>
          <c:order val="8"/>
          <c:tx>
            <c:v>No.10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270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20EE-4B3A-A11D-D4D67436D7F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0EE-4B3A-A11D-D4D67436D7F2}"/>
                </c:ext>
              </c:extLst>
            </c:dLbl>
            <c:dLbl>
              <c:idx val="1"/>
              <c:layout>
                <c:manualLayout>
                  <c:x val="-1.7007103348276511E-2"/>
                  <c:y val="6.7924378833202959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5-20EE-4B3A-A11D-D4D67436D7F2}"/>
            </c:ext>
          </c:extLst>
        </c:ser>
        <c:ser>
          <c:idx val="11"/>
          <c:order val="9"/>
          <c:tx>
            <c:v>No.40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0.42500000000000027</c:v>
              </c:pt>
              <c:pt idx="1">
                <c:v>0.42500000000000027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7-20EE-4B3A-A11D-D4D67436D7F2}"/>
            </c:ext>
          </c:extLst>
        </c:ser>
        <c:ser>
          <c:idx val="12"/>
          <c:order val="10"/>
          <c:tx>
            <c:v>No.80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0.1800000000000001</c:v>
              </c:pt>
              <c:pt idx="1">
                <c:v>0.1800000000000001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9-20EE-4B3A-A11D-D4D67436D7F2}"/>
            </c:ext>
          </c:extLst>
        </c:ser>
        <c:ser>
          <c:idx val="13"/>
          <c:order val="11"/>
          <c:tx>
            <c:v>No.200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7916100300837204E-2"/>
                  <c:y val="6.362795012069275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316744427164331E-2"/>
                      <c:h val="6.835362447163982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20EE-4B3A-A11D-D4D67436D7F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7.5000000000000011E-2</c:v>
              </c:pt>
              <c:pt idx="1">
                <c:v>7.5000000000000011E-2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C-20EE-4B3A-A11D-D4D67436D7F2}"/>
            </c:ext>
          </c:extLst>
        </c:ser>
        <c:ser>
          <c:idx val="0"/>
          <c:order val="12"/>
          <c:tx>
            <c:v>Formula trabajo max</c:v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Gradación'!$E$28:$M$28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20EE-4B3A-A11D-D4D67436D7F2}"/>
            </c:ext>
          </c:extLst>
        </c:ser>
        <c:ser>
          <c:idx val="5"/>
          <c:order val="13"/>
          <c:tx>
            <c:v>Formula trabajo min </c:v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Gradación'!$E$29:$M$29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20EE-4B3A-A11D-D4D67436D7F2}"/>
            </c:ext>
          </c:extLst>
        </c:ser>
        <c:ser>
          <c:idx val="14"/>
          <c:order val="14"/>
          <c:tx>
            <c:strRef>
              <c:f>'4. Gradación'!$AC$6</c:f>
              <c:strCache>
                <c:ptCount val="1"/>
                <c:pt idx="0">
                  <c:v>N° 8</c:v>
                </c:pt>
              </c:strCache>
            </c:strRef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8139320400236967E-2"/>
                  <c:y val="-7.2325951318491288E-2"/>
                </c:manualLayout>
              </c:layout>
              <c:tx>
                <c:rich>
                  <a:bodyPr rot="-5400000" vert="horz" wrap="square" lIns="38100" tIns="19050" rIns="38100" bIns="19050" anchor="ctr">
                    <a:spAutoFit/>
                  </a:bodyPr>
                  <a:lstStyle/>
                  <a:p>
                    <a:pPr>
                      <a:defRPr sz="800">
                        <a:solidFill>
                          <a:schemeClr val="tx1">
                            <a:lumMod val="85000"/>
                            <a:lumOff val="15000"/>
                          </a:schemeClr>
                        </a:solidFill>
                      </a:defRPr>
                    </a:pPr>
                    <a:r>
                      <a:rPr lang="en-US" sz="800"/>
                      <a:t>2,36</a:t>
                    </a:r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F-20EE-4B3A-A11D-D4D67436D7F2}"/>
                </c:ext>
              </c:extLst>
            </c:dLbl>
            <c:dLbl>
              <c:idx val="1"/>
              <c:layout>
                <c:manualLayout>
                  <c:x val="-4.0476322145382833E-2"/>
                  <c:y val="6.4808755073803542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0EE-4B3A-A11D-D4D67436D7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chemeClr val="tx1">
                        <a:lumMod val="85000"/>
                        <a:lumOff val="15000"/>
                      </a:schemeClr>
                    </a:solidFill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xVal>
            <c:numRef>
              <c:f>'4. Gradación'!$W$32:$X$32</c:f>
              <c:numCache>
                <c:formatCode>General</c:formatCode>
                <c:ptCount val="2"/>
                <c:pt idx="0">
                  <c:v>2.36</c:v>
                </c:pt>
                <c:pt idx="1">
                  <c:v>2.36</c:v>
                </c:pt>
              </c:numCache>
            </c:numRef>
          </c:xVal>
          <c:yVal>
            <c:numRef>
              <c:f>'4. Gradación'!$W$33:$X$33</c:f>
              <c:numCache>
                <c:formatCode>General</c:formatCode>
                <c:ptCount val="2"/>
                <c:pt idx="0">
                  <c:v>100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20EE-4B3A-A11D-D4D67436D7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4315664"/>
        <c:axId val="644316208"/>
      </c:scatterChart>
      <c:valAx>
        <c:axId val="644315664"/>
        <c:scaling>
          <c:logBase val="10"/>
          <c:orientation val="maxMin"/>
          <c:max val="100"/>
          <c:min val="1.0000000000000005E-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s-E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>
                    <a:solidFill>
                      <a:sysClr val="windowText" lastClr="000000"/>
                    </a:solidFill>
                  </a:rPr>
                  <a:t>TAMIZ</a:t>
                </a:r>
              </a:p>
            </c:rich>
          </c:tx>
          <c:layout>
            <c:manualLayout>
              <c:xMode val="edge"/>
              <c:yMode val="edge"/>
              <c:x val="0.47360428935681798"/>
              <c:y val="0.935281530175700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4316208"/>
        <c:crossesAt val="1.0000000000000005E-2"/>
        <c:crossBetween val="midCat"/>
        <c:majorUnit val="10"/>
      </c:valAx>
      <c:valAx>
        <c:axId val="644316208"/>
        <c:scaling>
          <c:orientation val="minMax"/>
          <c:max val="100"/>
          <c:min val="0"/>
        </c:scaling>
        <c:delete val="0"/>
        <c:axPos val="r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>
                    <a:solidFill>
                      <a:sysClr val="windowText" lastClr="000000"/>
                    </a:solidFill>
                  </a:rPr>
                  <a:t>%  QUE PASA</a:t>
                </a:r>
              </a:p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 sz="800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1.1965507878697232E-3"/>
              <c:y val="0.3657826257956318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4315664"/>
        <c:crossesAt val="100"/>
        <c:crossBetween val="midCat"/>
        <c:majorUnit val="10"/>
        <c:minorUnit val="5"/>
      </c:valAx>
      <c:spPr>
        <a:solidFill>
          <a:sysClr val="window" lastClr="FFFFFF"/>
        </a:solidFill>
        <a:ln>
          <a:solidFill>
            <a:schemeClr val="bg1"/>
          </a:solidFill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5"/>
        <c:delete val="1"/>
      </c:legendEntry>
      <c:layout>
        <c:manualLayout>
          <c:xMode val="edge"/>
          <c:yMode val="edge"/>
          <c:x val="0.7699562284235375"/>
          <c:y val="0.10216993960092337"/>
          <c:w val="0.21848751249921117"/>
          <c:h val="0.56458821025750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span"/>
    <c:showDLblsOverMax val="0"/>
  </c:chart>
  <c:spPr>
    <a:solidFill>
      <a:schemeClr val="bg1"/>
    </a:solidFill>
    <a:ln w="9525" cap="flat" cmpd="sng" algn="ctr">
      <a:noFill/>
      <a:round/>
    </a:ln>
    <a:effectLst>
      <a:glow rad="127000">
        <a:schemeClr val="bg1">
          <a:lumMod val="95000"/>
          <a:alpha val="95000"/>
        </a:schemeClr>
      </a:glow>
      <a:softEdge rad="63500"/>
    </a:effectLst>
    <a:scene3d>
      <a:camera prst="orthographicFront"/>
      <a:lightRig rig="threePt" dir="t"/>
    </a:scene3d>
    <a:sp3d prstMaterial="matte"/>
  </c:spPr>
  <c:txPr>
    <a:bodyPr/>
    <a:lstStyle/>
    <a:p>
      <a:pPr>
        <a:defRPr/>
      </a:pPr>
      <a:endParaRPr lang="es-CO"/>
    </a:p>
  </c:txPr>
  <c:printSettings>
    <c:headerFooter alignWithMargins="0"/>
    <c:pageMargins b="1" l="0.75000000000001465" r="0.75000000000001465" t="1" header="0" footer="0"/>
    <c:pageSetup orientation="landscape" horizontalDpi="300" verticalDpi="3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59501820842198E-2"/>
          <c:y val="0.13923097917366475"/>
          <c:w val="0.90794325075982563"/>
          <c:h val="0.70260886063941275"/>
        </c:manualLayout>
      </c:layout>
      <c:scatterChart>
        <c:scatterStyle val="lineMarker"/>
        <c:varyColors val="0"/>
        <c:ser>
          <c:idx val="1"/>
          <c:order val="0"/>
          <c:tx>
            <c:v>Resultado</c:v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Gradación'!$V$31:$AE$31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0.0">
                  <c:v>0</c:v>
                </c:pt>
                <c:pt idx="7" formatCode="0.0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42-4A59-BF5A-63766B20B94C}"/>
            </c:ext>
          </c:extLst>
        </c:ser>
        <c:ser>
          <c:idx val="2"/>
          <c:order val="1"/>
          <c:tx>
            <c:strRef>
              <c:f>'4. Gradación'!$P$6</c:f>
              <c:strCache>
                <c:ptCount val="1"/>
                <c:pt idx="0">
                  <c:v>Especificación</c:v>
                </c:pt>
              </c:strCache>
            </c:strRef>
          </c:tx>
          <c:spPr>
            <a:ln w="12700" cap="rnd">
              <a:solidFill>
                <a:srgbClr val="FF0000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Gradación'!$E$25:$M$25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42-4A59-BF5A-63766B20B94C}"/>
            </c:ext>
          </c:extLst>
        </c:ser>
        <c:ser>
          <c:idx val="4"/>
          <c:order val="2"/>
          <c:spPr>
            <a:ln w="12700" cap="rnd">
              <a:solidFill>
                <a:srgbClr val="FF0000"/>
              </a:solidFill>
              <a:prstDash val="lgDashDotDot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Gradación'!$E$26:$M$26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142-4A59-BF5A-63766B20B94C}"/>
            </c:ext>
          </c:extLst>
        </c:ser>
        <c:ser>
          <c:idx val="3"/>
          <c:order val="3"/>
          <c:tx>
            <c:v>1"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270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3142-4A59-BF5A-63766B20B94C}"/>
              </c:ext>
            </c:extLst>
          </c:dPt>
          <c:dLbls>
            <c:dLbl>
              <c:idx val="0"/>
              <c:layout>
                <c:manualLayout>
                  <c:x val="-2.4487418207190872E-2"/>
                  <c:y val="-5.12945973496432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142-4A59-BF5A-63766B20B94C}"/>
                </c:ext>
              </c:extLst>
            </c:dLbl>
            <c:dLbl>
              <c:idx val="1"/>
              <c:layout>
                <c:manualLayout>
                  <c:x val="-2.4997424008243174E-2"/>
                  <c:y val="2.398580911331023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25.4</c:v>
              </c:pt>
              <c:pt idx="1">
                <c:v>25.4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6-3142-4A59-BF5A-63766B20B94C}"/>
            </c:ext>
          </c:extLst>
        </c:ser>
        <c:ser>
          <c:idx val="6"/>
          <c:order val="4"/>
          <c:tx>
            <c:v>3/4"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487418207190907E-2"/>
                  <c:y val="-3.896008411792562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142-4A59-BF5A-63766B20B94C}"/>
                </c:ext>
              </c:extLst>
            </c:dLbl>
            <c:dLbl>
              <c:idx val="1"/>
              <c:layout>
                <c:manualLayout>
                  <c:x val="-3.2359649016052323E-2"/>
                  <c:y val="2.8063281080690453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DE7-47BF-AC69-889A508469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19</c:v>
              </c:pt>
              <c:pt idx="1">
                <c:v>19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8-3142-4A59-BF5A-63766B20B94C}"/>
            </c:ext>
          </c:extLst>
        </c:ser>
        <c:ser>
          <c:idx val="7"/>
          <c:order val="5"/>
          <c:tx>
            <c:v>1/2"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487418207190872E-2"/>
                  <c:y val="-5.12945973496432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142-4A59-BF5A-63766B20B94C}"/>
                </c:ext>
              </c:extLst>
            </c:dLbl>
            <c:dLbl>
              <c:idx val="1"/>
              <c:layout>
                <c:manualLayout>
                  <c:x val="-3.4864567740469886E-2"/>
                  <c:y val="2.778748986651898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12.5</c:v>
              </c:pt>
              <c:pt idx="1">
                <c:v>12.5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B-3142-4A59-BF5A-63766B20B94C}"/>
            </c:ext>
          </c:extLst>
        </c:ser>
        <c:ser>
          <c:idx val="8"/>
          <c:order val="6"/>
          <c:tx>
            <c:v>3/8"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487418207190907E-2"/>
                  <c:y val="-4.30276032009760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142-4A59-BF5A-63766B20B94C}"/>
                </c:ext>
              </c:extLst>
            </c:dLbl>
            <c:dLbl>
              <c:idx val="1"/>
              <c:layout>
                <c:manualLayout>
                  <c:x val="-1.3017723634622952E-2"/>
                  <c:y val="2.6189570340404547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9.5</c:v>
              </c:pt>
              <c:pt idx="1">
                <c:v>9.5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E-3142-4A59-BF5A-63766B20B94C}"/>
            </c:ext>
          </c:extLst>
        </c:ser>
        <c:ser>
          <c:idx val="9"/>
          <c:order val="7"/>
          <c:tx>
            <c:v>No.4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487418207190945E-2"/>
                  <c:y val="-5.12945973496432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142-4A59-BF5A-63766B20B94C}"/>
                </c:ext>
              </c:extLst>
            </c:dLbl>
            <c:dLbl>
              <c:idx val="1"/>
              <c:layout>
                <c:manualLayout>
                  <c:x val="-3.3427367174157327E-2"/>
                  <c:y val="2.471108542624832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4.76</c:v>
              </c:pt>
              <c:pt idx="1">
                <c:v>4.76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1-3142-4A59-BF5A-63766B20B94C}"/>
            </c:ext>
          </c:extLst>
        </c:ser>
        <c:ser>
          <c:idx val="10"/>
          <c:order val="8"/>
          <c:tx>
            <c:v>No.10</c:v>
          </c:tx>
          <c:spPr>
            <a:ln w="1905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bubble3D val="0"/>
            <c:spPr>
              <a:ln w="12700" cap="rnd">
                <a:solidFill>
                  <a:schemeClr val="bg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142-4A59-BF5A-63766B20B94C}"/>
              </c:ext>
            </c:extLst>
          </c:dPt>
          <c:dLbls>
            <c:dLbl>
              <c:idx val="0"/>
              <c:layout>
                <c:manualLayout>
                  <c:x val="-2.4487418207190872E-2"/>
                  <c:y val="-3.06930899692584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142-4A59-BF5A-63766B20B94C}"/>
                </c:ext>
              </c:extLst>
            </c:dLbl>
            <c:dLbl>
              <c:idx val="1"/>
              <c:layout>
                <c:manualLayout>
                  <c:x val="-1.0824682463378322E-2"/>
                  <c:y val="2.7149542087055632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5-3142-4A59-BF5A-63766B20B94C}"/>
            </c:ext>
          </c:extLst>
        </c:ser>
        <c:ser>
          <c:idx val="11"/>
          <c:order val="9"/>
          <c:tx>
            <c:v>No.40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487418207190872E-2"/>
                  <c:y val="-5.956159149831041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142-4A59-BF5A-63766B20B94C}"/>
                </c:ext>
              </c:extLst>
            </c:dLbl>
            <c:dLbl>
              <c:idx val="1"/>
              <c:layout>
                <c:manualLayout>
                  <c:x val="-3.7624895033406831E-2"/>
                  <c:y val="2.8063281080690453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E7-47BF-AC69-889A508469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0.42500000000000027</c:v>
              </c:pt>
              <c:pt idx="1">
                <c:v>0.42500000000000027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7-3142-4A59-BF5A-63766B20B94C}"/>
            </c:ext>
          </c:extLst>
        </c:ser>
        <c:ser>
          <c:idx val="12"/>
          <c:order val="10"/>
          <c:tx>
            <c:v>No.80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487418207190945E-2"/>
                  <c:y val="-5.12945973496432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142-4A59-BF5A-63766B20B94C}"/>
                </c:ext>
              </c:extLst>
            </c:dLbl>
            <c:dLbl>
              <c:idx val="1"/>
              <c:layout>
                <c:manualLayout>
                  <c:x val="-3.7624895033406762E-2"/>
                  <c:y val="2.8063281080690453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E7-47BF-AC69-889A508469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0.1800000000000001</c:v>
              </c:pt>
              <c:pt idx="1">
                <c:v>0.1800000000000001</c:v>
              </c:pt>
            </c:numLit>
          </c:xVal>
          <c:yVal>
            <c:numLit>
              <c:formatCode>General</c:formatCode>
              <c:ptCount val="2"/>
              <c:pt idx="0">
                <c:v>100</c:v>
              </c:pt>
              <c:pt idx="1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9-3142-4A59-BF5A-63766B20B94C}"/>
            </c:ext>
          </c:extLst>
        </c:ser>
        <c:ser>
          <c:idx val="13"/>
          <c:order val="11"/>
          <c:tx>
            <c:v>No.200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791616465252523E-2"/>
                  <c:y val="3.5085522566559911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316744427164331E-2"/>
                      <c:h val="6.835362447163982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3142-4A59-BF5A-63766B20B94C}"/>
                </c:ext>
              </c:extLst>
            </c:dLbl>
            <c:dLbl>
              <c:idx val="1"/>
              <c:layout>
                <c:manualLayout>
                  <c:x val="-2.4487418207191022E-2"/>
                  <c:y val="-5.956159149831041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r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Lit>
              <c:formatCode>General</c:formatCode>
              <c:ptCount val="2"/>
              <c:pt idx="0">
                <c:v>7.5000000000000011E-2</c:v>
              </c:pt>
              <c:pt idx="1">
                <c:v>7.5000000000000011E-2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C-3142-4A59-BF5A-63766B20B94C}"/>
            </c:ext>
          </c:extLst>
        </c:ser>
        <c:ser>
          <c:idx val="0"/>
          <c:order val="12"/>
          <c:tx>
            <c:strRef>
              <c:f>'4. Gradación'!$P$7</c:f>
              <c:strCache>
                <c:ptCount val="1"/>
                <c:pt idx="0">
                  <c:v>Formula de trabajo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Gradación'!$E$28:$M$28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3142-4A59-BF5A-63766B20B94C}"/>
            </c:ext>
          </c:extLst>
        </c:ser>
        <c:ser>
          <c:idx val="5"/>
          <c:order val="13"/>
          <c:tx>
            <c:strRef>
              <c:f>'4. Gradación'!$S$10</c:f>
              <c:strCache>
                <c:ptCount val="1"/>
                <c:pt idx="0">
                  <c:v>FT % Pasa máx</c:v>
                </c:pt>
              </c:strCache>
            </c:strRef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'4. Gradación'!$V$30:$AD$30</c:f>
              <c:numCache>
                <c:formatCode>General</c:formatCode>
                <c:ptCount val="9"/>
                <c:pt idx="0">
                  <c:v>25</c:v>
                </c:pt>
                <c:pt idx="1">
                  <c:v>19</c:v>
                </c:pt>
                <c:pt idx="2">
                  <c:v>12.5</c:v>
                </c:pt>
                <c:pt idx="3">
                  <c:v>9.5</c:v>
                </c:pt>
                <c:pt idx="4">
                  <c:v>4.75</c:v>
                </c:pt>
                <c:pt idx="5" formatCode="0">
                  <c:v>2</c:v>
                </c:pt>
                <c:pt idx="6" formatCode="0.000">
                  <c:v>0.42499999999999999</c:v>
                </c:pt>
                <c:pt idx="7" formatCode="0.000">
                  <c:v>0.18</c:v>
                </c:pt>
                <c:pt idx="8" formatCode="0.000">
                  <c:v>7.4999999999999997E-2</c:v>
                </c:pt>
              </c:numCache>
            </c:numRef>
          </c:xVal>
          <c:yVal>
            <c:numRef>
              <c:f>'4. Gradación'!$E$29:$M$29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 formatCode="0.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3142-4A59-BF5A-63766B20B94C}"/>
            </c:ext>
          </c:extLst>
        </c:ser>
        <c:ser>
          <c:idx val="14"/>
          <c:order val="14"/>
          <c:tx>
            <c:strRef>
              <c:f>'4. Gradación'!$AC$6</c:f>
              <c:strCache>
                <c:ptCount val="1"/>
                <c:pt idx="0">
                  <c:v>N° 8</c:v>
                </c:pt>
              </c:strCache>
            </c:strRef>
          </c:tx>
          <c:spPr>
            <a:ln w="127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8139241481986387E-2"/>
                  <c:y val="-4.7861173316638174E-2"/>
                </c:manualLayout>
              </c:layout>
              <c:tx>
                <c:rich>
                  <a:bodyPr rot="-5400000" vert="horz" wrap="square" lIns="38100" tIns="19050" rIns="38100" bIns="19050" anchor="ctr">
                    <a:spAutoFit/>
                  </a:bodyPr>
                  <a:lstStyle/>
                  <a:p>
                    <a:pPr>
                      <a:defRPr sz="800">
                        <a:solidFill>
                          <a:schemeClr val="tx1">
                            <a:lumMod val="85000"/>
                            <a:lumOff val="15000"/>
                          </a:schemeClr>
                        </a:solidFill>
                      </a:defRPr>
                    </a:pPr>
                    <a:r>
                      <a:rPr lang="en-US" sz="800"/>
                      <a:t>2,36</a:t>
                    </a:r>
                  </a:p>
                </c:rich>
              </c:tx>
              <c:spPr>
                <a:solidFill>
                  <a:schemeClr val="bg1"/>
                </a:solidFill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F-3142-4A59-BF5A-63766B20B94C}"/>
                </c:ext>
              </c:extLst>
            </c:dLbl>
            <c:dLbl>
              <c:idx val="1"/>
              <c:layout>
                <c:manualLayout>
                  <c:x val="-4.0476254224018057E-2"/>
                  <c:y val="2.811144019841541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No. 8</a:t>
                    </a:r>
                  </a:p>
                </c:rich>
              </c:tx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0-3142-4A59-BF5A-63766B20B9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chemeClr val="tx1">
                        <a:lumMod val="85000"/>
                        <a:lumOff val="15000"/>
                      </a:schemeClr>
                    </a:solidFill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dispRSqr val="0"/>
            <c:dispEq val="0"/>
          </c:trendline>
          <c:xVal>
            <c:numRef>
              <c:f>'4. Gradación'!$W$32:$X$32</c:f>
              <c:numCache>
                <c:formatCode>General</c:formatCode>
                <c:ptCount val="2"/>
                <c:pt idx="0">
                  <c:v>2.36</c:v>
                </c:pt>
                <c:pt idx="1">
                  <c:v>2.36</c:v>
                </c:pt>
              </c:numCache>
            </c:numRef>
          </c:xVal>
          <c:yVal>
            <c:numRef>
              <c:f>'4. Gradación'!$W$33:$X$33</c:f>
              <c:numCache>
                <c:formatCode>General</c:formatCode>
                <c:ptCount val="2"/>
                <c:pt idx="0">
                  <c:v>100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21-3142-4A59-BF5A-63766B20B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4315664"/>
        <c:axId val="644316208"/>
      </c:scatterChart>
      <c:valAx>
        <c:axId val="644315664"/>
        <c:scaling>
          <c:logBase val="10"/>
          <c:orientation val="maxMin"/>
          <c:max val="100"/>
          <c:min val="1.0000000000000005E-2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es-E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>
                    <a:solidFill>
                      <a:sysClr val="windowText" lastClr="000000"/>
                    </a:solidFill>
                  </a:rPr>
                  <a:t>TAMIZ</a:t>
                </a:r>
              </a:p>
            </c:rich>
          </c:tx>
          <c:layout>
            <c:manualLayout>
              <c:xMode val="edge"/>
              <c:yMode val="edge"/>
              <c:x val="0.47360428935681798"/>
              <c:y val="0.935281530175700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4316208"/>
        <c:crossesAt val="1.0000000000000005E-2"/>
        <c:crossBetween val="midCat"/>
        <c:majorUnit val="10"/>
      </c:valAx>
      <c:valAx>
        <c:axId val="644316208"/>
        <c:scaling>
          <c:orientation val="minMax"/>
          <c:max val="100"/>
          <c:min val="0"/>
        </c:scaling>
        <c:delete val="0"/>
        <c:axPos val="r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800" b="1">
                    <a:solidFill>
                      <a:sysClr val="windowText" lastClr="000000"/>
                    </a:solidFill>
                  </a:rPr>
                  <a:t>%  QUE PASA</a:t>
                </a:r>
              </a:p>
              <a:p>
                <a:pPr>
                  <a:defRPr lang="es-ES"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 sz="800" b="1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1.1965507878697232E-3"/>
              <c:y val="0.3657826257956318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lang="es-E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4315664"/>
        <c:crossesAt val="100"/>
        <c:crossBetween val="midCat"/>
        <c:majorUnit val="10"/>
        <c:minorUnit val="5"/>
      </c:valAx>
      <c:spPr>
        <a:solidFill>
          <a:sysClr val="window" lastClr="FFFFFF"/>
        </a:solidFill>
        <a:ln>
          <a:solidFill>
            <a:schemeClr val="bg1"/>
          </a:solidFill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3"/>
        <c:delete val="1"/>
      </c:legendEntry>
      <c:legendEntry>
        <c:idx val="14"/>
        <c:delete val="1"/>
      </c:legendEntry>
      <c:legendEntry>
        <c:idx val="15"/>
        <c:delete val="1"/>
      </c:legendEntry>
      <c:layout>
        <c:manualLayout>
          <c:xMode val="edge"/>
          <c:yMode val="edge"/>
          <c:x val="0.78434364947040047"/>
          <c:y val="0.19339096374421089"/>
          <c:w val="0.20202666796280094"/>
          <c:h val="0.285261223081059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s-ES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0"/>
    <c:dispBlanksAs val="span"/>
    <c:showDLblsOverMax val="0"/>
  </c:chart>
  <c:spPr>
    <a:solidFill>
      <a:schemeClr val="bg1"/>
    </a:solidFill>
    <a:ln w="9525" cap="flat" cmpd="sng" algn="ctr">
      <a:noFill/>
      <a:round/>
    </a:ln>
    <a:effectLst>
      <a:glow rad="127000">
        <a:schemeClr val="bg1">
          <a:lumMod val="95000"/>
          <a:alpha val="95000"/>
        </a:schemeClr>
      </a:glow>
      <a:softEdge rad="63500"/>
    </a:effectLst>
    <a:scene3d>
      <a:camera prst="orthographicFront"/>
      <a:lightRig rig="threePt" dir="t"/>
    </a:scene3d>
    <a:sp3d prstMaterial="matte"/>
  </c:spPr>
  <c:txPr>
    <a:bodyPr/>
    <a:lstStyle/>
    <a:p>
      <a:pPr>
        <a:defRPr/>
      </a:pPr>
      <a:endParaRPr lang="es-CO"/>
    </a:p>
  </c:txPr>
  <c:printSettings>
    <c:headerFooter alignWithMargins="0"/>
    <c:pageMargins b="1" l="0.75000000000001465" r="0.75000000000001465" t="1" header="0" footer="0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105682</xdr:colOff>
      <xdr:row>0</xdr:row>
      <xdr:rowOff>147864</xdr:rowOff>
    </xdr:from>
    <xdr:to>
      <xdr:col>3</xdr:col>
      <xdr:colOff>105682</xdr:colOff>
      <xdr:row>4</xdr:row>
      <xdr:rowOff>105864</xdr:rowOff>
    </xdr:to>
    <xdr:pic>
      <xdr:nvPicPr>
        <xdr:cNvPr id="2" name="Imagen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682" y="147864"/>
          <a:ext cx="714375" cy="72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31</xdr:col>
      <xdr:colOff>95250</xdr:colOff>
      <xdr:row>22</xdr:row>
      <xdr:rowOff>47625</xdr:rowOff>
    </xdr:from>
    <xdr:to>
      <xdr:col>31</xdr:col>
      <xdr:colOff>1257300</xdr:colOff>
      <xdr:row>24</xdr:row>
      <xdr:rowOff>57150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49200" y="3667125"/>
          <a:ext cx="116205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31</xdr:col>
      <xdr:colOff>66675</xdr:colOff>
      <xdr:row>13</xdr:row>
      <xdr:rowOff>133350</xdr:rowOff>
    </xdr:from>
    <xdr:ext cx="1190626" cy="342900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b="18172"/>
        <a:stretch/>
      </xdr:blipFill>
      <xdr:spPr>
        <a:xfrm>
          <a:off x="12620625" y="2038350"/>
          <a:ext cx="1190626" cy="342900"/>
        </a:xfrm>
        <a:prstGeom prst="rect">
          <a:avLst/>
        </a:prstGeom>
      </xdr:spPr>
    </xdr:pic>
    <xdr:clientData/>
  </xdr:oneCellAnchor>
  <xdr:twoCellAnchor editAs="oneCell">
    <xdr:from>
      <xdr:col>31</xdr:col>
      <xdr:colOff>228601</xdr:colOff>
      <xdr:row>16</xdr:row>
      <xdr:rowOff>66675</xdr:rowOff>
    </xdr:from>
    <xdr:to>
      <xdr:col>31</xdr:col>
      <xdr:colOff>1200151</xdr:colOff>
      <xdr:row>18</xdr:row>
      <xdr:rowOff>62245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2782551" y="2543175"/>
          <a:ext cx="971550" cy="376570"/>
        </a:xfrm>
        <a:prstGeom prst="rect">
          <a:avLst/>
        </a:prstGeom>
        <a:noFill/>
      </xdr:spPr>
    </xdr:pic>
    <xdr:clientData/>
  </xdr:twoCellAnchor>
  <xdr:oneCellAnchor>
    <xdr:from>
      <xdr:col>31</xdr:col>
      <xdr:colOff>104775</xdr:colOff>
      <xdr:row>27</xdr:row>
      <xdr:rowOff>104775</xdr:rowOff>
    </xdr:from>
    <xdr:ext cx="1162050" cy="394174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858875" y="5248275"/>
          <a:ext cx="1162050" cy="394174"/>
        </a:xfrm>
        <a:prstGeom prst="rect">
          <a:avLst/>
        </a:prstGeom>
      </xdr:spPr>
    </xdr:pic>
    <xdr:clientData/>
  </xdr:oneCellAnchor>
  <xdr:oneCellAnchor>
    <xdr:from>
      <xdr:col>31</xdr:col>
      <xdr:colOff>200026</xdr:colOff>
      <xdr:row>31</xdr:row>
      <xdr:rowOff>0</xdr:rowOff>
    </xdr:from>
    <xdr:ext cx="971550" cy="376570"/>
    <xdr:pic>
      <xdr:nvPicPr>
        <xdr:cNvPr id="10" name="Picture 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954126" y="5715000"/>
          <a:ext cx="971550" cy="376570"/>
        </a:xfrm>
        <a:prstGeom prst="rect">
          <a:avLst/>
        </a:prstGeom>
        <a:noFill/>
      </xdr:spPr>
    </xdr:pic>
    <xdr:clientData/>
  </xdr:oneCellAnchor>
  <xdr:twoCellAnchor editAs="oneCell">
    <xdr:from>
      <xdr:col>31</xdr:col>
      <xdr:colOff>200026</xdr:colOff>
      <xdr:row>10</xdr:row>
      <xdr:rowOff>47625</xdr:rowOff>
    </xdr:from>
    <xdr:to>
      <xdr:col>31</xdr:col>
      <xdr:colOff>1114426</xdr:colOff>
      <xdr:row>12</xdr:row>
      <xdr:rowOff>95251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t="8574" b="14262"/>
        <a:stretch/>
      </xdr:blipFill>
      <xdr:spPr>
        <a:xfrm>
          <a:off x="12753976" y="1952625"/>
          <a:ext cx="914400" cy="428626"/>
        </a:xfrm>
        <a:prstGeom prst="rect">
          <a:avLst/>
        </a:prstGeom>
      </xdr:spPr>
    </xdr:pic>
    <xdr:clientData/>
  </xdr:twoCellAnchor>
  <xdr:twoCellAnchor editAs="oneCell">
    <xdr:from>
      <xdr:col>31</xdr:col>
      <xdr:colOff>314325</xdr:colOff>
      <xdr:row>7</xdr:row>
      <xdr:rowOff>85724</xdr:rowOff>
    </xdr:from>
    <xdr:to>
      <xdr:col>31</xdr:col>
      <xdr:colOff>1062958</xdr:colOff>
      <xdr:row>9</xdr:row>
      <xdr:rowOff>152399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868275" y="1419224"/>
          <a:ext cx="748633" cy="447675"/>
        </a:xfrm>
        <a:prstGeom prst="rect">
          <a:avLst/>
        </a:prstGeom>
      </xdr:spPr>
    </xdr:pic>
    <xdr:clientData/>
  </xdr:twoCellAnchor>
  <xdr:twoCellAnchor>
    <xdr:from>
      <xdr:col>8</xdr:col>
      <xdr:colOff>85725</xdr:colOff>
      <xdr:row>49</xdr:row>
      <xdr:rowOff>26460</xdr:rowOff>
    </xdr:from>
    <xdr:to>
      <xdr:col>17</xdr:col>
      <xdr:colOff>142875</xdr:colOff>
      <xdr:row>49</xdr:row>
      <xdr:rowOff>26460</xdr:rowOff>
    </xdr:to>
    <xdr:cxnSp macro="">
      <xdr:nvCxnSpPr>
        <xdr:cNvPr id="13" name="Conector rec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1990725" y="873231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31</xdr:col>
      <xdr:colOff>22225</xdr:colOff>
      <xdr:row>25</xdr:row>
      <xdr:rowOff>9525</xdr:rowOff>
    </xdr:from>
    <xdr:to>
      <xdr:col>31</xdr:col>
      <xdr:colOff>1236314</xdr:colOff>
      <xdr:row>27</xdr:row>
      <xdr:rowOff>0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76325" y="4772025"/>
          <a:ext cx="1214089" cy="371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157885</xdr:colOff>
      <xdr:row>0</xdr:row>
      <xdr:rowOff>119497</xdr:rowOff>
    </xdr:from>
    <xdr:to>
      <xdr:col>3</xdr:col>
      <xdr:colOff>171451</xdr:colOff>
      <xdr:row>4</xdr:row>
      <xdr:rowOff>85725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885" y="119497"/>
          <a:ext cx="718416" cy="728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104775</xdr:colOff>
      <xdr:row>37</xdr:row>
      <xdr:rowOff>27214</xdr:rowOff>
    </xdr:to>
    <xdr:sp macro="" textlink="">
      <xdr:nvSpPr>
        <xdr:cNvPr id="19" name="Text Box 8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5972175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20" name="Text Box 8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36</xdr:row>
      <xdr:rowOff>0</xdr:rowOff>
    </xdr:from>
    <xdr:to>
      <xdr:col>13</xdr:col>
      <xdr:colOff>104775</xdr:colOff>
      <xdr:row>37</xdr:row>
      <xdr:rowOff>27214</xdr:rowOff>
    </xdr:to>
    <xdr:sp macro="" textlink="">
      <xdr:nvSpPr>
        <xdr:cNvPr id="21" name="Text Box 83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5486400" y="695325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95250</xdr:colOff>
      <xdr:row>0</xdr:row>
      <xdr:rowOff>171450</xdr:rowOff>
    </xdr:from>
    <xdr:to>
      <xdr:col>1</xdr:col>
      <xdr:colOff>386625</xdr:colOff>
      <xdr:row>4</xdr:row>
      <xdr:rowOff>127892</xdr:rowOff>
    </xdr:to>
    <xdr:pic>
      <xdr:nvPicPr>
        <xdr:cNvPr id="22" name="Imagen 1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71450"/>
          <a:ext cx="720000" cy="7184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21</xdr:row>
      <xdr:rowOff>0</xdr:rowOff>
    </xdr:from>
    <xdr:ext cx="104775" cy="217714"/>
    <xdr:sp macro="" textlink="">
      <xdr:nvSpPr>
        <xdr:cNvPr id="19" name="Text Box 81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5848350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20" name="Text Box 82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104775" cy="217714"/>
    <xdr:sp macro="" textlink="">
      <xdr:nvSpPr>
        <xdr:cNvPr id="21" name="Text Box 83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5514975" y="5715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260796</xdr:colOff>
      <xdr:row>0</xdr:row>
      <xdr:rowOff>71886</xdr:rowOff>
    </xdr:from>
    <xdr:ext cx="736634" cy="721923"/>
    <xdr:pic>
      <xdr:nvPicPr>
        <xdr:cNvPr id="22" name="Imagen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6" y="71886"/>
          <a:ext cx="736634" cy="721923"/>
        </a:xfrm>
        <a:prstGeom prst="rect">
          <a:avLst/>
        </a:prstGeom>
      </xdr:spPr>
    </xdr:pic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23" name="Text Box 33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24" name="Text Box 65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25" name="Text Box 66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26" name="Text Box 67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27" name="Text Box 68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28" name="Text Box 69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29" name="Text Box 70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30" name="Text Box 71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31" name="Text Box 72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32" name="Text Box 73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33" name="Text Box 74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34" name="Text Box 75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35" name="Text Box 76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37" name="Text Box 78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38" name="Text Box 79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39" name="Text Box 80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27</xdr:row>
      <xdr:rowOff>0</xdr:rowOff>
    </xdr:from>
    <xdr:ext cx="104775" cy="217714"/>
    <xdr:sp macro="" textlink="">
      <xdr:nvSpPr>
        <xdr:cNvPr id="40" name="Text Box 81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5848350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41" name="Text Box 82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104775" cy="217714"/>
    <xdr:sp macro="" textlink="">
      <xdr:nvSpPr>
        <xdr:cNvPr id="42" name="Text Box 83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5514975" y="68580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29</xdr:row>
      <xdr:rowOff>85725</xdr:rowOff>
    </xdr:from>
    <xdr:to>
      <xdr:col>14</xdr:col>
      <xdr:colOff>228600</xdr:colOff>
      <xdr:row>43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4" name="Text Box 3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5" name="Text Box 6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6" name="Text Box 6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7" name="Text Box 67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8" name="Text Box 6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9" name="Text Box 6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10" name="Text Box 70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11" name="Text Box 7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12" name="Text Box 72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13" name="Text Box 73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14" name="Text Box 74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15" name="Text Box 75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16" name="Text Box 76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18" name="Text Box 78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19" name="Text Box 79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20" name="Text Box 80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51</xdr:row>
      <xdr:rowOff>0</xdr:rowOff>
    </xdr:from>
    <xdr:ext cx="104775" cy="217714"/>
    <xdr:sp macro="" textlink="">
      <xdr:nvSpPr>
        <xdr:cNvPr id="21" name="Text Box 81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>
          <a:spLocks noChangeArrowheads="1"/>
        </xdr:cNvSpPr>
      </xdr:nvSpPr>
      <xdr:spPr bwMode="auto">
        <a:xfrm>
          <a:off x="6057900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22" name="Text Box 82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104775" cy="217714"/>
    <xdr:sp macro="" textlink="">
      <xdr:nvSpPr>
        <xdr:cNvPr id="23" name="Text Box 83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>
          <a:spLocks noChangeArrowheads="1"/>
        </xdr:cNvSpPr>
      </xdr:nvSpPr>
      <xdr:spPr bwMode="auto">
        <a:xfrm>
          <a:off x="5648325" y="993457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152400</xdr:colOff>
      <xdr:row>29</xdr:row>
      <xdr:rowOff>85725</xdr:rowOff>
    </xdr:from>
    <xdr:to>
      <xdr:col>14</xdr:col>
      <xdr:colOff>228600</xdr:colOff>
      <xdr:row>45</xdr:row>
      <xdr:rowOff>28575</xdr:rowOff>
    </xdr:to>
    <xdr:graphicFrame macro="">
      <xdr:nvGraphicFramePr>
        <xdr:cNvPr id="24" name="Chart 1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9525</xdr:colOff>
      <xdr:row>30</xdr:row>
      <xdr:rowOff>47625</xdr:rowOff>
    </xdr:from>
    <xdr:to>
      <xdr:col>3</xdr:col>
      <xdr:colOff>66675</xdr:colOff>
      <xdr:row>31</xdr:row>
      <xdr:rowOff>38100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781050" y="6010275"/>
          <a:ext cx="457200" cy="180975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800"/>
            <a:t>(mm)</a:t>
          </a:r>
        </a:p>
      </xdr:txBody>
    </xdr:sp>
    <xdr:clientData/>
  </xdr:twoCellAnchor>
  <xdr:twoCellAnchor editAs="oneCell">
    <xdr:from>
      <xdr:col>0</xdr:col>
      <xdr:colOff>95250</xdr:colOff>
      <xdr:row>0</xdr:row>
      <xdr:rowOff>38100</xdr:rowOff>
    </xdr:from>
    <xdr:to>
      <xdr:col>2</xdr:col>
      <xdr:colOff>649818</xdr:colOff>
      <xdr:row>4</xdr:row>
      <xdr:rowOff>176100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38100"/>
          <a:ext cx="1926168" cy="900000"/>
        </a:xfrm>
        <a:prstGeom prst="rect">
          <a:avLst/>
        </a:prstGeom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0.0693</cdr:x>
      <cdr:y>0.01588</cdr:y>
    </cdr:from>
    <cdr:to>
      <cdr:x>0.0693</cdr:x>
      <cdr:y>0.03721</cdr:y>
    </cdr:to>
    <cdr:sp macro="" textlink="">
      <cdr:nvSpPr>
        <cdr:cNvPr id="202753" name="Tex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7633" y="53086"/>
          <a:ext cx="0" cy="67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MX" sz="6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N°200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0.0693</cdr:x>
      <cdr:y>0.01588</cdr:y>
    </cdr:from>
    <cdr:to>
      <cdr:x>0.0693</cdr:x>
      <cdr:y>0.03721</cdr:y>
    </cdr:to>
    <cdr:sp macro="" textlink="">
      <cdr:nvSpPr>
        <cdr:cNvPr id="202753" name="Texto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7633" y="53086"/>
          <a:ext cx="0" cy="67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vert="vert270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MX" sz="6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N°200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19" name="Text Box 8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0" name="Text Box 83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19050</xdr:colOff>
      <xdr:row>0</xdr:row>
      <xdr:rowOff>38100</xdr:rowOff>
    </xdr:from>
    <xdr:to>
      <xdr:col>3</xdr:col>
      <xdr:colOff>295275</xdr:colOff>
      <xdr:row>4</xdr:row>
      <xdr:rowOff>103505</xdr:rowOff>
    </xdr:to>
    <xdr:grpSp>
      <xdr:nvGrpSpPr>
        <xdr:cNvPr id="21" name="Grupo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pSpPr/>
      </xdr:nvGrpSpPr>
      <xdr:grpSpPr>
        <a:xfrm>
          <a:off x="19050" y="38100"/>
          <a:ext cx="1635125" cy="827405"/>
          <a:chOff x="0" y="0"/>
          <a:chExt cx="1604111" cy="827405"/>
        </a:xfrm>
      </xdr:grpSpPr>
      <xdr:grpSp>
        <xdr:nvGrpSpPr>
          <xdr:cNvPr id="22" name="Grupo 21"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GrpSpPr/>
        </xdr:nvGrpSpPr>
        <xdr:grpSpPr>
          <a:xfrm>
            <a:off x="0" y="20688"/>
            <a:ext cx="914400" cy="769620"/>
            <a:chOff x="-9122" y="0"/>
            <a:chExt cx="875760" cy="769620"/>
          </a:xfrm>
          <a:solidFill>
            <a:schemeClr val="bg1"/>
          </a:solidFill>
        </xdr:grpSpPr>
        <xdr:pic>
          <xdr:nvPicPr>
            <xdr:cNvPr id="24" name="Imagen 23">
              <a:extLst>
                <a:ext uri="{FF2B5EF4-FFF2-40B4-BE49-F238E27FC236}">
                  <a16:creationId xmlns:a16="http://schemas.microsoft.com/office/drawing/2014/main" id="{00000000-0008-0000-0400-000018000000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r="31669"/>
            <a:stretch/>
          </xdr:blipFill>
          <xdr:spPr bwMode="auto">
            <a:xfrm>
              <a:off x="0" y="0"/>
              <a:ext cx="858520" cy="535940"/>
            </a:xfrm>
            <a:prstGeom prst="rect">
              <a:avLst/>
            </a:prstGeom>
            <a:grpFill/>
            <a:ln>
              <a:noFill/>
            </a:ln>
            <a:extLst>
              <a:ext uri="{53640926-AAD7-44D8-BBD7-CCE9431645EC}">
                <a14:shadowObscured xmlns:a14="http://schemas.microsoft.com/office/drawing/2010/main"/>
              </a:ext>
            </a:extLst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</xdr:pic>
        <xdr:sp macro="" textlink="">
          <xdr:nvSpPr>
            <xdr:cNvPr id="25" name="Cuadro de texto 20">
              <a:extLst>
                <a:ext uri="{FF2B5EF4-FFF2-40B4-BE49-F238E27FC236}">
                  <a16:creationId xmlns:a16="http://schemas.microsoft.com/office/drawing/2014/main" id="{00000000-0008-0000-0400-000019000000}"/>
                </a:ext>
              </a:extLst>
            </xdr:cNvPr>
            <xdr:cNvSpPr txBox="1"/>
          </xdr:nvSpPr>
          <xdr:spPr>
            <a:xfrm>
              <a:off x="-9122" y="518160"/>
              <a:ext cx="875760" cy="251460"/>
            </a:xfrm>
            <a:prstGeom prst="rect">
              <a:avLst/>
            </a:prstGeom>
            <a:grpFill/>
            <a:ln>
              <a:noFill/>
            </a:ln>
          </xdr:spPr>
          <xdr:style>
            <a:lnRef idx="2">
              <a:schemeClr val="accent1"/>
            </a:lnRef>
            <a:fillRef idx="1">
              <a:schemeClr val="l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 algn="ctr">
                <a:lnSpc>
                  <a:spcPct val="107000"/>
                </a:lnSpc>
                <a:spcAft>
                  <a:spcPts val="0"/>
                </a:spcAft>
              </a:pPr>
              <a:r>
                <a:rPr lang="es-ES" sz="500">
                  <a:effectLst/>
                  <a:latin typeface="Century Gothic" panose="020B050202020202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ISO/IEC 17025:2017</a:t>
              </a:r>
              <a:endParaRPr lang="es-CO" sz="1100">
                <a:effectLst/>
                <a:ea typeface="Calibri" panose="020F0502020204030204" pitchFamily="34" charset="0"/>
                <a:cs typeface="Times New Roman" panose="02020603050405020304" pitchFamily="18" charset="0"/>
              </a:endParaRPr>
            </a:p>
            <a:p>
              <a:pPr algn="ctr">
                <a:lnSpc>
                  <a:spcPct val="107000"/>
                </a:lnSpc>
                <a:spcAft>
                  <a:spcPts val="0"/>
                </a:spcAft>
              </a:pPr>
              <a:r>
                <a:rPr lang="es-ES" sz="500">
                  <a:effectLst/>
                  <a:latin typeface="Century Gothic" panose="020B050202020202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19-LAB-016</a:t>
              </a:r>
              <a:endParaRPr lang="es-CO" sz="1100">
                <a:effectLst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xdr:grpSp>
      <xdr:pic>
        <xdr:nvPicPr>
          <xdr:cNvPr id="23" name="Imagen 22"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40" t="9419" r="1903" b="10248"/>
          <a:stretch/>
        </xdr:blipFill>
        <xdr:spPr bwMode="auto">
          <a:xfrm>
            <a:off x="955776" y="0"/>
            <a:ext cx="648335" cy="827405"/>
          </a:xfrm>
          <a:prstGeom prst="rect">
            <a:avLst/>
          </a:prstGeom>
          <a:noFill/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6" name="Text Box 33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7" name="Text Box 65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8" name="Text Box 66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9" name="Text Box 67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0" name="Text Box 68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1" name="Text Box 69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2" name="Text Box 70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3" name="Text Box 7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4" name="Text Box 7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5" name="Text Box 7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6" name="Text Box 74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7" name="Text Box 75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8" name="Text Box 76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40" name="Text Box 78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41" name="Text Box 79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42" name="Text Box 80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43" name="Text Box 8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44" name="Text Box 8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10" name="Text Box 72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11" name="Text Box 73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13" name="Text Box 75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14" name="Text Box 76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16" name="Text Box 78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17" name="Text Box 79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14</xdr:col>
      <xdr:colOff>0</xdr:colOff>
      <xdr:row>9</xdr:row>
      <xdr:rowOff>0</xdr:rowOff>
    </xdr:from>
    <xdr:ext cx="104775" cy="217714"/>
    <xdr:sp macro="" textlink="">
      <xdr:nvSpPr>
        <xdr:cNvPr id="18" name="Text Box 80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668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19" name="Text Box 82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9</xdr:row>
      <xdr:rowOff>0</xdr:rowOff>
    </xdr:from>
    <xdr:ext cx="104775" cy="217714"/>
    <xdr:sp macro="" textlink="">
      <xdr:nvSpPr>
        <xdr:cNvPr id="20" name="Text Box 83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9906000" y="1457325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95249</xdr:colOff>
      <xdr:row>0</xdr:row>
      <xdr:rowOff>95249</xdr:rowOff>
    </xdr:from>
    <xdr:ext cx="723901" cy="720000"/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95249"/>
          <a:ext cx="723901" cy="720000"/>
        </a:xfrm>
        <a:prstGeom prst="rect">
          <a:avLst/>
        </a:prstGeom>
      </xdr:spPr>
    </xdr:pic>
    <xdr:clientData/>
  </xdr:one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2" name="Text Box 3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3" name="Text Box 6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4" name="Text Box 6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5" name="Text Box 6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6" name="Text Box 68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7" name="Text Box 69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8" name="Text Box 70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29" name="Text Box 71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0" name="Text Box 72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1" name="Text Box 73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2" name="Text Box 74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3" name="Text Box 75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4" name="Text Box 76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6" name="Text Box 78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7" name="Text Box 79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38" name="Text Box 80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 txBox="1">
          <a:spLocks noChangeArrowheads="1"/>
        </xdr:cNvSpPr>
      </xdr:nvSpPr>
      <xdr:spPr bwMode="auto">
        <a:xfrm>
          <a:off x="59912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39" name="Text Box 82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104775</xdr:colOff>
      <xdr:row>9</xdr:row>
      <xdr:rowOff>217714</xdr:rowOff>
    </xdr:to>
    <xdr:sp macro="" textlink="">
      <xdr:nvSpPr>
        <xdr:cNvPr id="40" name="Text Box 83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 txBox="1">
          <a:spLocks noChangeArrowheads="1"/>
        </xdr:cNvSpPr>
      </xdr:nvSpPr>
      <xdr:spPr bwMode="auto">
        <a:xfrm>
          <a:off x="55435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" name="Text Box 33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62927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3" name="Text Box 6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594360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4" name="Text Box 66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562927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5" name="Text Box 67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 bwMode="auto">
        <a:xfrm>
          <a:off x="562927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6" name="Text Box 68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 bwMode="auto">
        <a:xfrm>
          <a:off x="594360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7" name="Text Box 69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>
          <a:spLocks noChangeArrowheads="1"/>
        </xdr:cNvSpPr>
      </xdr:nvSpPr>
      <xdr:spPr bwMode="auto">
        <a:xfrm>
          <a:off x="594360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>
          <a:spLocks noChangeArrowheads="1"/>
        </xdr:cNvSpPr>
      </xdr:nvSpPr>
      <xdr:spPr bwMode="auto">
        <a:xfrm>
          <a:off x="562927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9" name="Text Box 7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>
          <a:spLocks noChangeArrowheads="1"/>
        </xdr:cNvSpPr>
      </xdr:nvSpPr>
      <xdr:spPr bwMode="auto">
        <a:xfrm>
          <a:off x="562927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2" name="Text Box 74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>
          <a:spLocks noChangeArrowheads="1"/>
        </xdr:cNvSpPr>
      </xdr:nvSpPr>
      <xdr:spPr bwMode="auto">
        <a:xfrm>
          <a:off x="562927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212272</xdr:colOff>
      <xdr:row>0</xdr:row>
      <xdr:rowOff>121104</xdr:rowOff>
    </xdr:from>
    <xdr:ext cx="721178" cy="720000"/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272" y="121104"/>
          <a:ext cx="721178" cy="720000"/>
        </a:xfrm>
        <a:prstGeom prst="rect">
          <a:avLst/>
        </a:prstGeom>
      </xdr:spPr>
    </xdr:pic>
    <xdr:clientData/>
  </xdr:one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3" name="Text Box 33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14" name="Text Box 65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5" name="Text Box 66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16" name="Text Box 67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17" name="Text Box 68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19" name="Text Box 69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0" name="Text Box 70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1" name="Text Box 71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22" name="Text Box 72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23" name="Text Box 73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4" name="Text Box 74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14</xdr:col>
      <xdr:colOff>0</xdr:colOff>
      <xdr:row>9</xdr:row>
      <xdr:rowOff>0</xdr:rowOff>
    </xdr:from>
    <xdr:to>
      <xdr:col>14</xdr:col>
      <xdr:colOff>104775</xdr:colOff>
      <xdr:row>9</xdr:row>
      <xdr:rowOff>217714</xdr:rowOff>
    </xdr:to>
    <xdr:sp macro="" textlink="">
      <xdr:nvSpPr>
        <xdr:cNvPr id="25" name="Text Box 75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>
          <a:spLocks noChangeArrowheads="1"/>
        </xdr:cNvSpPr>
      </xdr:nvSpPr>
      <xdr:spPr bwMode="auto">
        <a:xfrm>
          <a:off x="5686425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26" name="Text Box 76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28" name="Text Box 80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0</xdr:colOff>
      <xdr:row>9</xdr:row>
      <xdr:rowOff>0</xdr:rowOff>
    </xdr:from>
    <xdr:to>
      <xdr:col>15</xdr:col>
      <xdr:colOff>104775</xdr:colOff>
      <xdr:row>9</xdr:row>
      <xdr:rowOff>217714</xdr:rowOff>
    </xdr:to>
    <xdr:sp macro="" textlink="">
      <xdr:nvSpPr>
        <xdr:cNvPr id="29" name="Text Box 81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 txBox="1">
          <a:spLocks noChangeArrowheads="1"/>
        </xdr:cNvSpPr>
      </xdr:nvSpPr>
      <xdr:spPr bwMode="auto">
        <a:xfrm>
          <a:off x="6000750" y="1714500"/>
          <a:ext cx="104775" cy="2177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iuBPMarco9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1.%20Calidad\1.%20Formatos\1.%20Formatos%20de%20informe\2.%20Apiques\Apique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MV\ESCRITORIO\2.%20Apiques%20.xlsb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aboratorio\9.Acreditacion\1.%20Control%20de%20documentos\2.%20Aprobaciones\39.%20Aprobaciones%202021-08\Mezcla%20en%20Fr&#237;o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9.Acreditacion\1.%20Control%20de%20documentos\2.%20Aprobaciones\41.%20Aprobaciones%202021-09%20(1)\GLAB-FM-098%20V3%20Formato%20Inf.%20ensayo%20de%20granulometria%20de%20mezcla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ocuments/Laboratorio2/9.%20Acreditacion/1.%20Control%20de%20documentos/2.%20Aprobaciones/Julio/GLAB-FM-099%20V1%20Inf.%20Control%20de%20la%20%20calidad%20de%20la%20%20mezcla%20asf&#225;ltica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MV\ESCRITORIO\Formatos%20acreditaci&#243;n\GLAB-FM-099%20V2%20Control%20de%20la%20calidad%20de%20la%20mezcla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9.Acreditacion\1.%20Control%20de%20documentos\2.%20Aprobaciones\40.%20Aprobaciones%202021-08%20(2)\GLAB-FM-029%20V7%20Formato%20Inf.%20Traccion%20indirecta%20TSR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-lab-12781\LABORATORIO\9.%20Acreditacion\Formatos%20Marzo\2.%20Apiques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MV\ESCRITORIO\Formatos%20acreditaci&#243;n\GLAB-FM-XXX%20V1%20Inf.%20733%20-%20735%20REVISADO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9.Acreditacion\1.%20Control%20de%20documentos\2.%20Aprobaciones\41.%20Aprobaciones%202021-09%20(1)\GLAB-FM-099%20V4%20Formato%20Inf.%20Estabilidad%20y%20fluj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1252098\COSTO%20DE%20PROPIEDAD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9.%20Acreditacion\1.%20Control%20de%20documentos\2.%20Aprobaciones\33.%20Aprobaciones%20marzo%202021\GLAB-FM-029%20V5%20Formato%20Inf.%20Tracci&#243;n%20Indirecta%20TSR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-lab-12781\laboratorio\1.%20Calidad\Formatos%20individuales\Informe\PRO-L-FM-006%20V6%20Inf.%20Equivalente%20de%20arena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-lab-12781\laboratorio\9.%20Acreditacion\Formatos%20Marzo\Clasificacion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Laboratorio\1.%20Calidad\1.%20GLAB\1.%20Formatos\1.%20Formatos%20de%20informe\2.%20Apiques\2.%20Apiques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6\Users\jennifer.arias\Desktop\LABORATORIO\1.%20Calidad\Formatos%20para%20digitar\7.%20Petreos\Mezcla\Agregado%20fino\Agregado%20fino%20(Mensual)M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esktop/Nueva%20carpeta/GLAB-FM-005%20V8%20Inf.%20Limite%20liquido,%20plastico%20e%20Indice%20de%20plasticidad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ocuments/Laboratorio2/9.%20Acreditacion/1.%20Control%20de%20documentos/2.%20Aprobaciones/Julio/GLAB-FM-005%20V9%20Inf.%20Limite%20liquido,%20plastico%20e%20Indice%20de%20plasticidad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-lab-12781\laboratorio\9.%20Acreditacion\Formatos%20Marzo\Agregado%20fino%20(Mensual)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ocuments/Laboratorio2/1.Calidad/1.%20Formatos%20de%20informe/2.%20Apiques/2.%20Apiques%20.xlsb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6\Users\Users\sonia.gaviria\Desktop\Formatos\PRO-L-FM-003%20V.1%20Humedad%20Natur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206\Users\Documents%20and%20Settings\DIANA%20PAO\Configuraci&#243;n%20local\Archivos%20temporales%20de%20Internet\Content.IE5\S1MFOXQ3\DATOS\Equipos\COSTO%20DE%20PROPIEDAD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9.Acreditacion\1.%20Control%20de%20documentos\2.%20Aprobaciones\40.%20Aprobaciones%202021-08%20(2)\GLAB-FM-030%20V13%20Formato%20Inf.%20control%20de%20la%20composicion%20mezcla%20caliente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73\Users\Sonia.gaviria\Desktop\CNSG\Nueva%20carpeta\Listo\Documents%20and%20Settings\DIANA%20PAO\Configuraci&#243;n%20local\Archivos%20temporales%20de%20Internet\Content.IE5\S1MFOXQ3\DATOS\Equipos\COSTO%20DE%20PROPIEDA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esktop/Formatos/Contenido%20de%20agua%20(Humedad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0445B2B\COSTO%20DE%20PROPIEDA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disco%20duro\irina\CLAS-BOG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ocuments/Laboratorio2/1.Calidad/1.%20Formatos%20de%20informe/7.%20Petreos/Concreto/Agregado%20Fino/Agregado%20fino%20(Mensual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ocalhost\D$\Laboratorio\1.%20Calidad\1.%20GLAB\1.%20Formatos\1.%20Formatos%20de%20informe\7.%20Petreos\FM%20013-%20014%20Gradaci&#243;n%20para%20%20concreto%20sept%20202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NDY.SASTOQUE/Documents/Laboratorio2/1.Calidad/1.%20Formatos%20de%20informe/7.%20Petreos/Mezcla%20asfaltica/Agregado%20fino/Agregado%20fino%20(Mensual).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aboratorio\1.%20Calidad\1.%20GLAB\1.%20Formatos\1.%20Formatos%20de%20informe\9.%20Mezcla%20asfaltica\GLAB-FM-164%20v2%20Inf.%20Granulometria%20sept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IU"/>
      <sheetName val="Program"/>
      <sheetName val="COSTOS"/>
      <sheetName val="EVA"/>
    </sheetNames>
    <sheetDataSet>
      <sheetData sheetId="0" refreshError="1">
        <row r="12">
          <cell r="D12">
            <v>3</v>
          </cell>
        </row>
        <row r="338">
          <cell r="C338" t="str">
            <v>Activos</v>
          </cell>
          <cell r="D338">
            <v>9750</v>
          </cell>
        </row>
        <row r="339">
          <cell r="C339" t="str">
            <v>Direcc.</v>
          </cell>
          <cell r="D339">
            <v>53970</v>
          </cell>
        </row>
        <row r="340">
          <cell r="C340" t="str">
            <v>Admon</v>
          </cell>
          <cell r="D340">
            <v>48583.5</v>
          </cell>
        </row>
        <row r="341">
          <cell r="C341" t="str">
            <v>Topog</v>
          </cell>
          <cell r="D341">
            <v>0</v>
          </cell>
        </row>
        <row r="342">
          <cell r="C342" t="str">
            <v>Taller</v>
          </cell>
          <cell r="D342">
            <v>2898</v>
          </cell>
        </row>
        <row r="343">
          <cell r="C343" t="str">
            <v>Operad.</v>
          </cell>
          <cell r="D343">
            <v>0</v>
          </cell>
        </row>
        <row r="344">
          <cell r="C344" t="str">
            <v>Vigilan.</v>
          </cell>
          <cell r="D344">
            <v>10836</v>
          </cell>
        </row>
        <row r="345">
          <cell r="C345" t="str">
            <v>Prestac</v>
          </cell>
          <cell r="D345">
            <v>66283.875</v>
          </cell>
        </row>
        <row r="346">
          <cell r="C346" t="str">
            <v>Honor</v>
          </cell>
          <cell r="D346">
            <v>6700</v>
          </cell>
        </row>
        <row r="347">
          <cell r="C347" t="str">
            <v>Impues</v>
          </cell>
          <cell r="D347">
            <v>98630.90675611388</v>
          </cell>
        </row>
        <row r="348">
          <cell r="C348" t="str">
            <v>Arrend</v>
          </cell>
          <cell r="D348">
            <v>11295</v>
          </cell>
        </row>
        <row r="349">
          <cell r="C349" t="str">
            <v>Segur</v>
          </cell>
          <cell r="D349">
            <v>30840.71727788596</v>
          </cell>
        </row>
        <row r="350">
          <cell r="C350" t="str">
            <v>Sevic</v>
          </cell>
          <cell r="D350">
            <v>7366.9087499999996</v>
          </cell>
        </row>
        <row r="351">
          <cell r="C351" t="str">
            <v>Legal</v>
          </cell>
          <cell r="D351">
            <v>1.1868038433000001</v>
          </cell>
        </row>
        <row r="352">
          <cell r="C352" t="str">
            <v>Manten</v>
          </cell>
          <cell r="D352">
            <v>1283.2009599999999</v>
          </cell>
        </row>
        <row r="353">
          <cell r="C353" t="str">
            <v>Adecu</v>
          </cell>
          <cell r="D353">
            <v>6090</v>
          </cell>
        </row>
        <row r="354">
          <cell r="C354" t="str">
            <v>Viaje</v>
          </cell>
          <cell r="D354">
            <v>3030</v>
          </cell>
        </row>
        <row r="355">
          <cell r="C355" t="str">
            <v>Divers</v>
          </cell>
          <cell r="D355">
            <v>132161.02532999997</v>
          </cell>
        </row>
        <row r="356">
          <cell r="C356" t="str">
            <v>Financ.</v>
          </cell>
          <cell r="D356">
            <v>360.00599999999997</v>
          </cell>
        </row>
        <row r="357">
          <cell r="C357" t="str">
            <v>Costos</v>
          </cell>
          <cell r="D357">
            <v>68623.484200000006</v>
          </cell>
        </row>
      </sheetData>
      <sheetData sheetId="1" refreshError="1">
        <row r="3">
          <cell r="B3">
            <v>3</v>
          </cell>
        </row>
        <row r="120">
          <cell r="B120">
            <v>608.87199999999996</v>
          </cell>
          <cell r="C120">
            <v>1834.31</v>
          </cell>
          <cell r="D120">
            <v>1512.259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</row>
      </sheetData>
      <sheetData sheetId="2" refreshError="1"/>
      <sheetData sheetId="3" refreshError="1">
        <row r="6">
          <cell r="D6">
            <v>1</v>
          </cell>
          <cell r="E6">
            <v>2</v>
          </cell>
          <cell r="F6">
            <v>3</v>
          </cell>
          <cell r="G6">
            <v>4</v>
          </cell>
          <cell r="H6">
            <v>5</v>
          </cell>
          <cell r="I6">
            <v>6</v>
          </cell>
          <cell r="J6">
            <v>7</v>
          </cell>
          <cell r="K6">
            <v>8</v>
          </cell>
          <cell r="L6">
            <v>9</v>
          </cell>
          <cell r="M6">
            <v>10</v>
          </cell>
          <cell r="N6">
            <v>11</v>
          </cell>
          <cell r="O6">
            <v>12</v>
          </cell>
          <cell r="P6">
            <v>13</v>
          </cell>
          <cell r="Q6">
            <v>14</v>
          </cell>
          <cell r="R6">
            <v>15</v>
          </cell>
          <cell r="S6">
            <v>16</v>
          </cell>
          <cell r="T6">
            <v>17</v>
          </cell>
          <cell r="U6">
            <v>18</v>
          </cell>
          <cell r="V6">
            <v>19</v>
          </cell>
          <cell r="W6">
            <v>20</v>
          </cell>
          <cell r="X6">
            <v>21</v>
          </cell>
          <cell r="Y6">
            <v>22</v>
          </cell>
          <cell r="Z6">
            <v>23</v>
          </cell>
          <cell r="AA6">
            <v>24</v>
          </cell>
          <cell r="AB6">
            <v>25</v>
          </cell>
          <cell r="AC6">
            <v>26</v>
          </cell>
          <cell r="AD6">
            <v>27</v>
          </cell>
        </row>
        <row r="39">
          <cell r="D39">
            <v>1730.192047133291</v>
          </cell>
          <cell r="E39">
            <v>0</v>
          </cell>
          <cell r="F39">
            <v>568.1776190974831</v>
          </cell>
          <cell r="G39">
            <v>1711.712623485239</v>
          </cell>
          <cell r="H39">
            <v>1411.1861246349654</v>
          </cell>
          <cell r="I39">
            <v>288.36534118888187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-163.02452898987548</v>
          </cell>
        </row>
        <row r="56">
          <cell r="D56">
            <v>-767.6282221604198</v>
          </cell>
          <cell r="E56">
            <v>-974.18899821035302</v>
          </cell>
          <cell r="F56">
            <v>-1650.8315993601529</v>
          </cell>
          <cell r="G56">
            <v>-1128.6689947358216</v>
          </cell>
          <cell r="H56">
            <v>-362.41393413528147</v>
          </cell>
          <cell r="I56">
            <v>0</v>
          </cell>
          <cell r="J56">
            <v>0</v>
          </cell>
          <cell r="K56">
            <v>-0.16814699999999999</v>
          </cell>
          <cell r="L56">
            <v>0</v>
          </cell>
          <cell r="M56">
            <v>-0.61653900000000006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-4.0400000000000001E-9</v>
          </cell>
        </row>
        <row r="58">
          <cell r="D58">
            <v>962.5638249728712</v>
          </cell>
          <cell r="E58">
            <v>-11.625173237481818</v>
          </cell>
          <cell r="F58">
            <v>-1094.2791535001516</v>
          </cell>
          <cell r="G58">
            <v>-511.23552475073416</v>
          </cell>
          <cell r="H58">
            <v>537.53666574894964</v>
          </cell>
          <cell r="I58">
            <v>825.90200693783152</v>
          </cell>
          <cell r="J58">
            <v>825.90200693783152</v>
          </cell>
          <cell r="K58">
            <v>825.73385993783154</v>
          </cell>
          <cell r="L58">
            <v>825.73385993783154</v>
          </cell>
          <cell r="M58">
            <v>825.11732093783155</v>
          </cell>
          <cell r="N58">
            <v>825.11732093783155</v>
          </cell>
          <cell r="O58">
            <v>825.11732093783155</v>
          </cell>
          <cell r="P58">
            <v>825.11732093783155</v>
          </cell>
          <cell r="Q58">
            <v>825.11732093783155</v>
          </cell>
          <cell r="R58">
            <v>825.11732093783155</v>
          </cell>
          <cell r="S58">
            <v>825.11732093783155</v>
          </cell>
          <cell r="T58">
            <v>825.11732093783155</v>
          </cell>
          <cell r="U58">
            <v>825.11732093783155</v>
          </cell>
          <cell r="V58">
            <v>825.11732093783155</v>
          </cell>
          <cell r="W58">
            <v>825.11732093783155</v>
          </cell>
          <cell r="X58">
            <v>825.11732093783155</v>
          </cell>
          <cell r="Y58">
            <v>825.11732093783155</v>
          </cell>
          <cell r="Z58">
            <v>825.11732093783155</v>
          </cell>
          <cell r="AA58">
            <v>825.11732093783155</v>
          </cell>
          <cell r="AB58">
            <v>825.11732093783155</v>
          </cell>
          <cell r="AC58">
            <v>825.11732093783155</v>
          </cell>
          <cell r="AD58">
            <v>662.09279194391604</v>
          </cell>
        </row>
        <row r="61">
          <cell r="D61">
            <v>962.5638249728712</v>
          </cell>
          <cell r="E61">
            <v>254.53053020849541</v>
          </cell>
          <cell r="F61">
            <v>-292.44877143628497</v>
          </cell>
          <cell r="G61">
            <v>149.81697550795735</v>
          </cell>
          <cell r="H61">
            <v>681.71933634339052</v>
          </cell>
          <cell r="I61">
            <v>825.90200693783152</v>
          </cell>
          <cell r="J61">
            <v>825.90200693783152</v>
          </cell>
          <cell r="K61">
            <v>825.73385993783154</v>
          </cell>
          <cell r="L61">
            <v>825.73385993783154</v>
          </cell>
          <cell r="M61">
            <v>825.11732093783155</v>
          </cell>
          <cell r="N61">
            <v>825.11732093783155</v>
          </cell>
          <cell r="O61">
            <v>825.11732093783155</v>
          </cell>
          <cell r="P61">
            <v>825.11732093783155</v>
          </cell>
          <cell r="Q61">
            <v>825.11732093783155</v>
          </cell>
          <cell r="R61">
            <v>825.11732093783155</v>
          </cell>
          <cell r="S61">
            <v>825.11732093783155</v>
          </cell>
          <cell r="T61">
            <v>825.11732093783155</v>
          </cell>
          <cell r="U61">
            <v>825.11732093783155</v>
          </cell>
          <cell r="V61">
            <v>825.11732093783155</v>
          </cell>
          <cell r="W61">
            <v>825.11732093783155</v>
          </cell>
          <cell r="X61">
            <v>825.11732093783155</v>
          </cell>
          <cell r="Y61">
            <v>825.11732093783155</v>
          </cell>
          <cell r="Z61">
            <v>825.11732093783155</v>
          </cell>
          <cell r="AA61">
            <v>825.11732093783155</v>
          </cell>
          <cell r="AB61">
            <v>825.11732093783155</v>
          </cell>
          <cell r="AC61">
            <v>825.11732093783155</v>
          </cell>
          <cell r="AD61">
            <v>662.09279194391604</v>
          </cell>
        </row>
        <row r="95">
          <cell r="F95">
            <v>412.9</v>
          </cell>
          <cell r="G95">
            <v>367</v>
          </cell>
          <cell r="H95">
            <v>321.10000000000002</v>
          </cell>
          <cell r="I95">
            <v>232</v>
          </cell>
          <cell r="K95">
            <v>3.0149999999999997</v>
          </cell>
        </row>
        <row r="96">
          <cell r="F96">
            <v>404.6</v>
          </cell>
          <cell r="G96">
            <v>358.70000000000005</v>
          </cell>
          <cell r="H96">
            <v>312.8</v>
          </cell>
          <cell r="I96">
            <v>223.7</v>
          </cell>
        </row>
        <row r="97">
          <cell r="F97">
            <v>396.3</v>
          </cell>
          <cell r="G97">
            <v>350.4</v>
          </cell>
          <cell r="H97">
            <v>304.5</v>
          </cell>
          <cell r="I97">
            <v>215.3</v>
          </cell>
        </row>
        <row r="98">
          <cell r="H98">
            <v>5339</v>
          </cell>
          <cell r="I98">
            <v>7.0000000000000007E-2</v>
          </cell>
        </row>
        <row r="99">
          <cell r="F99" t="str">
            <v>Localizacion Dato</v>
          </cell>
          <cell r="H99">
            <v>404.642</v>
          </cell>
          <cell r="I99">
            <v>404.642</v>
          </cell>
        </row>
        <row r="103">
          <cell r="F103">
            <v>30</v>
          </cell>
          <cell r="G103">
            <v>45</v>
          </cell>
          <cell r="H103">
            <v>60</v>
          </cell>
          <cell r="I103">
            <v>90</v>
          </cell>
        </row>
        <row r="104">
          <cell r="F104">
            <v>146.9</v>
          </cell>
          <cell r="G104">
            <v>119.85</v>
          </cell>
          <cell r="H104">
            <v>92.8</v>
          </cell>
          <cell r="I104">
            <v>40.4</v>
          </cell>
        </row>
        <row r="105">
          <cell r="F105">
            <v>412.9</v>
          </cell>
          <cell r="G105">
            <v>367</v>
          </cell>
          <cell r="H105">
            <v>321.10000000000002</v>
          </cell>
          <cell r="I105">
            <v>232</v>
          </cell>
        </row>
        <row r="106">
          <cell r="F106">
            <v>487.4</v>
          </cell>
          <cell r="G106">
            <v>457.25</v>
          </cell>
          <cell r="H106">
            <v>427.1</v>
          </cell>
          <cell r="I106">
            <v>368.5</v>
          </cell>
        </row>
        <row r="109">
          <cell r="G109">
            <v>0</v>
          </cell>
          <cell r="H109">
            <v>3752.1</v>
          </cell>
        </row>
        <row r="110">
          <cell r="G110">
            <v>7.0000000000000007E-2</v>
          </cell>
          <cell r="H110">
            <v>5339</v>
          </cell>
        </row>
        <row r="111">
          <cell r="G111">
            <v>0.1</v>
          </cell>
          <cell r="H111">
            <v>4193.5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CONCENCIONES USC"/>
      <sheetName val="1. PERFIL ESTRATIGRAFICO"/>
      <sheetName val="2. REG FOTOGRAFICO"/>
      <sheetName val="3. CONO DINAMICO"/>
      <sheetName val="firmas"/>
      <sheetName val="4. CLASIFICACION M1"/>
      <sheetName val="5. LIMITES M1"/>
      <sheetName val="5. LIMITES "/>
      <sheetName val="6. HUMEDAD M1"/>
      <sheetName val="6. HUMEDAD "/>
      <sheetName val="7. EQUIVALENTE M1"/>
      <sheetName val="7. M.O. M1"/>
      <sheetName val="8. CLASIFICACION M2"/>
      <sheetName val="9. LIMITES M2"/>
      <sheetName val="9. LIMITES  (M2)"/>
      <sheetName val="10. HUMEDAD M2"/>
      <sheetName val="10. HUMEDAD  (M2)"/>
      <sheetName val="11. EQUIVALENTE M2"/>
      <sheetName val="11. M.O.  M2"/>
      <sheetName val="12. CLASIFICACION M3"/>
      <sheetName val="13. LIMITES M3"/>
      <sheetName val="13. LIMITES  (M3)"/>
      <sheetName val="14. HUMEDAD M3"/>
      <sheetName val="14. HUMEDAD  (M3)"/>
      <sheetName val="15. EQUIVALENTE M3"/>
      <sheetName val="15. M.O.  M3"/>
    </sheetNames>
    <sheetDataSet>
      <sheetData sheetId="0" refreshError="1"/>
      <sheetData sheetId="1" refreshError="1"/>
      <sheetData sheetId="2">
        <row r="56">
          <cell r="A56" t="str">
            <v>--</v>
          </cell>
        </row>
      </sheetData>
      <sheetData sheetId="3" refreshError="1"/>
      <sheetData sheetId="4">
        <row r="32">
          <cell r="A32" t="str">
            <v>--</v>
          </cell>
        </row>
        <row r="39">
          <cell r="A39" t="str">
            <v>CINDY NATHALY SASTOQUE</v>
          </cell>
          <cell r="C39">
            <v>0</v>
          </cell>
        </row>
        <row r="40">
          <cell r="A40" t="str">
            <v>CONTRERAS WILINTONG</v>
          </cell>
          <cell r="C40">
            <v>0</v>
          </cell>
        </row>
        <row r="41">
          <cell r="A41" t="str">
            <v>--</v>
          </cell>
        </row>
      </sheetData>
      <sheetData sheetId="5">
        <row r="48">
          <cell r="J48" t="str">
            <v>--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48">
          <cell r="J48" t="str">
            <v>--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48">
          <cell r="J48" t="str">
            <v>--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NCIONES USC"/>
      <sheetName val="PERFIL ESTRATIGRAFICO"/>
      <sheetName val="REG FOTOGRAFICO"/>
      <sheetName val="CONO DINAMICO"/>
      <sheetName val="CLASIFICACION M1"/>
      <sheetName val="LIMITES M1"/>
      <sheetName val="HUMEDAD M1"/>
      <sheetName val="EQUIVALENTE"/>
      <sheetName val="M.O.  M1"/>
      <sheetName val="CLASIFICACION M2"/>
      <sheetName val="LIMITES M2"/>
      <sheetName val="HUMEDAD 2"/>
      <sheetName val="EQUIVALENTE M2"/>
      <sheetName val="M.O.  M2"/>
      <sheetName val="CLASIFICACION M3"/>
      <sheetName val="LIMITES M3"/>
      <sheetName val="HUMEDAD 3"/>
      <sheetName val="EQUIVALENTE M3"/>
      <sheetName val="M.O.  M3"/>
      <sheetName val="firmas"/>
      <sheetName val="#¡REF"/>
    </sheetNames>
    <sheetDataSet>
      <sheetData sheetId="0"/>
      <sheetData sheetId="1"/>
      <sheetData sheetId="2"/>
      <sheetData sheetId="3"/>
      <sheetData sheetId="4"/>
      <sheetData sheetId="5">
        <row r="24">
          <cell r="G24" t="str">
            <v/>
          </cell>
        </row>
      </sheetData>
      <sheetData sheetId="6">
        <row r="26">
          <cell r="H26" t="str">
            <v/>
          </cell>
        </row>
      </sheetData>
      <sheetData sheetId="7">
        <row r="23">
          <cell r="G23" t="str">
            <v/>
          </cell>
        </row>
      </sheetData>
      <sheetData sheetId="8">
        <row r="29">
          <cell r="C29" t="str">
            <v>--</v>
          </cell>
        </row>
      </sheetData>
      <sheetData sheetId="9">
        <row r="30">
          <cell r="E30" t="str">
            <v/>
          </cell>
        </row>
      </sheetData>
      <sheetData sheetId="10">
        <row r="24">
          <cell r="G24" t="str">
            <v/>
          </cell>
        </row>
      </sheetData>
      <sheetData sheetId="11">
        <row r="26">
          <cell r="H26" t="str">
            <v/>
          </cell>
        </row>
      </sheetData>
      <sheetData sheetId="12"/>
      <sheetData sheetId="13">
        <row r="23">
          <cell r="F23" t="str">
            <v/>
          </cell>
        </row>
        <row r="29">
          <cell r="C29" t="str">
            <v>--</v>
          </cell>
          <cell r="D29">
            <v>0</v>
          </cell>
          <cell r="E29">
            <v>0</v>
          </cell>
          <cell r="F29" t="str">
            <v>--</v>
          </cell>
          <cell r="G29">
            <v>0</v>
          </cell>
          <cell r="H29">
            <v>0</v>
          </cell>
          <cell r="I29" t="str">
            <v>--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</sheetData>
      <sheetData sheetId="14">
        <row r="30">
          <cell r="E30" t="str">
            <v/>
          </cell>
        </row>
      </sheetData>
      <sheetData sheetId="15">
        <row r="24">
          <cell r="G24" t="str">
            <v/>
          </cell>
        </row>
        <row r="52">
          <cell r="C52" t="str">
            <v>--</v>
          </cell>
          <cell r="D52">
            <v>0</v>
          </cell>
          <cell r="E52">
            <v>0</v>
          </cell>
        </row>
      </sheetData>
      <sheetData sheetId="16">
        <row r="26">
          <cell r="H26" t="str">
            <v/>
          </cell>
        </row>
      </sheetData>
      <sheetData sheetId="17"/>
      <sheetData sheetId="18">
        <row r="23">
          <cell r="F23" t="str">
            <v/>
          </cell>
        </row>
        <row r="29">
          <cell r="C29" t="str">
            <v>--</v>
          </cell>
          <cell r="D29">
            <v>0</v>
          </cell>
          <cell r="E29">
            <v>0</v>
          </cell>
          <cell r="F29" t="str">
            <v>--</v>
          </cell>
          <cell r="G29">
            <v>0</v>
          </cell>
          <cell r="H29">
            <v>0</v>
          </cell>
          <cell r="I29" t="str">
            <v>--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</sheetData>
      <sheetData sheetId="19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  <cell r="C5">
            <v>0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  <cell r="C9">
            <v>0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C11">
            <v>0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ALBARRACIN JAIRO</v>
          </cell>
          <cell r="C13">
            <v>0</v>
          </cell>
        </row>
        <row r="14">
          <cell r="A14" t="str">
            <v>GOMEZ LUIS CARLOS</v>
          </cell>
          <cell r="C14">
            <v>0</v>
          </cell>
        </row>
        <row r="15">
          <cell r="A15" t="str">
            <v>ALMONACID JIMMY</v>
          </cell>
          <cell r="C15">
            <v>0</v>
          </cell>
        </row>
        <row r="16">
          <cell r="A16" t="str">
            <v>CANO LUIS EDUARDO</v>
          </cell>
          <cell r="C16">
            <v>0</v>
          </cell>
        </row>
        <row r="17">
          <cell r="A17" t="str">
            <v>MONTENEGRO YON</v>
          </cell>
          <cell r="C17">
            <v>0</v>
          </cell>
        </row>
        <row r="18">
          <cell r="A18" t="str">
            <v>VILLANUEVA BRAYAN</v>
          </cell>
          <cell r="C18">
            <v>0</v>
          </cell>
        </row>
        <row r="19">
          <cell r="A19" t="str">
            <v>RINCON JOSE</v>
          </cell>
          <cell r="C19">
            <v>0</v>
          </cell>
        </row>
        <row r="20">
          <cell r="A20" t="str">
            <v xml:space="preserve">VELASQUEZ JUAN </v>
          </cell>
          <cell r="C20">
            <v>0</v>
          </cell>
        </row>
        <row r="21">
          <cell r="A21" t="str">
            <v xml:space="preserve">VAQUIRO JUAN  CAMILO </v>
          </cell>
          <cell r="C21">
            <v>0</v>
          </cell>
        </row>
        <row r="22">
          <cell r="A22" t="str">
            <v xml:space="preserve">RIOS JOSE </v>
          </cell>
          <cell r="C22">
            <v>0</v>
          </cell>
        </row>
        <row r="23">
          <cell r="A23">
            <v>0</v>
          </cell>
          <cell r="C23">
            <v>0</v>
          </cell>
        </row>
        <row r="24">
          <cell r="A24" t="str">
            <v>--</v>
          </cell>
          <cell r="C24">
            <v>0</v>
          </cell>
        </row>
        <row r="26">
          <cell r="A26" t="str">
            <v>ARIAS JENNIFER</v>
          </cell>
          <cell r="C26">
            <v>0</v>
          </cell>
        </row>
        <row r="27">
          <cell r="A27" t="str">
            <v xml:space="preserve">VARGAS PABLO </v>
          </cell>
          <cell r="C27">
            <v>0</v>
          </cell>
        </row>
        <row r="28">
          <cell r="A28" t="str">
            <v>--</v>
          </cell>
          <cell r="C28">
            <v>1</v>
          </cell>
        </row>
        <row r="29">
          <cell r="A29" t="str">
            <v>--</v>
          </cell>
          <cell r="C29">
            <v>0</v>
          </cell>
        </row>
        <row r="31">
          <cell r="A31" t="str">
            <v xml:space="preserve">VARGAS PABLO </v>
          </cell>
          <cell r="C31">
            <v>0</v>
          </cell>
        </row>
        <row r="32">
          <cell r="A32" t="str">
            <v>CONTRERAS WILINTONG</v>
          </cell>
          <cell r="C32">
            <v>0</v>
          </cell>
        </row>
        <row r="33">
          <cell r="A33" t="str">
            <v>--</v>
          </cell>
          <cell r="C33">
            <v>0</v>
          </cell>
        </row>
      </sheetData>
      <sheetData sheetId="2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82"/>
      <sheetName val="733 - 735"/>
      <sheetName val="748"/>
      <sheetName val="TSR"/>
      <sheetName val="firmas"/>
      <sheetName val="Hoja1"/>
    </sheetNames>
    <sheetDataSet>
      <sheetData sheetId="0"/>
      <sheetData sheetId="1">
        <row r="35">
          <cell r="I35" t="str">
            <v>--</v>
          </cell>
        </row>
      </sheetData>
      <sheetData sheetId="2"/>
      <sheetData sheetId="3">
        <row r="51">
          <cell r="F51" t="str">
            <v>--</v>
          </cell>
          <cell r="N51" t="str">
            <v>--</v>
          </cell>
          <cell r="V51" t="str">
            <v>--</v>
          </cell>
        </row>
      </sheetData>
      <sheetData sheetId="4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</row>
        <row r="14">
          <cell r="A14" t="str">
            <v>SAENZ JESSICA</v>
          </cell>
        </row>
        <row r="15">
          <cell r="A15" t="str">
            <v>PRADA CESAR</v>
          </cell>
        </row>
        <row r="16">
          <cell r="A16" t="str">
            <v xml:space="preserve">CORDOBA VICTOR </v>
          </cell>
        </row>
        <row r="17">
          <cell r="A17" t="str">
            <v>CANO LUIS EDUARDO</v>
          </cell>
        </row>
        <row r="18">
          <cell r="A18" t="str">
            <v>GALVIS DANIEL</v>
          </cell>
        </row>
        <row r="19">
          <cell r="A19" t="str">
            <v>GOMEZ LUIS CARLOS</v>
          </cell>
        </row>
        <row r="20">
          <cell r="A20" t="str">
            <v xml:space="preserve">VELASQUEZ JUAN CAMILO </v>
          </cell>
        </row>
        <row r="21">
          <cell r="A21" t="str">
            <v>RIAÑO JOSE</v>
          </cell>
        </row>
        <row r="22">
          <cell r="A22" t="str">
            <v xml:space="preserve">QUIÑONES ETIEL </v>
          </cell>
        </row>
        <row r="23">
          <cell r="A23" t="str">
            <v>VANEGAS BRAYAN</v>
          </cell>
        </row>
        <row r="24">
          <cell r="A24" t="str">
            <v>RIOS JOSE</v>
          </cell>
        </row>
        <row r="25">
          <cell r="A25" t="str">
            <v xml:space="preserve">VAQUIRO JUAN CAMILO </v>
          </cell>
        </row>
        <row r="26">
          <cell r="A26" t="str">
            <v xml:space="preserve">RINCON ALVARO JOSE </v>
          </cell>
        </row>
        <row r="27">
          <cell r="A27" t="str">
            <v>MONTENEGRO EDGAR</v>
          </cell>
        </row>
        <row r="28">
          <cell r="A28" t="str">
            <v>PRADA PEDRO</v>
          </cell>
        </row>
        <row r="29">
          <cell r="A29" t="str">
            <v>JUNCO DIEGO</v>
          </cell>
        </row>
        <row r="30">
          <cell r="A30" t="str">
            <v>SUAREZ DIEGO</v>
          </cell>
        </row>
        <row r="31">
          <cell r="A31" t="str">
            <v>GONZALEZ CAMILO</v>
          </cell>
        </row>
        <row r="32">
          <cell r="A32" t="str">
            <v>--</v>
          </cell>
          <cell r="C32">
            <v>1</v>
          </cell>
        </row>
        <row r="33">
          <cell r="A33" t="str">
            <v>VILLALBA ROBINSSON</v>
          </cell>
        </row>
        <row r="35">
          <cell r="A35" t="str">
            <v>RINCON SATURNINO</v>
          </cell>
          <cell r="C35">
            <v>1</v>
          </cell>
        </row>
        <row r="36">
          <cell r="A36" t="str">
            <v>JENNYFER ARIAS</v>
          </cell>
        </row>
        <row r="37">
          <cell r="A37" t="str">
            <v>--</v>
          </cell>
          <cell r="C37">
            <v>1</v>
          </cell>
        </row>
        <row r="38">
          <cell r="A38" t="str">
            <v>--</v>
          </cell>
        </row>
        <row r="40">
          <cell r="A40" t="str">
            <v>CINDY NATHALY SASTOQUE</v>
          </cell>
        </row>
        <row r="41">
          <cell r="A41" t="str">
            <v>CONTRERAS WILINTONG</v>
          </cell>
        </row>
        <row r="42">
          <cell r="A42" t="str">
            <v>--</v>
          </cell>
        </row>
      </sheetData>
      <sheetData sheetId="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782"/>
      <sheetName val="733 - 735"/>
      <sheetName val="748"/>
      <sheetName val="TSR"/>
      <sheetName val="firmas"/>
      <sheetName val="Hoja1"/>
    </sheetNames>
    <sheetDataSet>
      <sheetData sheetId="0">
        <row r="6">
          <cell r="AB6" t="str">
            <v>N° 8</v>
          </cell>
        </row>
      </sheetData>
      <sheetData sheetId="1">
        <row r="35">
          <cell r="I35" t="str">
            <v>--</v>
          </cell>
        </row>
      </sheetData>
      <sheetData sheetId="2" refreshError="1"/>
      <sheetData sheetId="3">
        <row r="51">
          <cell r="F51" t="str">
            <v>--</v>
          </cell>
          <cell r="N51" t="str">
            <v>--</v>
          </cell>
          <cell r="V51" t="str">
            <v>--</v>
          </cell>
        </row>
      </sheetData>
      <sheetData sheetId="4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</row>
        <row r="14">
          <cell r="A14" t="str">
            <v>SAENZ JESSICA</v>
          </cell>
        </row>
        <row r="15">
          <cell r="A15" t="str">
            <v>PRADA CESAR</v>
          </cell>
        </row>
        <row r="16">
          <cell r="A16" t="str">
            <v xml:space="preserve">CORDOBA VICTOR </v>
          </cell>
        </row>
        <row r="17">
          <cell r="A17" t="str">
            <v>CANO LUIS EDUARDO</v>
          </cell>
        </row>
        <row r="18">
          <cell r="A18" t="str">
            <v>GALVIS DANIEL</v>
          </cell>
        </row>
        <row r="19">
          <cell r="A19" t="str">
            <v>GOMEZ LUIS CARLOS</v>
          </cell>
        </row>
        <row r="20">
          <cell r="A20" t="str">
            <v xml:space="preserve">VELASQUEZ JUAN CAMILO </v>
          </cell>
        </row>
        <row r="21">
          <cell r="A21" t="str">
            <v>RIAÑO JOSE</v>
          </cell>
        </row>
        <row r="22">
          <cell r="A22" t="str">
            <v xml:space="preserve">QUIÑONES ETIEL </v>
          </cell>
        </row>
        <row r="23">
          <cell r="A23" t="str">
            <v>VANEGAS BRAYAN</v>
          </cell>
        </row>
        <row r="24">
          <cell r="A24" t="str">
            <v>RIOS JOSE</v>
          </cell>
        </row>
        <row r="25">
          <cell r="A25" t="str">
            <v xml:space="preserve">VAQUIRO JUAN CAMILO </v>
          </cell>
        </row>
        <row r="26">
          <cell r="A26" t="str">
            <v xml:space="preserve">RINCON ALVARO JOSE </v>
          </cell>
        </row>
        <row r="27">
          <cell r="A27" t="str">
            <v>MONTENEGRO EDGAR</v>
          </cell>
        </row>
        <row r="28">
          <cell r="A28" t="str">
            <v>PRADA PEDRO</v>
          </cell>
        </row>
        <row r="29">
          <cell r="A29" t="str">
            <v>JUNCO DIEGO</v>
          </cell>
        </row>
        <row r="30">
          <cell r="A30" t="str">
            <v>SUAREZ DIEGO</v>
          </cell>
        </row>
        <row r="31">
          <cell r="A31" t="str">
            <v>GONZALEZ CAMILO</v>
          </cell>
        </row>
        <row r="32">
          <cell r="A32" t="str">
            <v>--</v>
          </cell>
          <cell r="C32">
            <v>1</v>
          </cell>
        </row>
        <row r="33">
          <cell r="A33" t="str">
            <v>VILLALBA ROBINSSON</v>
          </cell>
        </row>
        <row r="35">
          <cell r="A35" t="str">
            <v>RINCON SATURNINO</v>
          </cell>
          <cell r="C35">
            <v>1</v>
          </cell>
        </row>
        <row r="36">
          <cell r="A36" t="str">
            <v>JENNYFER ARIAS</v>
          </cell>
        </row>
        <row r="37">
          <cell r="A37" t="str">
            <v>--</v>
          </cell>
          <cell r="C37">
            <v>1</v>
          </cell>
        </row>
        <row r="38">
          <cell r="A38" t="str">
            <v>--</v>
          </cell>
        </row>
        <row r="40">
          <cell r="A40" t="str">
            <v>CINDY NATHALY SASTOQUE</v>
          </cell>
        </row>
        <row r="41">
          <cell r="A41" t="str">
            <v>CONTRERAS WILINTONG</v>
          </cell>
        </row>
        <row r="42">
          <cell r="A42" t="str">
            <v>--</v>
          </cell>
        </row>
      </sheetData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733 "/>
      <sheetName val="748"/>
      <sheetName val="MD-12 UMV  (6)"/>
      <sheetName val="TSR"/>
      <sheetName val="firmas"/>
      <sheetName val="Hoja1"/>
      <sheetName val="Formato"/>
    </sheetNames>
    <sheetDataSet>
      <sheetData sheetId="0">
        <row r="10">
          <cell r="E10">
            <v>0</v>
          </cell>
        </row>
      </sheetData>
      <sheetData sheetId="1">
        <row r="17">
          <cell r="M17" t="str">
            <v/>
          </cell>
        </row>
      </sheetData>
      <sheetData sheetId="2">
        <row r="16">
          <cell r="M16" t="str">
            <v/>
          </cell>
        </row>
      </sheetData>
      <sheetData sheetId="3"/>
      <sheetData sheetId="4">
        <row r="35">
          <cell r="G35" t="str">
            <v/>
          </cell>
        </row>
      </sheetData>
      <sheetData sheetId="5"/>
      <sheetData sheetId="6">
        <row r="51">
          <cell r="F51" t="str">
            <v>--</v>
          </cell>
          <cell r="N51" t="str">
            <v>--</v>
          </cell>
          <cell r="V51" t="str">
            <v>--</v>
          </cell>
        </row>
      </sheetData>
      <sheetData sheetId="7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ACHIARDI LEONARDO</v>
          </cell>
          <cell r="C9">
            <v>8</v>
          </cell>
        </row>
        <row r="10">
          <cell r="A10" t="str">
            <v>OSPINA JUAN GABRIEL</v>
          </cell>
        </row>
        <row r="11">
          <cell r="A11" t="str">
            <v>SUAREZ  WILLIAM</v>
          </cell>
          <cell r="C11">
            <v>9</v>
          </cell>
        </row>
        <row r="12">
          <cell r="A12" t="str">
            <v>YARA FABIAN</v>
          </cell>
        </row>
        <row r="13">
          <cell r="A13" t="str">
            <v>RINCON SATURNINO</v>
          </cell>
          <cell r="C13">
            <v>1</v>
          </cell>
        </row>
        <row r="14">
          <cell r="A14" t="str">
            <v xml:space="preserve">MOLINA JOSE </v>
          </cell>
        </row>
        <row r="15">
          <cell r="A15" t="str">
            <v>ALBARRACIN JAIRO</v>
          </cell>
        </row>
        <row r="16">
          <cell r="A16" t="str">
            <v>ALMONACID JIMMY</v>
          </cell>
        </row>
        <row r="17">
          <cell r="A17" t="str">
            <v>CANO LUIS EDUARDO</v>
          </cell>
        </row>
        <row r="19">
          <cell r="A19" t="str">
            <v>GOMEZ LUIS CARLOS</v>
          </cell>
        </row>
        <row r="21">
          <cell r="A21" t="str">
            <v>PATIÑO MARLON</v>
          </cell>
        </row>
        <row r="22">
          <cell r="A22" t="str">
            <v>PRIETO YULY PAOLA</v>
          </cell>
        </row>
        <row r="23">
          <cell r="A23" t="str">
            <v>SASTOQUE CINDY</v>
          </cell>
        </row>
        <row r="24">
          <cell r="A24" t="str">
            <v>TEUTA DIEGO</v>
          </cell>
        </row>
        <row r="25">
          <cell r="A25" t="str">
            <v>VARGAS RODOLFO</v>
          </cell>
        </row>
        <row r="26">
          <cell r="A26" t="str">
            <v>VILLANUEVA BRAYAN</v>
          </cell>
        </row>
        <row r="27">
          <cell r="A27" t="str">
            <v>--</v>
          </cell>
        </row>
        <row r="29">
          <cell r="A29" t="str">
            <v>ARIAS JENNIFER</v>
          </cell>
        </row>
        <row r="30">
          <cell r="A30" t="str">
            <v xml:space="preserve">VARGAS PABLO </v>
          </cell>
        </row>
        <row r="31">
          <cell r="C31">
            <v>1</v>
          </cell>
        </row>
        <row r="32">
          <cell r="A32" t="str">
            <v>--</v>
          </cell>
        </row>
        <row r="34">
          <cell r="A34" t="str">
            <v xml:space="preserve">VARGAS PABLO </v>
          </cell>
        </row>
        <row r="35">
          <cell r="A35" t="str">
            <v>CONTRERAS WILINTONG</v>
          </cell>
        </row>
        <row r="36">
          <cell r="A36" t="str">
            <v>--</v>
          </cell>
        </row>
      </sheetData>
      <sheetData sheetId="8"/>
      <sheetData sheetId="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TSR (2)"/>
      <sheetName val="firmas (2)"/>
      <sheetName val="748"/>
      <sheetName val="TSR"/>
      <sheetName val="firmas"/>
      <sheetName val="Hoja1"/>
    </sheetNames>
    <sheetDataSet>
      <sheetData sheetId="0">
        <row r="6">
          <cell r="E6" t="str">
            <v/>
          </cell>
        </row>
      </sheetData>
      <sheetData sheetId="1"/>
      <sheetData sheetId="2"/>
      <sheetData sheetId="3"/>
      <sheetData sheetId="4"/>
      <sheetData sheetId="5"/>
      <sheetData sheetId="6">
        <row r="51">
          <cell r="F51" t="str">
            <v>ACHIARDI LEONARDO</v>
          </cell>
          <cell r="N51" t="str">
            <v xml:space="preserve">VARGAS PABLO </v>
          </cell>
          <cell r="V51" t="str">
            <v>CONTRERAS WILINTONG</v>
          </cell>
        </row>
      </sheetData>
      <sheetData sheetId="7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ACHIARDI LEONARDO</v>
          </cell>
          <cell r="C9">
            <v>8</v>
          </cell>
        </row>
        <row r="10">
          <cell r="A10" t="str">
            <v>OSPINA JUAN GABRIEL</v>
          </cell>
        </row>
        <row r="11">
          <cell r="A11" t="str">
            <v>SUAREZ  WILLIAM</v>
          </cell>
          <cell r="C11">
            <v>9</v>
          </cell>
        </row>
        <row r="12">
          <cell r="A12" t="str">
            <v>YARA FABIAN</v>
          </cell>
        </row>
        <row r="13">
          <cell r="A13" t="str">
            <v>RINCON SATURNINO</v>
          </cell>
          <cell r="C13">
            <v>1</v>
          </cell>
        </row>
        <row r="14">
          <cell r="A14" t="str">
            <v xml:space="preserve">MOLINA JOSE </v>
          </cell>
        </row>
        <row r="15">
          <cell r="A15" t="str">
            <v>ALBARRACIN JAIRO</v>
          </cell>
        </row>
        <row r="16">
          <cell r="A16" t="str">
            <v>ALMONACID JIMMY</v>
          </cell>
        </row>
        <row r="17">
          <cell r="A17" t="str">
            <v>CANO LUIS EDUARDO</v>
          </cell>
        </row>
        <row r="19">
          <cell r="A19" t="str">
            <v>GOMEZ LUIS CARLOS</v>
          </cell>
        </row>
        <row r="21">
          <cell r="A21" t="str">
            <v>PATIÑO MARLON</v>
          </cell>
        </row>
        <row r="22">
          <cell r="A22" t="str">
            <v>PRIETO YULY PAOLA</v>
          </cell>
        </row>
        <row r="23">
          <cell r="A23" t="str">
            <v>SASTOQUE CINDY</v>
          </cell>
        </row>
        <row r="24">
          <cell r="A24" t="str">
            <v>TEUTA DIEGO</v>
          </cell>
        </row>
        <row r="25">
          <cell r="A25" t="str">
            <v>VARGAS RODOLFO</v>
          </cell>
        </row>
        <row r="26">
          <cell r="A26" t="str">
            <v>VILLANUEVA BRAYAN</v>
          </cell>
        </row>
        <row r="27">
          <cell r="A27" t="str">
            <v>--</v>
          </cell>
        </row>
        <row r="29">
          <cell r="A29" t="str">
            <v>ARIAS JENNIFER</v>
          </cell>
        </row>
        <row r="30">
          <cell r="A30" t="str">
            <v xml:space="preserve">VARGAS PABLO </v>
          </cell>
        </row>
        <row r="31">
          <cell r="A31" t="str">
            <v>--</v>
          </cell>
          <cell r="C31">
            <v>1</v>
          </cell>
        </row>
        <row r="32">
          <cell r="A32" t="str">
            <v>--</v>
          </cell>
        </row>
        <row r="34">
          <cell r="A34" t="str">
            <v xml:space="preserve">VARGAS PABLO </v>
          </cell>
        </row>
        <row r="35">
          <cell r="A35" t="str">
            <v>CONTRERAS WILINTONG</v>
          </cell>
        </row>
        <row r="36">
          <cell r="A36" t="str">
            <v>--</v>
          </cell>
        </row>
      </sheetData>
      <sheetData sheetId="8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733 - 735"/>
      <sheetName val="748"/>
      <sheetName val="TSR"/>
      <sheetName val="firmas"/>
      <sheetName val="Hoja1"/>
    </sheetNames>
    <sheetDataSet>
      <sheetData sheetId="0" refreshError="1"/>
      <sheetData sheetId="1" refreshError="1"/>
      <sheetData sheetId="2" refreshError="1"/>
      <sheetData sheetId="3">
        <row r="30">
          <cell r="G30" t="str">
            <v/>
          </cell>
        </row>
      </sheetData>
      <sheetData sheetId="4" refreshError="1"/>
      <sheetData sheetId="5"/>
      <sheetData sheetId="6">
        <row r="31">
          <cell r="A31" t="str">
            <v>RINCON SATURNINO</v>
          </cell>
          <cell r="C31">
            <v>1</v>
          </cell>
        </row>
        <row r="32">
          <cell r="A32" t="str">
            <v>JENNYFER ARIAS</v>
          </cell>
        </row>
        <row r="33">
          <cell r="A33" t="str">
            <v>--</v>
          </cell>
          <cell r="C33">
            <v>1</v>
          </cell>
        </row>
        <row r="36">
          <cell r="A36" t="str">
            <v>CINDY NATHALY SASTOQUE</v>
          </cell>
        </row>
        <row r="37">
          <cell r="A37" t="str">
            <v>CONTRERAS WILINTONG</v>
          </cell>
        </row>
        <row r="38">
          <cell r="A38" t="str">
            <v>--</v>
          </cell>
        </row>
      </sheetData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NCIONES USC"/>
      <sheetName val="PERFIL ESTRATIGRAFICO"/>
      <sheetName val="REG FOTOGRAFICO"/>
      <sheetName val="CONO DINAMICO"/>
      <sheetName val="EQUIVALENTE"/>
      <sheetName val="M.O.  M1"/>
      <sheetName val="CLASIFICACION M2"/>
      <sheetName val="M.O.  M2"/>
      <sheetName val="CLASIFICACION M3"/>
      <sheetName val="M.O.  M3"/>
      <sheetName val="firmas"/>
    </sheetNames>
    <sheetDataSet>
      <sheetData sheetId="0" refreshError="1"/>
      <sheetData sheetId="1" refreshError="1"/>
      <sheetData sheetId="2" refreshError="1">
        <row r="55">
          <cell r="F55" t="str">
            <v>--</v>
          </cell>
          <cell r="J55" t="str">
            <v>--</v>
          </cell>
          <cell r="N55" t="str">
            <v>--</v>
          </cell>
        </row>
      </sheetData>
      <sheetData sheetId="3" refreshError="1">
        <row r="57">
          <cell r="C57" t="str">
            <v>--</v>
          </cell>
          <cell r="G57" t="str">
            <v>--</v>
          </cell>
          <cell r="L57" t="str">
            <v>--</v>
          </cell>
        </row>
      </sheetData>
      <sheetData sheetId="4" refreshError="1">
        <row r="29">
          <cell r="G29" t="str">
            <v>--</v>
          </cell>
        </row>
      </sheetData>
      <sheetData sheetId="5" refreshError="1"/>
      <sheetData sheetId="6" refreshError="1">
        <row r="61">
          <cell r="E61" t="str">
            <v>--</v>
          </cell>
          <cell r="J61" t="str">
            <v>--</v>
          </cell>
          <cell r="N61" t="str">
            <v>--</v>
          </cell>
        </row>
      </sheetData>
      <sheetData sheetId="7" refreshError="1">
        <row r="27">
          <cell r="C27" t="str">
            <v>--</v>
          </cell>
          <cell r="F27" t="str">
            <v>--</v>
          </cell>
          <cell r="I27" t="str">
            <v>--</v>
          </cell>
        </row>
      </sheetData>
      <sheetData sheetId="8" refreshError="1">
        <row r="61">
          <cell r="E61" t="str">
            <v>--</v>
          </cell>
          <cell r="J61" t="str">
            <v>--</v>
          </cell>
          <cell r="N61" t="str">
            <v>--</v>
          </cell>
        </row>
      </sheetData>
      <sheetData sheetId="9" refreshError="1">
        <row r="27">
          <cell r="C27" t="str">
            <v>--</v>
          </cell>
          <cell r="F27" t="str">
            <v>--</v>
          </cell>
          <cell r="I27" t="str">
            <v>--</v>
          </cell>
        </row>
      </sheetData>
      <sheetData sheetId="10" refreshError="1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B11" t="str">
            <v>Laboratorista</v>
          </cell>
        </row>
        <row r="12">
          <cell r="A12" t="str">
            <v>RINCON SATURNINO</v>
          </cell>
          <cell r="B12" t="str">
            <v>Coordinador Operativo</v>
          </cell>
          <cell r="C12">
            <v>1</v>
          </cell>
        </row>
        <row r="13">
          <cell r="A13" t="str">
            <v xml:space="preserve">MOLINA JOSE </v>
          </cell>
          <cell r="B13" t="str">
            <v>Auxiliar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8">
          <cell r="A18" t="str">
            <v>GOMEZ LUIS CARLOS</v>
          </cell>
        </row>
        <row r="20">
          <cell r="A20" t="str">
            <v>PATIÑO MARLON</v>
          </cell>
        </row>
        <row r="21">
          <cell r="A21" t="str">
            <v>PRIETO YULY PAOLA</v>
          </cell>
        </row>
        <row r="22">
          <cell r="A22" t="str">
            <v>SASTOQUE CINDY</v>
          </cell>
        </row>
        <row r="23">
          <cell r="A23" t="str">
            <v>TEUTA DIEGO</v>
          </cell>
        </row>
        <row r="24">
          <cell r="A24" t="str">
            <v>VARGAS RODOLFO</v>
          </cell>
        </row>
        <row r="25">
          <cell r="A25" t="str">
            <v>VILLANUEVA BRAYAN</v>
          </cell>
        </row>
        <row r="26">
          <cell r="A26" t="str">
            <v>--</v>
          </cell>
        </row>
        <row r="28">
          <cell r="A28" t="str">
            <v>ARIAS JENNIFER</v>
          </cell>
          <cell r="B28" t="str">
            <v>Analista  técnico</v>
          </cell>
        </row>
        <row r="29">
          <cell r="A29" t="str">
            <v>RINCON SATURNINO</v>
          </cell>
          <cell r="B29" t="str">
            <v>Coordinador operativo</v>
          </cell>
        </row>
        <row r="30">
          <cell r="C30">
            <v>1</v>
          </cell>
        </row>
        <row r="31">
          <cell r="A31" t="str">
            <v>--</v>
          </cell>
        </row>
        <row r="33">
          <cell r="A33" t="str">
            <v xml:space="preserve">VARGAS PABLO </v>
          </cell>
        </row>
        <row r="34">
          <cell r="A34" t="str">
            <v>RIVERA MERCY</v>
          </cell>
        </row>
        <row r="35">
          <cell r="A35" t="str">
            <v>--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733 - 735"/>
      <sheetName val="748"/>
      <sheetName val="TSR"/>
      <sheetName val="firmas"/>
      <sheetName val="Hoja1"/>
    </sheetNames>
    <sheetDataSet>
      <sheetData sheetId="0"/>
      <sheetData sheetId="1"/>
      <sheetData sheetId="2"/>
      <sheetData sheetId="3"/>
      <sheetData sheetId="4"/>
      <sheetData sheetId="5">
        <row r="51">
          <cell r="F51" t="str">
            <v>--</v>
          </cell>
        </row>
      </sheetData>
      <sheetData sheetId="6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ACHIARDI LEONARDO</v>
          </cell>
          <cell r="C9">
            <v>8</v>
          </cell>
        </row>
        <row r="10">
          <cell r="A10" t="str">
            <v>OSPINA JUAN GABRIEL</v>
          </cell>
        </row>
        <row r="11">
          <cell r="A11" t="str">
            <v>SUAREZ  WILLIAM</v>
          </cell>
          <cell r="C11">
            <v>9</v>
          </cell>
        </row>
        <row r="12">
          <cell r="A12" t="str">
            <v>YARA FABIAN</v>
          </cell>
        </row>
        <row r="13">
          <cell r="A13" t="str">
            <v>RINCON SATURNINO</v>
          </cell>
          <cell r="C13">
            <v>1</v>
          </cell>
        </row>
        <row r="14">
          <cell r="A14" t="str">
            <v xml:space="preserve">MOLINA JOSE </v>
          </cell>
        </row>
        <row r="15">
          <cell r="A15" t="str">
            <v>ALBARRACIN JAIRO</v>
          </cell>
        </row>
        <row r="16">
          <cell r="A16" t="str">
            <v>ALMONACID JIMMY</v>
          </cell>
        </row>
        <row r="17">
          <cell r="A17" t="str">
            <v>CANO LUIS EDUARDO</v>
          </cell>
        </row>
        <row r="19">
          <cell r="A19" t="str">
            <v>GOMEZ LUIS CARLOS</v>
          </cell>
        </row>
        <row r="21">
          <cell r="A21" t="str">
            <v>PATIÑO MARLON</v>
          </cell>
        </row>
        <row r="22">
          <cell r="A22" t="str">
            <v>PRIETO YULY PAOLA</v>
          </cell>
        </row>
        <row r="23">
          <cell r="A23" t="str">
            <v>SASTOQUE CINDY</v>
          </cell>
        </row>
        <row r="24">
          <cell r="A24" t="str">
            <v>TEUTA DIEGO</v>
          </cell>
        </row>
        <row r="25">
          <cell r="A25" t="str">
            <v>VARGAS RODOLFO</v>
          </cell>
        </row>
        <row r="26">
          <cell r="A26" t="str">
            <v>VILLANUEVA BRAYAN</v>
          </cell>
        </row>
        <row r="27">
          <cell r="A27" t="str">
            <v>--</v>
          </cell>
        </row>
        <row r="29">
          <cell r="A29" t="str">
            <v>RINCON SATURNINO</v>
          </cell>
          <cell r="C29">
            <v>1</v>
          </cell>
        </row>
        <row r="30">
          <cell r="A30" t="str">
            <v xml:space="preserve">VARGAS PABLO </v>
          </cell>
        </row>
        <row r="31">
          <cell r="A31" t="str">
            <v>--</v>
          </cell>
          <cell r="C31">
            <v>1</v>
          </cell>
        </row>
        <row r="32">
          <cell r="A32" t="str">
            <v>--</v>
          </cell>
        </row>
        <row r="34">
          <cell r="A34" t="str">
            <v xml:space="preserve">VARGAS PABLO </v>
          </cell>
        </row>
        <row r="35">
          <cell r="A35" t="str">
            <v>CONTRERAS WILINTONG</v>
          </cell>
        </row>
        <row r="36">
          <cell r="A36" t="str">
            <v>--</v>
          </cell>
        </row>
      </sheetData>
      <sheetData sheetId="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733 - 735"/>
      <sheetName val="748"/>
      <sheetName val="TSR"/>
      <sheetName val="firmas"/>
      <sheetName val="Hoja1"/>
    </sheetNames>
    <sheetDataSet>
      <sheetData sheetId="0">
        <row r="22">
          <cell r="K22" t="str">
            <v/>
          </cell>
        </row>
      </sheetData>
      <sheetData sheetId="1">
        <row r="18">
          <cell r="M18" t="str">
            <v/>
          </cell>
        </row>
      </sheetData>
      <sheetData sheetId="2">
        <row r="17">
          <cell r="M17" t="str">
            <v/>
          </cell>
        </row>
      </sheetData>
      <sheetData sheetId="3">
        <row r="8">
          <cell r="E8" t="str">
            <v/>
          </cell>
        </row>
        <row r="35">
          <cell r="I35" t="str">
            <v>--</v>
          </cell>
        </row>
      </sheetData>
      <sheetData sheetId="4"/>
      <sheetData sheetId="5"/>
      <sheetData sheetId="6">
        <row r="34">
          <cell r="A34" t="str">
            <v>RINCON SATURNINO</v>
          </cell>
          <cell r="C34">
            <v>1</v>
          </cell>
        </row>
        <row r="35">
          <cell r="A35" t="str">
            <v>JENNYFER ARIAS</v>
          </cell>
        </row>
        <row r="36">
          <cell r="A36" t="str">
            <v>--</v>
          </cell>
          <cell r="C36">
            <v>1</v>
          </cell>
        </row>
        <row r="39">
          <cell r="A39" t="str">
            <v>CINDY NATHALY SASTOQUE</v>
          </cell>
        </row>
        <row r="40">
          <cell r="A40" t="str">
            <v>CONTRERAS WILINTONG</v>
          </cell>
        </row>
        <row r="41">
          <cell r="A41" t="str">
            <v>--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733 - 735"/>
      <sheetName val="748"/>
      <sheetName val="TSR"/>
      <sheetName val="firmas"/>
      <sheetName val="Hoja1"/>
    </sheetNames>
    <sheetDataSet>
      <sheetData sheetId="0">
        <row r="5">
          <cell r="R5" t="str">
            <v>Gerencia de Producción</v>
          </cell>
        </row>
      </sheetData>
      <sheetData sheetId="1"/>
      <sheetData sheetId="2"/>
      <sheetData sheetId="3">
        <row r="30">
          <cell r="G30" t="str">
            <v/>
          </cell>
        </row>
        <row r="35">
          <cell r="I35" t="str">
            <v>--</v>
          </cell>
        </row>
      </sheetData>
      <sheetData sheetId="4"/>
      <sheetData sheetId="5"/>
      <sheetData sheetId="6">
        <row r="3">
          <cell r="A3" t="str">
            <v>CHAPARRO CARLOS</v>
          </cell>
          <cell r="C3">
            <v>2</v>
          </cell>
        </row>
        <row r="4">
          <cell r="A4" t="str">
            <v>CORDOBA ALEXANDER</v>
          </cell>
          <cell r="C4">
            <v>3</v>
          </cell>
        </row>
        <row r="5">
          <cell r="A5" t="str">
            <v>CRISTANCHO VICTOR</v>
          </cell>
          <cell r="C5">
            <v>7</v>
          </cell>
        </row>
        <row r="6">
          <cell r="A6" t="str">
            <v>DIAZ CESAR</v>
          </cell>
        </row>
        <row r="7">
          <cell r="A7" t="str">
            <v>FLOREZ KAREN</v>
          </cell>
          <cell r="C7">
            <v>6</v>
          </cell>
        </row>
        <row r="8">
          <cell r="A8" t="str">
            <v>GALVIS DAVID</v>
          </cell>
          <cell r="C8">
            <v>4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</row>
        <row r="15">
          <cell r="A15" t="str">
            <v>PRADA CESAR</v>
          </cell>
        </row>
        <row r="17">
          <cell r="A17" t="str">
            <v>CANO LUIS EDUARDO</v>
          </cell>
        </row>
        <row r="18">
          <cell r="A18" t="str">
            <v>GALVIS DANIEL</v>
          </cell>
        </row>
        <row r="19">
          <cell r="A19" t="str">
            <v>GOMEZ LUIS CARLOS</v>
          </cell>
        </row>
        <row r="20">
          <cell r="A20" t="str">
            <v xml:space="preserve">VELASQUEZ JUAN CAMILO </v>
          </cell>
        </row>
        <row r="21">
          <cell r="A21" t="str">
            <v xml:space="preserve">QUIÑONES ETIEL </v>
          </cell>
        </row>
        <row r="23">
          <cell r="A23" t="str">
            <v>RIOS JOSE</v>
          </cell>
        </row>
        <row r="24">
          <cell r="A24" t="str">
            <v xml:space="preserve">VAQUIRO JUAN CAMILO </v>
          </cell>
        </row>
        <row r="25">
          <cell r="A25" t="str">
            <v xml:space="preserve">RINCON ALVARO JOSE </v>
          </cell>
        </row>
        <row r="26">
          <cell r="A26" t="str">
            <v>CABALLERO YESID</v>
          </cell>
        </row>
        <row r="27">
          <cell r="A27" t="str">
            <v xml:space="preserve">ACERO ROBERTO </v>
          </cell>
        </row>
        <row r="28">
          <cell r="A28" t="str">
            <v>GONZALEZ CAMILO</v>
          </cell>
        </row>
        <row r="29">
          <cell r="A29" t="str">
            <v>GARCIA JOSE</v>
          </cell>
        </row>
        <row r="31">
          <cell r="A31" t="str">
            <v>RINCON SATURNINO</v>
          </cell>
          <cell r="C31">
            <v>1</v>
          </cell>
        </row>
        <row r="32">
          <cell r="A32" t="str">
            <v>JENNYFER ARIAS</v>
          </cell>
        </row>
        <row r="33">
          <cell r="C33">
            <v>1</v>
          </cell>
        </row>
        <row r="34">
          <cell r="A34" t="str">
            <v>--</v>
          </cell>
        </row>
        <row r="36">
          <cell r="A36" t="str">
            <v>CINDY NATHALY SASTOQUE</v>
          </cell>
        </row>
        <row r="37">
          <cell r="A37" t="str">
            <v>CONTRERAS WILINTONG</v>
          </cell>
        </row>
        <row r="38">
          <cell r="A38" t="str">
            <v>--</v>
          </cell>
        </row>
      </sheetData>
      <sheetData sheetId="7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BG"/>
      <sheetName val="Gradacion "/>
      <sheetName val="Desgaste"/>
      <sheetName val="Microdeval "/>
      <sheetName val="10% De Finos"/>
      <sheetName val="Solidez"/>
      <sheetName val="LIMITES"/>
      <sheetName val="EQUIVALENTE"/>
      <sheetName val="TERRONES DE ARCILL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43">
          <cell r="G43" t="str">
            <v>--</v>
          </cell>
        </row>
      </sheetData>
      <sheetData sheetId="1">
        <row r="46">
          <cell r="I46" t="str">
            <v>--</v>
          </cell>
        </row>
      </sheetData>
      <sheetData sheetId="2">
        <row r="38">
          <cell r="F38" t="str">
            <v>--</v>
          </cell>
        </row>
      </sheetData>
      <sheetData sheetId="3">
        <row r="44">
          <cell r="I44" t="str">
            <v>--</v>
          </cell>
        </row>
      </sheetData>
      <sheetData sheetId="4">
        <row r="23">
          <cell r="D23" t="str">
            <v>--</v>
          </cell>
        </row>
      </sheetData>
      <sheetData sheetId="5">
        <row r="47">
          <cell r="H47" t="str">
            <v>--</v>
          </cell>
        </row>
      </sheetData>
      <sheetData sheetId="6">
        <row r="47">
          <cell r="C47" t="str">
            <v>--</v>
          </cell>
        </row>
      </sheetData>
      <sheetData sheetId="7"/>
      <sheetData sheetId="8">
        <row r="27">
          <cell r="C27" t="str">
            <v>--</v>
          </cell>
        </row>
      </sheetData>
      <sheetData sheetId="9">
        <row r="43">
          <cell r="G43" t="str">
            <v>--</v>
          </cell>
          <cell r="M43" t="str">
            <v>--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 t="str">
            <v>--</v>
          </cell>
        </row>
      </sheetData>
      <sheetData sheetId="10">
        <row r="29">
          <cell r="L29" t="str">
            <v>--</v>
          </cell>
          <cell r="W29" t="str">
            <v>--</v>
          </cell>
          <cell r="X29">
            <v>0</v>
          </cell>
          <cell r="AK29" t="str">
            <v>--</v>
          </cell>
        </row>
        <row r="30">
          <cell r="W30">
            <v>0</v>
          </cell>
          <cell r="X30">
            <v>0</v>
          </cell>
        </row>
        <row r="31">
          <cell r="W31">
            <v>0</v>
          </cell>
          <cell r="X31">
            <v>0</v>
          </cell>
        </row>
        <row r="32">
          <cell r="W32">
            <v>0</v>
          </cell>
          <cell r="X32">
            <v>0</v>
          </cell>
        </row>
        <row r="33">
          <cell r="W33">
            <v>0</v>
          </cell>
          <cell r="X33">
            <v>0</v>
          </cell>
        </row>
      </sheetData>
      <sheetData sheetId="11">
        <row r="42">
          <cell r="C42" t="str">
            <v>--</v>
          </cell>
          <cell r="F42" t="str">
            <v>--</v>
          </cell>
          <cell r="I42" t="str">
            <v>--</v>
          </cell>
        </row>
      </sheetData>
      <sheetData sheetId="12">
        <row r="55">
          <cell r="AL55" t="str">
            <v>--</v>
          </cell>
          <cell r="AM55">
            <v>0</v>
          </cell>
          <cell r="AN55" t="str">
            <v>--</v>
          </cell>
          <cell r="AO55">
            <v>0</v>
          </cell>
          <cell r="AP55" t="str">
            <v>--</v>
          </cell>
          <cell r="AQ55">
            <v>0</v>
          </cell>
        </row>
      </sheetData>
      <sheetData sheetId="13">
        <row r="55">
          <cell r="C55" t="str">
            <v>--</v>
          </cell>
          <cell r="E55" t="str">
            <v>--</v>
          </cell>
          <cell r="F55">
            <v>0</v>
          </cell>
          <cell r="G55" t="str">
            <v>--</v>
          </cell>
          <cell r="H55">
            <v>0</v>
          </cell>
        </row>
      </sheetData>
      <sheetData sheetId="14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  <cell r="C5">
            <v>0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MANCILLA EDGAR</v>
          </cell>
          <cell r="C8">
            <v>8</v>
          </cell>
        </row>
        <row r="9">
          <cell r="A9" t="str">
            <v>OSPINA JUAN GABRIEL</v>
          </cell>
          <cell r="C9">
            <v>0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C11">
            <v>0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  <cell r="C13">
            <v>0</v>
          </cell>
        </row>
        <row r="14">
          <cell r="A14" t="str">
            <v>ALBARRACIN JAIRO</v>
          </cell>
          <cell r="C14">
            <v>0</v>
          </cell>
        </row>
        <row r="15">
          <cell r="A15" t="str">
            <v>ALMONACID JIMMY</v>
          </cell>
          <cell r="C15">
            <v>0</v>
          </cell>
        </row>
        <row r="16">
          <cell r="A16" t="str">
            <v>CANO LUIS EDUARDO</v>
          </cell>
          <cell r="C16">
            <v>0</v>
          </cell>
        </row>
        <row r="17">
          <cell r="A17" t="str">
            <v>GALVIS DANIEL</v>
          </cell>
          <cell r="C17">
            <v>0</v>
          </cell>
        </row>
        <row r="18">
          <cell r="A18" t="str">
            <v>GOMEZ LUIS CARLOS</v>
          </cell>
          <cell r="C18">
            <v>0</v>
          </cell>
        </row>
        <row r="19">
          <cell r="A19" t="str">
            <v>FAJARDO HUGO</v>
          </cell>
          <cell r="C19">
            <v>0</v>
          </cell>
        </row>
        <row r="20">
          <cell r="A20" t="str">
            <v>PATIÑO MARLON</v>
          </cell>
          <cell r="C20">
            <v>0</v>
          </cell>
        </row>
        <row r="21">
          <cell r="A21" t="str">
            <v>PRIETO YULY PAOLA</v>
          </cell>
          <cell r="C21">
            <v>0</v>
          </cell>
        </row>
        <row r="22">
          <cell r="A22" t="str">
            <v>SASTOQUE CINDY</v>
          </cell>
          <cell r="C22">
            <v>0</v>
          </cell>
        </row>
        <row r="23">
          <cell r="A23" t="str">
            <v>TEUTA DIEGO</v>
          </cell>
          <cell r="C23">
            <v>0</v>
          </cell>
        </row>
        <row r="24">
          <cell r="A24" t="str">
            <v>VARGAS RODOLFO</v>
          </cell>
          <cell r="C24">
            <v>0</v>
          </cell>
        </row>
        <row r="25">
          <cell r="A25" t="str">
            <v>VILLANUEVA BRAYAN</v>
          </cell>
          <cell r="C25">
            <v>0</v>
          </cell>
        </row>
        <row r="26">
          <cell r="A26" t="str">
            <v>--</v>
          </cell>
          <cell r="C26">
            <v>0</v>
          </cell>
        </row>
        <row r="28">
          <cell r="A28" t="str">
            <v>ARIAS JENNIFER</v>
          </cell>
          <cell r="C28">
            <v>0</v>
          </cell>
        </row>
        <row r="29">
          <cell r="A29" t="str">
            <v>ARIAS JEIMY</v>
          </cell>
          <cell r="C29">
            <v>0</v>
          </cell>
        </row>
        <row r="30">
          <cell r="A30" t="str">
            <v>RINCON SATURNINO</v>
          </cell>
          <cell r="C30">
            <v>1</v>
          </cell>
        </row>
        <row r="31">
          <cell r="A31" t="str">
            <v>--</v>
          </cell>
          <cell r="C31">
            <v>0</v>
          </cell>
        </row>
        <row r="33">
          <cell r="A33" t="str">
            <v>GAVIRIA SONIA</v>
          </cell>
          <cell r="C33">
            <v>0</v>
          </cell>
        </row>
        <row r="34">
          <cell r="A34" t="str">
            <v>RIVERA MERCY</v>
          </cell>
          <cell r="C34">
            <v>0</v>
          </cell>
        </row>
        <row r="35">
          <cell r="A35" t="str">
            <v>--</v>
          </cell>
          <cell r="C35">
            <v>0</v>
          </cell>
        </row>
      </sheetData>
      <sheetData sheetId="15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ASIFICACION M1"/>
    </sheetNames>
    <sheetDataSet>
      <sheetData sheetId="0">
        <row r="18">
          <cell r="C18">
            <v>50</v>
          </cell>
        </row>
        <row r="61">
          <cell r="E61" t="str">
            <v>--</v>
          </cell>
          <cell r="J61" t="str">
            <v>--</v>
          </cell>
          <cell r="N61" t="str">
            <v>--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NCIONES USC"/>
      <sheetName val="PERFIL ESTRATIGRAFICO"/>
      <sheetName val="REG FOTOGRAFICO"/>
      <sheetName val="CONO DINAMICO"/>
      <sheetName val="CLASIFICACION M1"/>
      <sheetName val="LIMITES M1"/>
      <sheetName val="HUMEDAD M1"/>
      <sheetName val="EQUIVALENTE M1"/>
      <sheetName val="M.O.  M1"/>
      <sheetName val="CLASIFICACION M2"/>
      <sheetName val="LIMITES M2"/>
      <sheetName val="HUMEDAD 2"/>
      <sheetName val="EQUIVALENTE M2"/>
      <sheetName val="M.O.  M2"/>
      <sheetName val="CLASIFICACION M3"/>
      <sheetName val="LIMITES M3"/>
      <sheetName val="HUMEDAD 2 (2)"/>
      <sheetName val="EQUIVALENTE M3"/>
      <sheetName val="M.O.  M3"/>
      <sheetName val="firm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">
          <cell r="E6" t="str">
            <v/>
          </cell>
        </row>
        <row r="48">
          <cell r="J48" t="str">
            <v>--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26">
          <cell r="A26" t="str">
            <v>--</v>
          </cell>
        </row>
        <row r="33">
          <cell r="A33" t="str">
            <v>VARGAS PABLO</v>
          </cell>
        </row>
        <row r="34">
          <cell r="A34" t="str">
            <v>CONTRERAS WILINTONG</v>
          </cell>
        </row>
        <row r="35">
          <cell r="A35" t="str">
            <v>--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"/>
      <sheetName val="RESUMEN BG"/>
      <sheetName val="Gradacion "/>
      <sheetName val="HUMEDAD"/>
      <sheetName val="Solidez"/>
      <sheetName val="ANGULARIDAD"/>
      <sheetName val="INV 222-13"/>
      <sheetName val="GRAVEDAD"/>
      <sheetName val="Desgaste"/>
      <sheetName val="Microdeval "/>
      <sheetName val="10% De Finos"/>
      <sheetName val="LIMITES"/>
      <sheetName val="EQUIVALENTE"/>
      <sheetName val="TERRONES DE ARCILLA"/>
      <sheetName val="CF - IF "/>
      <sheetName val="PROCTOR"/>
      <sheetName val=" CBR 1"/>
      <sheetName val=" CBR (2)"/>
      <sheetName val="firmas"/>
      <sheetName val="Hoja1"/>
    </sheetNames>
    <sheetDataSet>
      <sheetData sheetId="0">
        <row r="45">
          <cell r="G45" t="str">
            <v>--</v>
          </cell>
        </row>
      </sheetData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9">
          <cell r="D29" t="str">
            <v>--</v>
          </cell>
          <cell r="G29" t="str">
            <v>--</v>
          </cell>
          <cell r="J29" t="str">
            <v>--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MANCILLA EDGAR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3">
          <cell r="A13" t="str">
            <v>ACHIARDI LEONARDO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7">
          <cell r="A17" t="str">
            <v>GALVIS DANIEL</v>
          </cell>
        </row>
        <row r="18">
          <cell r="A18" t="str">
            <v>GOMEZ LUIS CARLOS</v>
          </cell>
        </row>
        <row r="19">
          <cell r="A19" t="str">
            <v>FAJARDO HUGO</v>
          </cell>
        </row>
        <row r="20">
          <cell r="A20" t="str">
            <v>PATIÑO MARLON</v>
          </cell>
        </row>
        <row r="21">
          <cell r="A21" t="str">
            <v>PRIETO YULY PAOLA</v>
          </cell>
        </row>
        <row r="22">
          <cell r="A22" t="str">
            <v>SASTOQUE CINDY</v>
          </cell>
        </row>
        <row r="23">
          <cell r="A23" t="str">
            <v>TEUTA DIEGO</v>
          </cell>
        </row>
        <row r="24">
          <cell r="A24" t="str">
            <v>VARGAS RODOLFO</v>
          </cell>
        </row>
        <row r="25">
          <cell r="A25" t="str">
            <v>VILLANUEVA BRAYAN</v>
          </cell>
        </row>
        <row r="26">
          <cell r="A26" t="str">
            <v>--</v>
          </cell>
        </row>
        <row r="28">
          <cell r="A28" t="str">
            <v>ARIAS JENNIFER</v>
          </cell>
        </row>
        <row r="29">
          <cell r="A29" t="str">
            <v>ARIAS JEIMY</v>
          </cell>
        </row>
        <row r="30">
          <cell r="A30" t="str">
            <v>RINCON SATURNINO</v>
          </cell>
          <cell r="C30">
            <v>1</v>
          </cell>
        </row>
        <row r="31">
          <cell r="A31" t="str">
            <v>--</v>
          </cell>
        </row>
        <row r="33">
          <cell r="A33" t="str">
            <v>GAVIRIA SONIA</v>
          </cell>
        </row>
        <row r="34">
          <cell r="A34" t="str">
            <v>RIVERA MERCY</v>
          </cell>
        </row>
        <row r="35">
          <cell r="A35" t="str">
            <v>--</v>
          </cell>
        </row>
      </sheetData>
      <sheetData sheetId="1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dacion "/>
      <sheetName val="Desgaste"/>
      <sheetName val="Microdeval "/>
      <sheetName val="10% De Finos"/>
      <sheetName val="Solidez"/>
      <sheetName val="Desgaste "/>
      <sheetName val="LIMITES "/>
      <sheetName val="EQUIVALENTE"/>
      <sheetName val="TERRONES DE ARCILL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46">
          <cell r="I46" t="str">
            <v>--</v>
          </cell>
        </row>
      </sheetData>
      <sheetData sheetId="1">
        <row r="38">
          <cell r="F38" t="str">
            <v>--</v>
          </cell>
        </row>
      </sheetData>
      <sheetData sheetId="2">
        <row r="44">
          <cell r="I44" t="str">
            <v>--</v>
          </cell>
        </row>
      </sheetData>
      <sheetData sheetId="3">
        <row r="23">
          <cell r="D23" t="str">
            <v>--</v>
          </cell>
        </row>
      </sheetData>
      <sheetData sheetId="4">
        <row r="47">
          <cell r="H47" t="str">
            <v>--</v>
          </cell>
        </row>
      </sheetData>
      <sheetData sheetId="5">
        <row r="36">
          <cell r="F36" t="str">
            <v>MANCILLA EDGAR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 t="str">
            <v>ARIAS JENNIFER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 t="str">
            <v>GAVIRIA SONIA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6"/>
      <sheetData sheetId="7">
        <row r="29">
          <cell r="D29" t="str">
            <v>--</v>
          </cell>
        </row>
      </sheetData>
      <sheetData sheetId="8">
        <row r="27">
          <cell r="C27" t="str">
            <v>--</v>
          </cell>
        </row>
      </sheetData>
      <sheetData sheetId="9">
        <row r="43">
          <cell r="G43" t="str">
            <v>--</v>
          </cell>
        </row>
      </sheetData>
      <sheetData sheetId="10">
        <row r="29">
          <cell r="L29" t="str">
            <v>--</v>
          </cell>
        </row>
      </sheetData>
      <sheetData sheetId="11">
        <row r="42">
          <cell r="C42" t="str">
            <v>--</v>
          </cell>
        </row>
      </sheetData>
      <sheetData sheetId="12">
        <row r="55">
          <cell r="AL55" t="str">
            <v>--</v>
          </cell>
        </row>
      </sheetData>
      <sheetData sheetId="13">
        <row r="55">
          <cell r="C55" t="str">
            <v>--</v>
          </cell>
        </row>
      </sheetData>
      <sheetData sheetId="14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  <cell r="C5">
            <v>0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  <cell r="C9">
            <v>0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C11">
            <v>0</v>
          </cell>
        </row>
        <row r="12">
          <cell r="A12" t="str">
            <v>RINCON SATURNINO</v>
          </cell>
          <cell r="C12">
            <v>1</v>
          </cell>
        </row>
        <row r="13">
          <cell r="A13">
            <v>0</v>
          </cell>
          <cell r="C13">
            <v>0</v>
          </cell>
        </row>
        <row r="14">
          <cell r="A14" t="str">
            <v>ALBARRACIN JAIRO</v>
          </cell>
          <cell r="C14">
            <v>0</v>
          </cell>
        </row>
        <row r="15">
          <cell r="A15" t="str">
            <v>ALMONACID JIMMY</v>
          </cell>
          <cell r="C15">
            <v>0</v>
          </cell>
        </row>
        <row r="16">
          <cell r="A16" t="str">
            <v>CANO LUIS EDUARDO</v>
          </cell>
          <cell r="C16">
            <v>0</v>
          </cell>
        </row>
        <row r="17">
          <cell r="A17">
            <v>0</v>
          </cell>
          <cell r="C17">
            <v>0</v>
          </cell>
        </row>
        <row r="18">
          <cell r="A18" t="str">
            <v>GOMEZ LUIS CARLOS</v>
          </cell>
          <cell r="C18">
            <v>0</v>
          </cell>
        </row>
        <row r="19">
          <cell r="A19">
            <v>0</v>
          </cell>
          <cell r="C19">
            <v>0</v>
          </cell>
        </row>
        <row r="20">
          <cell r="A20" t="str">
            <v>PATIÑO MARLON</v>
          </cell>
          <cell r="C20">
            <v>0</v>
          </cell>
        </row>
        <row r="21">
          <cell r="A21" t="str">
            <v>PRIETO YULY PAOLA</v>
          </cell>
          <cell r="C21">
            <v>0</v>
          </cell>
        </row>
        <row r="22">
          <cell r="A22" t="str">
            <v>SASTOQUE CINDY</v>
          </cell>
          <cell r="C22">
            <v>0</v>
          </cell>
        </row>
        <row r="23">
          <cell r="A23" t="str">
            <v>TEUTA DIEGO</v>
          </cell>
          <cell r="C23">
            <v>0</v>
          </cell>
        </row>
        <row r="24">
          <cell r="A24" t="str">
            <v>VARGAS RODOLFO</v>
          </cell>
          <cell r="C24">
            <v>0</v>
          </cell>
        </row>
        <row r="25">
          <cell r="A25" t="str">
            <v>VILLANUEVA BRAYAN</v>
          </cell>
          <cell r="C25">
            <v>0</v>
          </cell>
        </row>
        <row r="26">
          <cell r="A26" t="str">
            <v>--</v>
          </cell>
          <cell r="C26">
            <v>0</v>
          </cell>
        </row>
        <row r="28">
          <cell r="A28" t="str">
            <v>ARIAS JENNIFER</v>
          </cell>
          <cell r="C28">
            <v>0</v>
          </cell>
        </row>
        <row r="29">
          <cell r="A29" t="str">
            <v>RINCON SATURNINO</v>
          </cell>
          <cell r="C29">
            <v>0</v>
          </cell>
        </row>
        <row r="30">
          <cell r="A30">
            <v>0</v>
          </cell>
          <cell r="C30">
            <v>1</v>
          </cell>
        </row>
        <row r="31">
          <cell r="A31" t="str">
            <v>--</v>
          </cell>
          <cell r="C31">
            <v>0</v>
          </cell>
        </row>
        <row r="33">
          <cell r="A33" t="str">
            <v xml:space="preserve">VARGAS PABLO </v>
          </cell>
          <cell r="C33">
            <v>0</v>
          </cell>
        </row>
        <row r="34">
          <cell r="A34" t="str">
            <v>RIVERA MERCY</v>
          </cell>
          <cell r="C34">
            <v>0</v>
          </cell>
        </row>
        <row r="35">
          <cell r="A35" t="str">
            <v>--</v>
          </cell>
          <cell r="C35">
            <v>0</v>
          </cell>
        </row>
      </sheetData>
      <sheetData sheetId="1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dacion "/>
      <sheetName val="Desgaste"/>
      <sheetName val="Microdeval "/>
      <sheetName val="10% De Finos"/>
      <sheetName val="Solidez"/>
      <sheetName val="Desgaste "/>
      <sheetName val="LIMITES "/>
      <sheetName val="EQUIVALENTE"/>
      <sheetName val="TERRONES DE ARCILL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46">
          <cell r="I46" t="str">
            <v>--</v>
          </cell>
        </row>
      </sheetData>
      <sheetData sheetId="1">
        <row r="38">
          <cell r="F38" t="str">
            <v>--</v>
          </cell>
        </row>
      </sheetData>
      <sheetData sheetId="2">
        <row r="44">
          <cell r="I44" t="str">
            <v>--</v>
          </cell>
        </row>
      </sheetData>
      <sheetData sheetId="3">
        <row r="23">
          <cell r="D23" t="str">
            <v>--</v>
          </cell>
        </row>
      </sheetData>
      <sheetData sheetId="4">
        <row r="47">
          <cell r="H47" t="str">
            <v>--</v>
          </cell>
        </row>
      </sheetData>
      <sheetData sheetId="5">
        <row r="36">
          <cell r="F36" t="str">
            <v>MANCILLA EDGAR</v>
          </cell>
          <cell r="M36" t="str">
            <v>ARIAS JENNIFER</v>
          </cell>
          <cell r="T36" t="str">
            <v>GAVIRIA SONIA</v>
          </cell>
        </row>
      </sheetData>
      <sheetData sheetId="6">
        <row r="40">
          <cell r="L40">
            <v>25</v>
          </cell>
        </row>
      </sheetData>
      <sheetData sheetId="7">
        <row r="29">
          <cell r="D29" t="str">
            <v>--</v>
          </cell>
        </row>
      </sheetData>
      <sheetData sheetId="8">
        <row r="27">
          <cell r="C27" t="str">
            <v>--</v>
          </cell>
        </row>
      </sheetData>
      <sheetData sheetId="9">
        <row r="43">
          <cell r="G43" t="str">
            <v>--</v>
          </cell>
        </row>
      </sheetData>
      <sheetData sheetId="10">
        <row r="29">
          <cell r="L29" t="str">
            <v>--</v>
          </cell>
        </row>
      </sheetData>
      <sheetData sheetId="11">
        <row r="42">
          <cell r="C42" t="str">
            <v>--</v>
          </cell>
        </row>
      </sheetData>
      <sheetData sheetId="12">
        <row r="55">
          <cell r="AL55" t="str">
            <v>--</v>
          </cell>
        </row>
      </sheetData>
      <sheetData sheetId="13">
        <row r="55">
          <cell r="C55" t="str">
            <v>--</v>
          </cell>
        </row>
      </sheetData>
      <sheetData sheetId="14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8">
          <cell r="A18" t="str">
            <v>GOMEZ LUIS CARLOS</v>
          </cell>
        </row>
        <row r="20">
          <cell r="A20" t="str">
            <v>PATIÑO MARLON</v>
          </cell>
        </row>
        <row r="21">
          <cell r="A21" t="str">
            <v>PRIETO YULY PAOLA</v>
          </cell>
        </row>
        <row r="22">
          <cell r="A22" t="str">
            <v>SASTOQUE CINDY</v>
          </cell>
        </row>
        <row r="23">
          <cell r="A23" t="str">
            <v>TEUTA DIEGO</v>
          </cell>
        </row>
        <row r="24">
          <cell r="A24" t="str">
            <v>VARGAS RODOLFO</v>
          </cell>
        </row>
        <row r="25">
          <cell r="A25" t="str">
            <v>VILLANUEVA BRAYAN</v>
          </cell>
        </row>
        <row r="26">
          <cell r="A26" t="str">
            <v>--</v>
          </cell>
        </row>
        <row r="28">
          <cell r="A28" t="str">
            <v>ARIAS JENNIFER</v>
          </cell>
        </row>
        <row r="29">
          <cell r="A29" t="str">
            <v>RINCON SATURNINO</v>
          </cell>
        </row>
        <row r="30">
          <cell r="C30">
            <v>1</v>
          </cell>
        </row>
        <row r="31">
          <cell r="A31" t="str">
            <v>--</v>
          </cell>
        </row>
        <row r="33">
          <cell r="A33" t="str">
            <v xml:space="preserve">VARGAS PABLO </v>
          </cell>
        </row>
        <row r="34">
          <cell r="A34" t="str">
            <v>RIVERA MERCY</v>
          </cell>
        </row>
        <row r="35">
          <cell r="A35" t="str">
            <v>--</v>
          </cell>
        </row>
      </sheetData>
      <sheetData sheetId="1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"/>
      <sheetName val="Gradacion "/>
      <sheetName val="Desgaste"/>
      <sheetName val="Microdeval "/>
      <sheetName val="10% De Finos"/>
      <sheetName val=" HUMEDAD"/>
      <sheetName val="HUMEDAD"/>
      <sheetName val="Solidez"/>
      <sheetName val="LIMITES"/>
      <sheetName val="EQUIVALENTE"/>
      <sheetName val="TERRONES DE ARCILLA"/>
      <sheetName val="Lavado tamiz N°200"/>
      <sheetName val="INV 222-13"/>
      <sheetName val="GRAVEDAD"/>
      <sheetName val="COLORIMETRIA"/>
      <sheetName val="CF - IF "/>
      <sheetName val="ANGULARIDAD"/>
      <sheetName val="PROCTOR"/>
      <sheetName val=" CBR 1"/>
      <sheetName val=" CBR (2)"/>
      <sheetName val="firmas"/>
      <sheetName val="Hoja1"/>
      <sheetName val="RESUMEN BG"/>
      <sheetName val="A"/>
    </sheetNames>
    <sheetDataSet>
      <sheetData sheetId="0">
        <row r="46">
          <cell r="G46" t="str">
            <v>--</v>
          </cell>
        </row>
      </sheetData>
      <sheetData sheetId="1">
        <row r="11">
          <cell r="I11" t="str">
            <v/>
          </cell>
        </row>
      </sheetData>
      <sheetData sheetId="2">
        <row r="38">
          <cell r="F38" t="str">
            <v>--</v>
          </cell>
        </row>
      </sheetData>
      <sheetData sheetId="3">
        <row r="44">
          <cell r="I44" t="str">
            <v>--</v>
          </cell>
        </row>
      </sheetData>
      <sheetData sheetId="4">
        <row r="23">
          <cell r="D23" t="str">
            <v>--</v>
          </cell>
        </row>
      </sheetData>
      <sheetData sheetId="5"/>
      <sheetData sheetId="6">
        <row r="26">
          <cell r="H26" t="str">
            <v/>
          </cell>
        </row>
      </sheetData>
      <sheetData sheetId="7">
        <row r="27">
          <cell r="U27" t="str">
            <v/>
          </cell>
        </row>
      </sheetData>
      <sheetData sheetId="8">
        <row r="21">
          <cell r="G21" t="str">
            <v/>
          </cell>
        </row>
      </sheetData>
      <sheetData sheetId="9">
        <row r="23">
          <cell r="G23" t="str">
            <v/>
          </cell>
        </row>
      </sheetData>
      <sheetData sheetId="10">
        <row r="21">
          <cell r="J21" t="str">
            <v/>
          </cell>
        </row>
      </sheetData>
      <sheetData sheetId="11">
        <row r="16">
          <cell r="H16" t="str">
            <v/>
          </cell>
        </row>
      </sheetData>
      <sheetData sheetId="12">
        <row r="20">
          <cell r="N20" t="str">
            <v/>
          </cell>
        </row>
      </sheetData>
      <sheetData sheetId="13">
        <row r="30">
          <cell r="U30" t="str">
            <v/>
          </cell>
        </row>
      </sheetData>
      <sheetData sheetId="14">
        <row r="31">
          <cell r="D31" t="str">
            <v>--</v>
          </cell>
          <cell r="G31" t="str">
            <v>--</v>
          </cell>
          <cell r="J31" t="str">
            <v>--</v>
          </cell>
        </row>
      </sheetData>
      <sheetData sheetId="15">
        <row r="43">
          <cell r="G43" t="str">
            <v>--</v>
          </cell>
        </row>
      </sheetData>
      <sheetData sheetId="16">
        <row r="29">
          <cell r="L29" t="str">
            <v>--</v>
          </cell>
        </row>
      </sheetData>
      <sheetData sheetId="17">
        <row r="42">
          <cell r="C42" t="str">
            <v>--</v>
          </cell>
        </row>
      </sheetData>
      <sheetData sheetId="18">
        <row r="55">
          <cell r="AL55" t="str">
            <v>--</v>
          </cell>
        </row>
      </sheetData>
      <sheetData sheetId="19">
        <row r="55">
          <cell r="C55" t="str">
            <v>--</v>
          </cell>
        </row>
      </sheetData>
      <sheetData sheetId="20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7">
          <cell r="A17" t="str">
            <v>GALVIS DANIEL</v>
          </cell>
        </row>
        <row r="18">
          <cell r="A18" t="str">
            <v>GOMEZ LUIS CARLOS</v>
          </cell>
        </row>
        <row r="19">
          <cell r="A19" t="str">
            <v>FAJARDO HUGO</v>
          </cell>
        </row>
        <row r="20">
          <cell r="A20" t="str">
            <v>PATIÑO MARLON</v>
          </cell>
        </row>
        <row r="21">
          <cell r="A21" t="str">
            <v>PRIETO YULY PAOLA</v>
          </cell>
        </row>
        <row r="22">
          <cell r="A22" t="str">
            <v>SASTOQUE CINDY</v>
          </cell>
        </row>
        <row r="23">
          <cell r="A23" t="str">
            <v>TEUTA DIEGO</v>
          </cell>
        </row>
        <row r="24">
          <cell r="A24" t="str">
            <v>VARGAS RODOLFO</v>
          </cell>
        </row>
        <row r="25">
          <cell r="A25" t="str">
            <v>VILLANUEVA BRAYAN</v>
          </cell>
        </row>
        <row r="26">
          <cell r="A26" t="str">
            <v>--</v>
          </cell>
        </row>
        <row r="28">
          <cell r="A28" t="str">
            <v>ARIAS JENNIFER</v>
          </cell>
        </row>
        <row r="29">
          <cell r="A29" t="str">
            <v>RINCON SATURNINO</v>
          </cell>
        </row>
        <row r="30">
          <cell r="C30">
            <v>1</v>
          </cell>
        </row>
        <row r="31">
          <cell r="A31" t="str">
            <v>--</v>
          </cell>
        </row>
        <row r="33">
          <cell r="A33" t="str">
            <v xml:space="preserve">VARGAS PABLO </v>
          </cell>
        </row>
        <row r="34">
          <cell r="A34" t="str">
            <v>RIVERA MERCY</v>
          </cell>
        </row>
        <row r="35">
          <cell r="A35" t="str">
            <v>--</v>
          </cell>
        </row>
      </sheetData>
      <sheetData sheetId="2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NCIONES USC"/>
      <sheetName val="PERFIL ESTRATIGRAFICO"/>
      <sheetName val="REG FOTOGRAFICO"/>
      <sheetName val="CONO DINAMICO"/>
      <sheetName val="CLASIFICACION M1"/>
      <sheetName val="LIMITES M1"/>
      <sheetName val="HUMEDAD M1"/>
      <sheetName val="EQUIVALENTE"/>
      <sheetName val="M.O.  M1"/>
      <sheetName val="CLASIFICACION M2"/>
      <sheetName val="LIMITES M2"/>
      <sheetName val="HUMEDAD 2"/>
      <sheetName val="EQUIVALENTE M2"/>
      <sheetName val="M.O.  M2"/>
      <sheetName val="CLASIFICACION M3"/>
      <sheetName val="LIMITES M3"/>
      <sheetName val="HUMEDAD 3"/>
      <sheetName val="EQUIVALENTE M3"/>
      <sheetName val="M.O.  M3"/>
      <sheetName val="firmas"/>
      <sheetName val="Gradacion "/>
    </sheetNames>
    <sheetDataSet>
      <sheetData sheetId="0"/>
      <sheetData sheetId="1">
        <row r="6">
          <cell r="C6">
            <v>0</v>
          </cell>
        </row>
      </sheetData>
      <sheetData sheetId="2">
        <row r="7">
          <cell r="O7" t="str">
            <v/>
          </cell>
        </row>
      </sheetData>
      <sheetData sheetId="3">
        <row r="57">
          <cell r="C57" t="str">
            <v>TEUTA DIEGO</v>
          </cell>
        </row>
      </sheetData>
      <sheetData sheetId="4">
        <row r="7">
          <cell r="O7" t="str">
            <v/>
          </cell>
        </row>
      </sheetData>
      <sheetData sheetId="5">
        <row r="40">
          <cell r="L40">
            <v>25</v>
          </cell>
        </row>
      </sheetData>
      <sheetData sheetId="6"/>
      <sheetData sheetId="7"/>
      <sheetData sheetId="8">
        <row r="29">
          <cell r="C29" t="str">
            <v>--</v>
          </cell>
        </row>
      </sheetData>
      <sheetData sheetId="9"/>
      <sheetData sheetId="10"/>
      <sheetData sheetId="11"/>
      <sheetData sheetId="12"/>
      <sheetData sheetId="13">
        <row r="29">
          <cell r="C29" t="str">
            <v>--</v>
          </cell>
          <cell r="F29" t="str">
            <v>--</v>
          </cell>
          <cell r="I29" t="str">
            <v>--</v>
          </cell>
        </row>
      </sheetData>
      <sheetData sheetId="14"/>
      <sheetData sheetId="15">
        <row r="52">
          <cell r="C52" t="str">
            <v>--</v>
          </cell>
        </row>
      </sheetData>
      <sheetData sheetId="16"/>
      <sheetData sheetId="17"/>
      <sheetData sheetId="18">
        <row r="29">
          <cell r="C29" t="str">
            <v>--</v>
          </cell>
          <cell r="F29" t="str">
            <v>--</v>
          </cell>
          <cell r="I29" t="str">
            <v>--</v>
          </cell>
        </row>
      </sheetData>
      <sheetData sheetId="19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7">
          <cell r="A17" t="str">
            <v>GOMEZ LUIS CARLOS</v>
          </cell>
        </row>
        <row r="18">
          <cell r="A18" t="str">
            <v>TEUTA DIEGO</v>
          </cell>
        </row>
        <row r="19">
          <cell r="A19" t="str">
            <v>VARGAS RODOLFO</v>
          </cell>
        </row>
        <row r="20">
          <cell r="A20" t="str">
            <v>VILLANUEVA BRAYAN</v>
          </cell>
        </row>
        <row r="21">
          <cell r="A21" t="str">
            <v xml:space="preserve">MOLINA JOSE </v>
          </cell>
        </row>
        <row r="22">
          <cell r="A22" t="str">
            <v>RINCON JOSE</v>
          </cell>
        </row>
        <row r="23">
          <cell r="A23" t="str">
            <v>ARANDA EDWIN</v>
          </cell>
        </row>
        <row r="24">
          <cell r="A24" t="str">
            <v>--</v>
          </cell>
        </row>
        <row r="26">
          <cell r="A26" t="str">
            <v>ARIAS JENNIFER</v>
          </cell>
          <cell r="B26" t="str">
            <v>Analista  técnico</v>
          </cell>
        </row>
        <row r="27">
          <cell r="A27" t="str">
            <v xml:space="preserve">VARGAS PABLO </v>
          </cell>
          <cell r="B27" t="str">
            <v>Coordinador técnico</v>
          </cell>
        </row>
        <row r="28">
          <cell r="A28" t="str">
            <v>--</v>
          </cell>
          <cell r="C28">
            <v>1</v>
          </cell>
        </row>
        <row r="29">
          <cell r="A29" t="str">
            <v>--</v>
          </cell>
        </row>
        <row r="31">
          <cell r="A31" t="str">
            <v xml:space="preserve">VARGAS PABLO </v>
          </cell>
        </row>
        <row r="32">
          <cell r="A32" t="str">
            <v>CONTRERAS WILINTONG</v>
          </cell>
        </row>
        <row r="33">
          <cell r="A33" t="str">
            <v>--</v>
          </cell>
        </row>
      </sheetData>
      <sheetData sheetId="2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"/>
      <sheetName val="Gradacion "/>
      <sheetName val="Desgaste"/>
      <sheetName val="Microdeval "/>
      <sheetName val="10% De Finos"/>
      <sheetName val=" HUMEDAD"/>
      <sheetName val="Solidez"/>
      <sheetName val="LIMITES"/>
      <sheetName val="EQUIVALENTE"/>
      <sheetName val="TERRONES DE ARCILLA"/>
      <sheetName val="Lavado tamiz N°200"/>
      <sheetName val="INV 222-13"/>
      <sheetName val="GRAVEDAD"/>
      <sheetName val="COLORIMETRI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2">
          <cell r="A2" t="str">
            <v>CHAPARRO CARLOS</v>
          </cell>
        </row>
        <row r="11">
          <cell r="B11" t="str">
            <v>Laboratorista</v>
          </cell>
        </row>
        <row r="12">
          <cell r="B12" t="str">
            <v>Coordinador Operativo</v>
          </cell>
        </row>
        <row r="13">
          <cell r="B13" t="str">
            <v>Auxiliar</v>
          </cell>
        </row>
        <row r="28">
          <cell r="B28" t="str">
            <v>Analista  técnico</v>
          </cell>
        </row>
        <row r="29">
          <cell r="B29" t="str">
            <v>Analista  administrativo</v>
          </cell>
        </row>
        <row r="30">
          <cell r="B30" t="str">
            <v>Coordinador operativo</v>
          </cell>
        </row>
      </sheetData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732"/>
      <sheetName val="782"/>
      <sheetName val="733 - 735"/>
      <sheetName val="748"/>
      <sheetName val="TSR"/>
      <sheetName val="Hoja1"/>
    </sheetNames>
    <sheetDataSet>
      <sheetData sheetId="0"/>
      <sheetData sheetId="1"/>
      <sheetData sheetId="2">
        <row r="27">
          <cell r="M27" t="str">
            <v/>
          </cell>
        </row>
      </sheetData>
      <sheetData sheetId="3">
        <row r="30">
          <cell r="G30" t="str">
            <v/>
          </cell>
        </row>
      </sheetData>
      <sheetData sheetId="4">
        <row r="24">
          <cell r="R24" t="e">
            <v>#REF!</v>
          </cell>
        </row>
      </sheetData>
      <sheetData sheetId="5">
        <row r="51">
          <cell r="F51" t="str">
            <v>--</v>
          </cell>
          <cell r="N51" t="str">
            <v>--</v>
          </cell>
        </row>
      </sheetData>
      <sheetData sheetId="6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UMEDAD "/>
      <sheetName val="firmas"/>
    </sheetNames>
    <sheetDataSet>
      <sheetData sheetId="0"/>
      <sheetData sheetId="1">
        <row r="2">
          <cell r="A2" t="str">
            <v>CHAPARRO CARLOS</v>
          </cell>
        </row>
        <row r="28">
          <cell r="A28" t="str">
            <v>ARIAS JENNIFER</v>
          </cell>
        </row>
        <row r="29">
          <cell r="A29" t="str">
            <v>RINCON SATURNINO</v>
          </cell>
        </row>
        <row r="30">
          <cell r="C30">
            <v>1</v>
          </cell>
        </row>
        <row r="31">
          <cell r="A31" t="str">
            <v>--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CTUBRE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"/>
      <sheetName val="Recipiente"/>
      <sheetName val="Guia rec."/>
      <sheetName val="MEZCLAS"/>
      <sheetName val="Módulo1"/>
      <sheetName val="Módulo11"/>
      <sheetName val="2-6"/>
      <sheetName val="LIMITE"/>
      <sheetName val="Hoja1"/>
      <sheetName val="CLAS-BOG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"/>
      <sheetName val="Desgaste"/>
      <sheetName val="Microdeval "/>
      <sheetName val="10% De Finos"/>
      <sheetName val=" HUMEDAD"/>
      <sheetName val="Gradacion "/>
      <sheetName val="HUMEDAD "/>
      <sheetName val="Solidez"/>
      <sheetName val="LIMITES "/>
      <sheetName val="EQUIVALENTE"/>
      <sheetName val="TERRONES DE ARCILLA "/>
      <sheetName val="Lavado tamiz N°200"/>
      <sheetName val="INV 222-13 "/>
      <sheetName val="GRAVEDAD"/>
      <sheetName val="COLORIMETRIA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50">
          <cell r="G50" t="str">
            <v>--</v>
          </cell>
        </row>
      </sheetData>
      <sheetData sheetId="1">
        <row r="38">
          <cell r="F38" t="str">
            <v>--</v>
          </cell>
        </row>
      </sheetData>
      <sheetData sheetId="2">
        <row r="44">
          <cell r="I44" t="str">
            <v>--</v>
          </cell>
        </row>
      </sheetData>
      <sheetData sheetId="3">
        <row r="23">
          <cell r="D23" t="str">
            <v>--</v>
          </cell>
        </row>
      </sheetData>
      <sheetData sheetId="4"/>
      <sheetData sheetId="5"/>
      <sheetData sheetId="6"/>
      <sheetData sheetId="7">
        <row r="47">
          <cell r="H47" t="str">
            <v>--</v>
          </cell>
        </row>
      </sheetData>
      <sheetData sheetId="8"/>
      <sheetData sheetId="9"/>
      <sheetData sheetId="10"/>
      <sheetData sheetId="11">
        <row r="22">
          <cell r="E22" t="str">
            <v>--</v>
          </cell>
        </row>
      </sheetData>
      <sheetData sheetId="12">
        <row r="45">
          <cell r="AA45" t="str">
            <v>--</v>
          </cell>
        </row>
      </sheetData>
      <sheetData sheetId="13"/>
      <sheetData sheetId="14">
        <row r="31">
          <cell r="D31" t="str">
            <v>--</v>
          </cell>
        </row>
      </sheetData>
      <sheetData sheetId="15"/>
      <sheetData sheetId="16">
        <row r="29">
          <cell r="L29" t="str">
            <v>--</v>
          </cell>
        </row>
      </sheetData>
      <sheetData sheetId="17">
        <row r="42">
          <cell r="C42" t="str">
            <v>--</v>
          </cell>
        </row>
      </sheetData>
      <sheetData sheetId="18">
        <row r="55">
          <cell r="AL55" t="str">
            <v>--</v>
          </cell>
        </row>
      </sheetData>
      <sheetData sheetId="19">
        <row r="55">
          <cell r="C55" t="str">
            <v>--</v>
          </cell>
        </row>
      </sheetData>
      <sheetData sheetId="20">
        <row r="2">
          <cell r="A2" t="str">
            <v>CHAPARRO CARLOS</v>
          </cell>
        </row>
        <row r="33">
          <cell r="A33" t="str">
            <v xml:space="preserve">VARGAS PABLO </v>
          </cell>
        </row>
        <row r="34">
          <cell r="A34" t="str">
            <v xml:space="preserve">CONTRERAS WILINTONG </v>
          </cell>
        </row>
        <row r="35">
          <cell r="A35" t="str">
            <v>--</v>
          </cell>
        </row>
      </sheetData>
      <sheetData sheetId="2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gaste"/>
      <sheetName val="Microdeval "/>
      <sheetName val="10% De Finos"/>
      <sheetName val=" HUMEDAD"/>
      <sheetName val="1. Encabezado"/>
      <sheetName val="Gradacion "/>
      <sheetName val="Lavado tamiz N°200 "/>
      <sheetName val="CF - IF "/>
      <sheetName val="ANGULARIDAD"/>
      <sheetName val="PROCTOR"/>
      <sheetName val=" CBR 1"/>
      <sheetName val=" CBR (2)"/>
      <sheetName val="firmas"/>
      <sheetName val="Hoja1"/>
    </sheetNames>
    <sheetDataSet>
      <sheetData sheetId="0">
        <row r="38">
          <cell r="F38" t="str">
            <v>--</v>
          </cell>
          <cell r="L38" t="str">
            <v>--</v>
          </cell>
          <cell r="T38" t="str">
            <v>--</v>
          </cell>
        </row>
      </sheetData>
      <sheetData sheetId="1">
        <row r="44">
          <cell r="I44" t="str">
            <v>--</v>
          </cell>
          <cell r="R44" t="str">
            <v>--</v>
          </cell>
          <cell r="AC44" t="str">
            <v>--</v>
          </cell>
        </row>
      </sheetData>
      <sheetData sheetId="2">
        <row r="23">
          <cell r="D23" t="str">
            <v>--</v>
          </cell>
          <cell r="E23">
            <v>0</v>
          </cell>
          <cell r="F23" t="str">
            <v>--</v>
          </cell>
          <cell r="I23" t="str">
            <v>--</v>
          </cell>
          <cell r="J23">
            <v>0</v>
          </cell>
          <cell r="K23">
            <v>0</v>
          </cell>
        </row>
      </sheetData>
      <sheetData sheetId="3"/>
      <sheetData sheetId="4"/>
      <sheetData sheetId="5"/>
      <sheetData sheetId="6"/>
      <sheetData sheetId="7"/>
      <sheetData sheetId="8">
        <row r="29">
          <cell r="L29" t="str">
            <v>--</v>
          </cell>
          <cell r="W29" t="str">
            <v>--</v>
          </cell>
          <cell r="X29">
            <v>0</v>
          </cell>
          <cell r="AK29" t="str">
            <v>--</v>
          </cell>
        </row>
        <row r="30">
          <cell r="W30" t="str">
            <v/>
          </cell>
          <cell r="X30">
            <v>0</v>
          </cell>
        </row>
        <row r="31">
          <cell r="W31">
            <v>0</v>
          </cell>
          <cell r="X31">
            <v>0</v>
          </cell>
        </row>
        <row r="32">
          <cell r="W32">
            <v>0</v>
          </cell>
          <cell r="X32">
            <v>0</v>
          </cell>
        </row>
        <row r="33">
          <cell r="W33">
            <v>0</v>
          </cell>
          <cell r="X33">
            <v>0</v>
          </cell>
        </row>
      </sheetData>
      <sheetData sheetId="9">
        <row r="42">
          <cell r="C42" t="str">
            <v>--</v>
          </cell>
          <cell r="F42" t="str">
            <v>--</v>
          </cell>
          <cell r="I42" t="str">
            <v>--</v>
          </cell>
        </row>
      </sheetData>
      <sheetData sheetId="10">
        <row r="55">
          <cell r="AL55" t="str">
            <v>--</v>
          </cell>
          <cell r="AM55">
            <v>0</v>
          </cell>
          <cell r="AN55" t="str">
            <v>--</v>
          </cell>
          <cell r="AO55">
            <v>0</v>
          </cell>
          <cell r="AP55" t="str">
            <v>--</v>
          </cell>
          <cell r="AQ55">
            <v>0</v>
          </cell>
        </row>
      </sheetData>
      <sheetData sheetId="11">
        <row r="55">
          <cell r="C55" t="str">
            <v>--</v>
          </cell>
          <cell r="E55" t="str">
            <v>--</v>
          </cell>
          <cell r="F55">
            <v>0</v>
          </cell>
          <cell r="G55" t="str">
            <v>--</v>
          </cell>
          <cell r="H55">
            <v>0</v>
          </cell>
        </row>
      </sheetData>
      <sheetData sheetId="12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  <cell r="C5">
            <v>0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  <cell r="C9">
            <v>0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  <cell r="C11">
            <v>0</v>
          </cell>
        </row>
        <row r="12">
          <cell r="A12" t="str">
            <v>RINCON SATURNINO</v>
          </cell>
          <cell r="C12">
            <v>1</v>
          </cell>
        </row>
        <row r="13">
          <cell r="A13">
            <v>0</v>
          </cell>
          <cell r="C13">
            <v>0</v>
          </cell>
        </row>
        <row r="14">
          <cell r="A14" t="str">
            <v>ALBARRACIN JAIRO</v>
          </cell>
          <cell r="C14">
            <v>0</v>
          </cell>
        </row>
        <row r="15">
          <cell r="A15" t="str">
            <v>ALMONACID JIMMY</v>
          </cell>
          <cell r="C15">
            <v>0</v>
          </cell>
        </row>
        <row r="16">
          <cell r="A16" t="str">
            <v>CANO LUIS EDUARDO</v>
          </cell>
          <cell r="C16">
            <v>0</v>
          </cell>
        </row>
        <row r="17">
          <cell r="A17" t="str">
            <v>GALVIS DANIEL</v>
          </cell>
          <cell r="C17">
            <v>0</v>
          </cell>
        </row>
        <row r="18">
          <cell r="A18" t="str">
            <v>GOMEZ LUIS CARLOS</v>
          </cell>
          <cell r="C18">
            <v>0</v>
          </cell>
        </row>
        <row r="19">
          <cell r="A19" t="str">
            <v>FAJARDO HUGO</v>
          </cell>
          <cell r="C19">
            <v>0</v>
          </cell>
        </row>
        <row r="20">
          <cell r="A20" t="str">
            <v>PATIÑO MARLON</v>
          </cell>
          <cell r="C20">
            <v>0</v>
          </cell>
        </row>
        <row r="21">
          <cell r="A21" t="str">
            <v>PRIETO YULY PAOLA</v>
          </cell>
          <cell r="C21">
            <v>0</v>
          </cell>
        </row>
        <row r="22">
          <cell r="A22" t="str">
            <v>SASTOQUE CINDY</v>
          </cell>
          <cell r="C22">
            <v>0</v>
          </cell>
        </row>
        <row r="23">
          <cell r="A23" t="str">
            <v>TEUTA DIEGO</v>
          </cell>
          <cell r="C23">
            <v>0</v>
          </cell>
        </row>
        <row r="24">
          <cell r="A24" t="str">
            <v>VARGAS RODOLFO</v>
          </cell>
          <cell r="C24">
            <v>0</v>
          </cell>
        </row>
        <row r="25">
          <cell r="A25" t="str">
            <v>VILLANUEVA BRAYAN</v>
          </cell>
          <cell r="C25">
            <v>0</v>
          </cell>
        </row>
        <row r="26">
          <cell r="A26" t="str">
            <v>--</v>
          </cell>
          <cell r="C26">
            <v>0</v>
          </cell>
        </row>
        <row r="28">
          <cell r="A28" t="str">
            <v>RINCON SATURNINO</v>
          </cell>
          <cell r="C28">
            <v>1</v>
          </cell>
        </row>
        <row r="29">
          <cell r="A29" t="str">
            <v xml:space="preserve">VARGAS PABLO </v>
          </cell>
          <cell r="C29">
            <v>0</v>
          </cell>
        </row>
        <row r="30">
          <cell r="A30" t="str">
            <v>--</v>
          </cell>
          <cell r="C30">
            <v>1</v>
          </cell>
        </row>
        <row r="31">
          <cell r="A31" t="str">
            <v>--</v>
          </cell>
          <cell r="C31">
            <v>0</v>
          </cell>
        </row>
        <row r="33">
          <cell r="A33" t="str">
            <v xml:space="preserve">VARGAS PABLO </v>
          </cell>
          <cell r="C33">
            <v>0</v>
          </cell>
        </row>
        <row r="34">
          <cell r="A34" t="str">
            <v xml:space="preserve">CONTRERAS WILINTONG </v>
          </cell>
          <cell r="C34">
            <v>0</v>
          </cell>
        </row>
        <row r="35">
          <cell r="A35" t="str">
            <v>--</v>
          </cell>
          <cell r="C35">
            <v>0</v>
          </cell>
        </row>
      </sheetData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"/>
      <sheetName val="RESUMEN BG"/>
      <sheetName val="Gradacion "/>
      <sheetName val="HUMEDAD "/>
      <sheetName val="Solidez"/>
      <sheetName val="A"/>
      <sheetName val="ANGULARIDAD"/>
      <sheetName val="INV 222-13"/>
      <sheetName val="GRAVEDAD"/>
      <sheetName val="Desgaste"/>
      <sheetName val="Microdeval "/>
      <sheetName val="10% De Finos"/>
      <sheetName val="LIMITES"/>
      <sheetName val="EQUIVALENTE"/>
      <sheetName val="TERRONES DE ARCILLA"/>
      <sheetName val="CF - IF "/>
      <sheetName val="PROCTOR"/>
      <sheetName val=" CBR 1"/>
      <sheetName val=" CBR (2)"/>
      <sheetName val="firmas"/>
      <sheetName val="Hoja1"/>
    </sheetNames>
    <sheetDataSet>
      <sheetData sheetId="0">
        <row r="46">
          <cell r="G46" t="str">
            <v>--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>
        <row r="29">
          <cell r="L29" t="str">
            <v>--</v>
          </cell>
          <cell r="W29" t="str">
            <v>--</v>
          </cell>
          <cell r="AK29" t="str">
            <v>--</v>
          </cell>
        </row>
        <row r="30">
          <cell r="W30" t="str">
            <v/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ACHIARDI LEONARDO</v>
          </cell>
          <cell r="C8">
            <v>8</v>
          </cell>
        </row>
        <row r="9">
          <cell r="A9" t="str">
            <v>OSPINA JUAN GABRIEL</v>
          </cell>
        </row>
        <row r="10">
          <cell r="A10" t="str">
            <v>SUAREZ  WILLIAM</v>
          </cell>
          <cell r="C10">
            <v>9</v>
          </cell>
        </row>
        <row r="11">
          <cell r="A11" t="str">
            <v>YARA FABIAN</v>
          </cell>
        </row>
        <row r="12">
          <cell r="A12" t="str">
            <v>RINCON SATURNINO</v>
          </cell>
          <cell r="C12">
            <v>1</v>
          </cell>
        </row>
        <row r="14">
          <cell r="A14" t="str">
            <v>ALBARRACIN JAIRO</v>
          </cell>
        </row>
        <row r="15">
          <cell r="A15" t="str">
            <v>ALMONACID JIMMY</v>
          </cell>
        </row>
        <row r="16">
          <cell r="A16" t="str">
            <v>CANO LUIS EDUARDO</v>
          </cell>
        </row>
        <row r="17">
          <cell r="A17" t="str">
            <v>GALVIS DANIEL</v>
          </cell>
        </row>
        <row r="18">
          <cell r="A18" t="str">
            <v>GOMEZ LUIS CARLOS</v>
          </cell>
        </row>
        <row r="20">
          <cell r="A20" t="str">
            <v>PATIÑO MARLON</v>
          </cell>
        </row>
        <row r="21">
          <cell r="A21" t="str">
            <v>PRIETO YULY PAOLA</v>
          </cell>
        </row>
        <row r="22">
          <cell r="A22" t="str">
            <v>SASTOQUE CINDY</v>
          </cell>
        </row>
        <row r="23">
          <cell r="A23" t="str">
            <v>TEUTA DIEGO</v>
          </cell>
        </row>
        <row r="24">
          <cell r="A24" t="str">
            <v>VARGAS RODOLFO</v>
          </cell>
        </row>
        <row r="25">
          <cell r="A25" t="str">
            <v>VILLANUEVA BRAYAN</v>
          </cell>
        </row>
        <row r="26">
          <cell r="A26" t="str">
            <v>--</v>
          </cell>
        </row>
        <row r="28">
          <cell r="A28" t="str">
            <v>ARIAS JENNIFER</v>
          </cell>
        </row>
        <row r="29">
          <cell r="A29" t="str">
            <v>RINCON SATURNINO</v>
          </cell>
        </row>
        <row r="30">
          <cell r="C30">
            <v>1</v>
          </cell>
        </row>
        <row r="31">
          <cell r="A31" t="str">
            <v>--</v>
          </cell>
        </row>
        <row r="33">
          <cell r="A33" t="str">
            <v xml:space="preserve">VARGAS PABLO </v>
          </cell>
        </row>
        <row r="34">
          <cell r="A34" t="str">
            <v>RIVERA MERCY</v>
          </cell>
        </row>
        <row r="35">
          <cell r="A35" t="str">
            <v>--</v>
          </cell>
        </row>
      </sheetData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"/>
      <sheetName val="Desgaste"/>
      <sheetName val="Microdeval "/>
      <sheetName val="10% De Finos"/>
      <sheetName val=" HUMEDAD"/>
      <sheetName val="HUMEDAD"/>
      <sheetName val="Solidez"/>
      <sheetName val="LIMITES"/>
      <sheetName val="EQUIVALENTE"/>
      <sheetName val="TERRONES DE ARCILLA"/>
      <sheetName val="Lavado tamiz N°200"/>
      <sheetName val="INV 222-13"/>
      <sheetName val="GRAVEDAD"/>
      <sheetName val="COLORIMETRIA"/>
      <sheetName val="CF - IF "/>
      <sheetName val="ANGULARIDAD"/>
      <sheetName val="PROCTOR"/>
      <sheetName val=" CBR 1"/>
      <sheetName val=" CBR (2)"/>
      <sheetName val="1. Encabezado"/>
      <sheetName val="Formato "/>
      <sheetName val="firma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A2" t="str">
            <v>CHAPARRO CARLOS</v>
          </cell>
          <cell r="C2">
            <v>2</v>
          </cell>
        </row>
        <row r="3">
          <cell r="A3" t="str">
            <v>CORDOBA ALEXANDER</v>
          </cell>
          <cell r="C3">
            <v>3</v>
          </cell>
        </row>
        <row r="4">
          <cell r="A4" t="str">
            <v>CRISTANCHO VICTOR</v>
          </cell>
          <cell r="C4">
            <v>7</v>
          </cell>
        </row>
        <row r="5">
          <cell r="A5" t="str">
            <v>DIAZ CESAR</v>
          </cell>
        </row>
        <row r="6">
          <cell r="A6" t="str">
            <v>FLOREZ KAREN</v>
          </cell>
          <cell r="C6">
            <v>6</v>
          </cell>
        </row>
        <row r="7">
          <cell r="A7" t="str">
            <v>GALVIS DAVID</v>
          </cell>
          <cell r="C7">
            <v>4</v>
          </cell>
        </row>
        <row r="8">
          <cell r="A8" t="str">
            <v>OSPINA JUAN GABRIEL</v>
          </cell>
        </row>
        <row r="9">
          <cell r="A9" t="str">
            <v>SUAREZ  WILLIAM</v>
          </cell>
          <cell r="C9">
            <v>9</v>
          </cell>
        </row>
        <row r="10">
          <cell r="A10" t="str">
            <v>YARA FABIAN</v>
          </cell>
        </row>
        <row r="11">
          <cell r="A11" t="str">
            <v>RINCON SATURNINO</v>
          </cell>
          <cell r="C11">
            <v>1</v>
          </cell>
        </row>
        <row r="12">
          <cell r="A12" t="str">
            <v>ACHIARDI LEONARDO</v>
          </cell>
        </row>
        <row r="13">
          <cell r="A13" t="str">
            <v>SAENZ JESSICA</v>
          </cell>
        </row>
        <row r="14">
          <cell r="A14" t="str">
            <v>PRADA CESAR</v>
          </cell>
        </row>
        <row r="15">
          <cell r="A15" t="str">
            <v xml:space="preserve">VARGAS JUAN </v>
          </cell>
        </row>
        <row r="16">
          <cell r="A16" t="str">
            <v>CANO LUIS EDUARDO</v>
          </cell>
        </row>
        <row r="17">
          <cell r="A17" t="str">
            <v xml:space="preserve">RIAÑO JOSE </v>
          </cell>
        </row>
        <row r="18">
          <cell r="A18" t="str">
            <v>GALVIS DANIEL</v>
          </cell>
        </row>
        <row r="19">
          <cell r="A19" t="str">
            <v>GOMEZ LUIS CARLOS</v>
          </cell>
        </row>
        <row r="20">
          <cell r="A20" t="str">
            <v xml:space="preserve">VELASQUEZ JUAN CAMILO </v>
          </cell>
        </row>
        <row r="21">
          <cell r="A21" t="str">
            <v xml:space="preserve">QUIÑONES ETIEL </v>
          </cell>
        </row>
        <row r="22">
          <cell r="A22" t="str">
            <v>VANEGAS BRAYAN</v>
          </cell>
        </row>
        <row r="23">
          <cell r="A23" t="str">
            <v>RIOS JOSE</v>
          </cell>
        </row>
        <row r="24">
          <cell r="A24" t="str">
            <v xml:space="preserve">VAQUIRO JUAN CAMILO </v>
          </cell>
        </row>
        <row r="25">
          <cell r="A25" t="str">
            <v xml:space="preserve">RINCON ALVARO JOSE </v>
          </cell>
        </row>
        <row r="26">
          <cell r="A26" t="str">
            <v>VILLALBA ROBINSSON</v>
          </cell>
        </row>
        <row r="27">
          <cell r="A27" t="str">
            <v>JUNCO DIEGO</v>
          </cell>
        </row>
        <row r="28">
          <cell r="A28" t="str">
            <v>GONZALEZ CAMILO</v>
          </cell>
        </row>
        <row r="29">
          <cell r="A29" t="str">
            <v>MONTENEGRO EDGAR</v>
          </cell>
        </row>
        <row r="30">
          <cell r="A30" t="str">
            <v>PRADA PEDRO</v>
          </cell>
        </row>
        <row r="31">
          <cell r="A31" t="str">
            <v>SUAREZ DIEGO</v>
          </cell>
        </row>
        <row r="32">
          <cell r="A32" t="str">
            <v>--</v>
          </cell>
        </row>
        <row r="34">
          <cell r="A34" t="str">
            <v>RINCON SATURNINO</v>
          </cell>
          <cell r="C34">
            <v>1</v>
          </cell>
        </row>
        <row r="35">
          <cell r="A35" t="str">
            <v>JENNYFER ARIAS</v>
          </cell>
        </row>
        <row r="36">
          <cell r="C36">
            <v>1</v>
          </cell>
        </row>
        <row r="37">
          <cell r="A37" t="str">
            <v>--</v>
          </cell>
        </row>
        <row r="39">
          <cell r="A39" t="str">
            <v>CINDY NATHALY SASTOQUE</v>
          </cell>
        </row>
        <row r="40">
          <cell r="A40" t="str">
            <v>CONTRERAS WILINTONG</v>
          </cell>
        </row>
        <row r="41">
          <cell r="A41" t="str">
            <v>--</v>
          </cell>
        </row>
      </sheetData>
      <sheetData sheetId="2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63"/>
  <sheetViews>
    <sheetView showGridLines="0" view="pageBreakPreview" topLeftCell="A19" zoomScaleSheetLayoutView="100" workbookViewId="0">
      <selection activeCell="AB20" sqref="AB20"/>
    </sheetView>
  </sheetViews>
  <sheetFormatPr baseColWidth="10" defaultColWidth="9.1796875" defaultRowHeight="12.5" x14ac:dyDescent="0.25"/>
  <cols>
    <col min="1" max="26" width="3.54296875" style="768" customWidth="1"/>
    <col min="27" max="27" width="17" style="768" customWidth="1"/>
    <col min="28" max="28" width="19.7265625" style="768" customWidth="1"/>
    <col min="29" max="29" width="34" style="768" customWidth="1"/>
    <col min="30" max="30" width="23" style="768" customWidth="1"/>
    <col min="31" max="32" width="19.7265625" style="768" customWidth="1"/>
    <col min="33" max="33" width="3.54296875" style="768" customWidth="1"/>
    <col min="34" max="34" width="19.1796875" style="768" customWidth="1"/>
    <col min="35" max="52" width="25.54296875" style="768" customWidth="1"/>
    <col min="53" max="53" width="7.26953125" style="768" customWidth="1"/>
    <col min="54" max="54" width="4.453125" style="768" customWidth="1"/>
    <col min="55" max="55" width="25" style="768" customWidth="1"/>
    <col min="56" max="62" width="23.26953125" style="768" customWidth="1"/>
    <col min="63" max="63" width="15.81640625" style="768" customWidth="1"/>
    <col min="64" max="64" width="19.453125" style="768" customWidth="1"/>
    <col min="65" max="277" width="9.1796875" style="768"/>
    <col min="278" max="278" width="17.1796875" style="768" customWidth="1"/>
    <col min="279" max="284" width="8.7265625" style="768" customWidth="1"/>
    <col min="285" max="285" width="6.7265625" style="768" customWidth="1"/>
    <col min="286" max="286" width="3.7265625" style="768" customWidth="1"/>
    <col min="287" max="287" width="15.7265625" style="768" customWidth="1"/>
    <col min="288" max="533" width="9.1796875" style="768"/>
    <col min="534" max="534" width="17.1796875" style="768" customWidth="1"/>
    <col min="535" max="540" width="8.7265625" style="768" customWidth="1"/>
    <col min="541" max="541" width="6.7265625" style="768" customWidth="1"/>
    <col min="542" max="542" width="3.7265625" style="768" customWidth="1"/>
    <col min="543" max="543" width="15.7265625" style="768" customWidth="1"/>
    <col min="544" max="789" width="9.1796875" style="768"/>
    <col min="790" max="790" width="17.1796875" style="768" customWidth="1"/>
    <col min="791" max="796" width="8.7265625" style="768" customWidth="1"/>
    <col min="797" max="797" width="6.7265625" style="768" customWidth="1"/>
    <col min="798" max="798" width="3.7265625" style="768" customWidth="1"/>
    <col min="799" max="799" width="15.7265625" style="768" customWidth="1"/>
    <col min="800" max="1045" width="9.1796875" style="768"/>
    <col min="1046" max="1046" width="17.1796875" style="768" customWidth="1"/>
    <col min="1047" max="1052" width="8.7265625" style="768" customWidth="1"/>
    <col min="1053" max="1053" width="6.7265625" style="768" customWidth="1"/>
    <col min="1054" max="1054" width="3.7265625" style="768" customWidth="1"/>
    <col min="1055" max="1055" width="15.7265625" style="768" customWidth="1"/>
    <col min="1056" max="1301" width="9.1796875" style="768"/>
    <col min="1302" max="1302" width="17.1796875" style="768" customWidth="1"/>
    <col min="1303" max="1308" width="8.7265625" style="768" customWidth="1"/>
    <col min="1309" max="1309" width="6.7265625" style="768" customWidth="1"/>
    <col min="1310" max="1310" width="3.7265625" style="768" customWidth="1"/>
    <col min="1311" max="1311" width="15.7265625" style="768" customWidth="1"/>
    <col min="1312" max="1557" width="9.1796875" style="768"/>
    <col min="1558" max="1558" width="17.1796875" style="768" customWidth="1"/>
    <col min="1559" max="1564" width="8.7265625" style="768" customWidth="1"/>
    <col min="1565" max="1565" width="6.7265625" style="768" customWidth="1"/>
    <col min="1566" max="1566" width="3.7265625" style="768" customWidth="1"/>
    <col min="1567" max="1567" width="15.7265625" style="768" customWidth="1"/>
    <col min="1568" max="1813" width="9.1796875" style="768"/>
    <col min="1814" max="1814" width="17.1796875" style="768" customWidth="1"/>
    <col min="1815" max="1820" width="8.7265625" style="768" customWidth="1"/>
    <col min="1821" max="1821" width="6.7265625" style="768" customWidth="1"/>
    <col min="1822" max="1822" width="3.7265625" style="768" customWidth="1"/>
    <col min="1823" max="1823" width="15.7265625" style="768" customWidth="1"/>
    <col min="1824" max="2069" width="9.1796875" style="768"/>
    <col min="2070" max="2070" width="17.1796875" style="768" customWidth="1"/>
    <col min="2071" max="2076" width="8.7265625" style="768" customWidth="1"/>
    <col min="2077" max="2077" width="6.7265625" style="768" customWidth="1"/>
    <col min="2078" max="2078" width="3.7265625" style="768" customWidth="1"/>
    <col min="2079" max="2079" width="15.7265625" style="768" customWidth="1"/>
    <col min="2080" max="2325" width="9.1796875" style="768"/>
    <col min="2326" max="2326" width="17.1796875" style="768" customWidth="1"/>
    <col min="2327" max="2332" width="8.7265625" style="768" customWidth="1"/>
    <col min="2333" max="2333" width="6.7265625" style="768" customWidth="1"/>
    <col min="2334" max="2334" width="3.7265625" style="768" customWidth="1"/>
    <col min="2335" max="2335" width="15.7265625" style="768" customWidth="1"/>
    <col min="2336" max="2581" width="9.1796875" style="768"/>
    <col min="2582" max="2582" width="17.1796875" style="768" customWidth="1"/>
    <col min="2583" max="2588" width="8.7265625" style="768" customWidth="1"/>
    <col min="2589" max="2589" width="6.7265625" style="768" customWidth="1"/>
    <col min="2590" max="2590" width="3.7265625" style="768" customWidth="1"/>
    <col min="2591" max="2591" width="15.7265625" style="768" customWidth="1"/>
    <col min="2592" max="2837" width="9.1796875" style="768"/>
    <col min="2838" max="2838" width="17.1796875" style="768" customWidth="1"/>
    <col min="2839" max="2844" width="8.7265625" style="768" customWidth="1"/>
    <col min="2845" max="2845" width="6.7265625" style="768" customWidth="1"/>
    <col min="2846" max="2846" width="3.7265625" style="768" customWidth="1"/>
    <col min="2847" max="2847" width="15.7265625" style="768" customWidth="1"/>
    <col min="2848" max="3093" width="9.1796875" style="768"/>
    <col min="3094" max="3094" width="17.1796875" style="768" customWidth="1"/>
    <col min="3095" max="3100" width="8.7265625" style="768" customWidth="1"/>
    <col min="3101" max="3101" width="6.7265625" style="768" customWidth="1"/>
    <col min="3102" max="3102" width="3.7265625" style="768" customWidth="1"/>
    <col min="3103" max="3103" width="15.7265625" style="768" customWidth="1"/>
    <col min="3104" max="3349" width="9.1796875" style="768"/>
    <col min="3350" max="3350" width="17.1796875" style="768" customWidth="1"/>
    <col min="3351" max="3356" width="8.7265625" style="768" customWidth="1"/>
    <col min="3357" max="3357" width="6.7265625" style="768" customWidth="1"/>
    <col min="3358" max="3358" width="3.7265625" style="768" customWidth="1"/>
    <col min="3359" max="3359" width="15.7265625" style="768" customWidth="1"/>
    <col min="3360" max="3605" width="9.1796875" style="768"/>
    <col min="3606" max="3606" width="17.1796875" style="768" customWidth="1"/>
    <col min="3607" max="3612" width="8.7265625" style="768" customWidth="1"/>
    <col min="3613" max="3613" width="6.7265625" style="768" customWidth="1"/>
    <col min="3614" max="3614" width="3.7265625" style="768" customWidth="1"/>
    <col min="3615" max="3615" width="15.7265625" style="768" customWidth="1"/>
    <col min="3616" max="3861" width="9.1796875" style="768"/>
    <col min="3862" max="3862" width="17.1796875" style="768" customWidth="1"/>
    <col min="3863" max="3868" width="8.7265625" style="768" customWidth="1"/>
    <col min="3869" max="3869" width="6.7265625" style="768" customWidth="1"/>
    <col min="3870" max="3870" width="3.7265625" style="768" customWidth="1"/>
    <col min="3871" max="3871" width="15.7265625" style="768" customWidth="1"/>
    <col min="3872" max="4117" width="9.1796875" style="768"/>
    <col min="4118" max="4118" width="17.1796875" style="768" customWidth="1"/>
    <col min="4119" max="4124" width="8.7265625" style="768" customWidth="1"/>
    <col min="4125" max="4125" width="6.7265625" style="768" customWidth="1"/>
    <col min="4126" max="4126" width="3.7265625" style="768" customWidth="1"/>
    <col min="4127" max="4127" width="15.7265625" style="768" customWidth="1"/>
    <col min="4128" max="4373" width="9.1796875" style="768"/>
    <col min="4374" max="4374" width="17.1796875" style="768" customWidth="1"/>
    <col min="4375" max="4380" width="8.7265625" style="768" customWidth="1"/>
    <col min="4381" max="4381" width="6.7265625" style="768" customWidth="1"/>
    <col min="4382" max="4382" width="3.7265625" style="768" customWidth="1"/>
    <col min="4383" max="4383" width="15.7265625" style="768" customWidth="1"/>
    <col min="4384" max="4629" width="9.1796875" style="768"/>
    <col min="4630" max="4630" width="17.1796875" style="768" customWidth="1"/>
    <col min="4631" max="4636" width="8.7265625" style="768" customWidth="1"/>
    <col min="4637" max="4637" width="6.7265625" style="768" customWidth="1"/>
    <col min="4638" max="4638" width="3.7265625" style="768" customWidth="1"/>
    <col min="4639" max="4639" width="15.7265625" style="768" customWidth="1"/>
    <col min="4640" max="4885" width="9.1796875" style="768"/>
    <col min="4886" max="4886" width="17.1796875" style="768" customWidth="1"/>
    <col min="4887" max="4892" width="8.7265625" style="768" customWidth="1"/>
    <col min="4893" max="4893" width="6.7265625" style="768" customWidth="1"/>
    <col min="4894" max="4894" width="3.7265625" style="768" customWidth="1"/>
    <col min="4895" max="4895" width="15.7265625" style="768" customWidth="1"/>
    <col min="4896" max="5141" width="9.1796875" style="768"/>
    <col min="5142" max="5142" width="17.1796875" style="768" customWidth="1"/>
    <col min="5143" max="5148" width="8.7265625" style="768" customWidth="1"/>
    <col min="5149" max="5149" width="6.7265625" style="768" customWidth="1"/>
    <col min="5150" max="5150" width="3.7265625" style="768" customWidth="1"/>
    <col min="5151" max="5151" width="15.7265625" style="768" customWidth="1"/>
    <col min="5152" max="5397" width="9.1796875" style="768"/>
    <col min="5398" max="5398" width="17.1796875" style="768" customWidth="1"/>
    <col min="5399" max="5404" width="8.7265625" style="768" customWidth="1"/>
    <col min="5405" max="5405" width="6.7265625" style="768" customWidth="1"/>
    <col min="5406" max="5406" width="3.7265625" style="768" customWidth="1"/>
    <col min="5407" max="5407" width="15.7265625" style="768" customWidth="1"/>
    <col min="5408" max="5653" width="9.1796875" style="768"/>
    <col min="5654" max="5654" width="17.1796875" style="768" customWidth="1"/>
    <col min="5655" max="5660" width="8.7265625" style="768" customWidth="1"/>
    <col min="5661" max="5661" width="6.7265625" style="768" customWidth="1"/>
    <col min="5662" max="5662" width="3.7265625" style="768" customWidth="1"/>
    <col min="5663" max="5663" width="15.7265625" style="768" customWidth="1"/>
    <col min="5664" max="5909" width="9.1796875" style="768"/>
    <col min="5910" max="5910" width="17.1796875" style="768" customWidth="1"/>
    <col min="5911" max="5916" width="8.7265625" style="768" customWidth="1"/>
    <col min="5917" max="5917" width="6.7265625" style="768" customWidth="1"/>
    <col min="5918" max="5918" width="3.7265625" style="768" customWidth="1"/>
    <col min="5919" max="5919" width="15.7265625" style="768" customWidth="1"/>
    <col min="5920" max="6165" width="9.1796875" style="768"/>
    <col min="6166" max="6166" width="17.1796875" style="768" customWidth="1"/>
    <col min="6167" max="6172" width="8.7265625" style="768" customWidth="1"/>
    <col min="6173" max="6173" width="6.7265625" style="768" customWidth="1"/>
    <col min="6174" max="6174" width="3.7265625" style="768" customWidth="1"/>
    <col min="6175" max="6175" width="15.7265625" style="768" customWidth="1"/>
    <col min="6176" max="6421" width="9.1796875" style="768"/>
    <col min="6422" max="6422" width="17.1796875" style="768" customWidth="1"/>
    <col min="6423" max="6428" width="8.7265625" style="768" customWidth="1"/>
    <col min="6429" max="6429" width="6.7265625" style="768" customWidth="1"/>
    <col min="6430" max="6430" width="3.7265625" style="768" customWidth="1"/>
    <col min="6431" max="6431" width="15.7265625" style="768" customWidth="1"/>
    <col min="6432" max="6677" width="9.1796875" style="768"/>
    <col min="6678" max="6678" width="17.1796875" style="768" customWidth="1"/>
    <col min="6679" max="6684" width="8.7265625" style="768" customWidth="1"/>
    <col min="6685" max="6685" width="6.7265625" style="768" customWidth="1"/>
    <col min="6686" max="6686" width="3.7265625" style="768" customWidth="1"/>
    <col min="6687" max="6687" width="15.7265625" style="768" customWidth="1"/>
    <col min="6688" max="6933" width="9.1796875" style="768"/>
    <col min="6934" max="6934" width="17.1796875" style="768" customWidth="1"/>
    <col min="6935" max="6940" width="8.7265625" style="768" customWidth="1"/>
    <col min="6941" max="6941" width="6.7265625" style="768" customWidth="1"/>
    <col min="6942" max="6942" width="3.7265625" style="768" customWidth="1"/>
    <col min="6943" max="6943" width="15.7265625" style="768" customWidth="1"/>
    <col min="6944" max="7189" width="9.1796875" style="768"/>
    <col min="7190" max="7190" width="17.1796875" style="768" customWidth="1"/>
    <col min="7191" max="7196" width="8.7265625" style="768" customWidth="1"/>
    <col min="7197" max="7197" width="6.7265625" style="768" customWidth="1"/>
    <col min="7198" max="7198" width="3.7265625" style="768" customWidth="1"/>
    <col min="7199" max="7199" width="15.7265625" style="768" customWidth="1"/>
    <col min="7200" max="7445" width="9.1796875" style="768"/>
    <col min="7446" max="7446" width="17.1796875" style="768" customWidth="1"/>
    <col min="7447" max="7452" width="8.7265625" style="768" customWidth="1"/>
    <col min="7453" max="7453" width="6.7265625" style="768" customWidth="1"/>
    <col min="7454" max="7454" width="3.7265625" style="768" customWidth="1"/>
    <col min="7455" max="7455" width="15.7265625" style="768" customWidth="1"/>
    <col min="7456" max="7701" width="9.1796875" style="768"/>
    <col min="7702" max="7702" width="17.1796875" style="768" customWidth="1"/>
    <col min="7703" max="7708" width="8.7265625" style="768" customWidth="1"/>
    <col min="7709" max="7709" width="6.7265625" style="768" customWidth="1"/>
    <col min="7710" max="7710" width="3.7265625" style="768" customWidth="1"/>
    <col min="7711" max="7711" width="15.7265625" style="768" customWidth="1"/>
    <col min="7712" max="7957" width="9.1796875" style="768"/>
    <col min="7958" max="7958" width="17.1796875" style="768" customWidth="1"/>
    <col min="7959" max="7964" width="8.7265625" style="768" customWidth="1"/>
    <col min="7965" max="7965" width="6.7265625" style="768" customWidth="1"/>
    <col min="7966" max="7966" width="3.7265625" style="768" customWidth="1"/>
    <col min="7967" max="7967" width="15.7265625" style="768" customWidth="1"/>
    <col min="7968" max="8213" width="9.1796875" style="768"/>
    <col min="8214" max="8214" width="17.1796875" style="768" customWidth="1"/>
    <col min="8215" max="8220" width="8.7265625" style="768" customWidth="1"/>
    <col min="8221" max="8221" width="6.7265625" style="768" customWidth="1"/>
    <col min="8222" max="8222" width="3.7265625" style="768" customWidth="1"/>
    <col min="8223" max="8223" width="15.7265625" style="768" customWidth="1"/>
    <col min="8224" max="8469" width="9.1796875" style="768"/>
    <col min="8470" max="8470" width="17.1796875" style="768" customWidth="1"/>
    <col min="8471" max="8476" width="8.7265625" style="768" customWidth="1"/>
    <col min="8477" max="8477" width="6.7265625" style="768" customWidth="1"/>
    <col min="8478" max="8478" width="3.7265625" style="768" customWidth="1"/>
    <col min="8479" max="8479" width="15.7265625" style="768" customWidth="1"/>
    <col min="8480" max="8725" width="9.1796875" style="768"/>
    <col min="8726" max="8726" width="17.1796875" style="768" customWidth="1"/>
    <col min="8727" max="8732" width="8.7265625" style="768" customWidth="1"/>
    <col min="8733" max="8733" width="6.7265625" style="768" customWidth="1"/>
    <col min="8734" max="8734" width="3.7265625" style="768" customWidth="1"/>
    <col min="8735" max="8735" width="15.7265625" style="768" customWidth="1"/>
    <col min="8736" max="8981" width="9.1796875" style="768"/>
    <col min="8982" max="8982" width="17.1796875" style="768" customWidth="1"/>
    <col min="8983" max="8988" width="8.7265625" style="768" customWidth="1"/>
    <col min="8989" max="8989" width="6.7265625" style="768" customWidth="1"/>
    <col min="8990" max="8990" width="3.7265625" style="768" customWidth="1"/>
    <col min="8991" max="8991" width="15.7265625" style="768" customWidth="1"/>
    <col min="8992" max="9237" width="9.1796875" style="768"/>
    <col min="9238" max="9238" width="17.1796875" style="768" customWidth="1"/>
    <col min="9239" max="9244" width="8.7265625" style="768" customWidth="1"/>
    <col min="9245" max="9245" width="6.7265625" style="768" customWidth="1"/>
    <col min="9246" max="9246" width="3.7265625" style="768" customWidth="1"/>
    <col min="9247" max="9247" width="15.7265625" style="768" customWidth="1"/>
    <col min="9248" max="9493" width="9.1796875" style="768"/>
    <col min="9494" max="9494" width="17.1796875" style="768" customWidth="1"/>
    <col min="9495" max="9500" width="8.7265625" style="768" customWidth="1"/>
    <col min="9501" max="9501" width="6.7265625" style="768" customWidth="1"/>
    <col min="9502" max="9502" width="3.7265625" style="768" customWidth="1"/>
    <col min="9503" max="9503" width="15.7265625" style="768" customWidth="1"/>
    <col min="9504" max="9749" width="9.1796875" style="768"/>
    <col min="9750" max="9750" width="17.1796875" style="768" customWidth="1"/>
    <col min="9751" max="9756" width="8.7265625" style="768" customWidth="1"/>
    <col min="9757" max="9757" width="6.7265625" style="768" customWidth="1"/>
    <col min="9758" max="9758" width="3.7265625" style="768" customWidth="1"/>
    <col min="9759" max="9759" width="15.7265625" style="768" customWidth="1"/>
    <col min="9760" max="10005" width="9.1796875" style="768"/>
    <col min="10006" max="10006" width="17.1796875" style="768" customWidth="1"/>
    <col min="10007" max="10012" width="8.7265625" style="768" customWidth="1"/>
    <col min="10013" max="10013" width="6.7265625" style="768" customWidth="1"/>
    <col min="10014" max="10014" width="3.7265625" style="768" customWidth="1"/>
    <col min="10015" max="10015" width="15.7265625" style="768" customWidth="1"/>
    <col min="10016" max="10261" width="9.1796875" style="768"/>
    <col min="10262" max="10262" width="17.1796875" style="768" customWidth="1"/>
    <col min="10263" max="10268" width="8.7265625" style="768" customWidth="1"/>
    <col min="10269" max="10269" width="6.7265625" style="768" customWidth="1"/>
    <col min="10270" max="10270" width="3.7265625" style="768" customWidth="1"/>
    <col min="10271" max="10271" width="15.7265625" style="768" customWidth="1"/>
    <col min="10272" max="10517" width="9.1796875" style="768"/>
    <col min="10518" max="10518" width="17.1796875" style="768" customWidth="1"/>
    <col min="10519" max="10524" width="8.7265625" style="768" customWidth="1"/>
    <col min="10525" max="10525" width="6.7265625" style="768" customWidth="1"/>
    <col min="10526" max="10526" width="3.7265625" style="768" customWidth="1"/>
    <col min="10527" max="10527" width="15.7265625" style="768" customWidth="1"/>
    <col min="10528" max="10773" width="9.1796875" style="768"/>
    <col min="10774" max="10774" width="17.1796875" style="768" customWidth="1"/>
    <col min="10775" max="10780" width="8.7265625" style="768" customWidth="1"/>
    <col min="10781" max="10781" width="6.7265625" style="768" customWidth="1"/>
    <col min="10782" max="10782" width="3.7265625" style="768" customWidth="1"/>
    <col min="10783" max="10783" width="15.7265625" style="768" customWidth="1"/>
    <col min="10784" max="11029" width="9.1796875" style="768"/>
    <col min="11030" max="11030" width="17.1796875" style="768" customWidth="1"/>
    <col min="11031" max="11036" width="8.7265625" style="768" customWidth="1"/>
    <col min="11037" max="11037" width="6.7265625" style="768" customWidth="1"/>
    <col min="11038" max="11038" width="3.7265625" style="768" customWidth="1"/>
    <col min="11039" max="11039" width="15.7265625" style="768" customWidth="1"/>
    <col min="11040" max="11285" width="9.1796875" style="768"/>
    <col min="11286" max="11286" width="17.1796875" style="768" customWidth="1"/>
    <col min="11287" max="11292" width="8.7265625" style="768" customWidth="1"/>
    <col min="11293" max="11293" width="6.7265625" style="768" customWidth="1"/>
    <col min="11294" max="11294" width="3.7265625" style="768" customWidth="1"/>
    <col min="11295" max="11295" width="15.7265625" style="768" customWidth="1"/>
    <col min="11296" max="11541" width="9.1796875" style="768"/>
    <col min="11542" max="11542" width="17.1796875" style="768" customWidth="1"/>
    <col min="11543" max="11548" width="8.7265625" style="768" customWidth="1"/>
    <col min="11549" max="11549" width="6.7265625" style="768" customWidth="1"/>
    <col min="11550" max="11550" width="3.7265625" style="768" customWidth="1"/>
    <col min="11551" max="11551" width="15.7265625" style="768" customWidth="1"/>
    <col min="11552" max="11797" width="9.1796875" style="768"/>
    <col min="11798" max="11798" width="17.1796875" style="768" customWidth="1"/>
    <col min="11799" max="11804" width="8.7265625" style="768" customWidth="1"/>
    <col min="11805" max="11805" width="6.7265625" style="768" customWidth="1"/>
    <col min="11806" max="11806" width="3.7265625" style="768" customWidth="1"/>
    <col min="11807" max="11807" width="15.7265625" style="768" customWidth="1"/>
    <col min="11808" max="12053" width="9.1796875" style="768"/>
    <col min="12054" max="12054" width="17.1796875" style="768" customWidth="1"/>
    <col min="12055" max="12060" width="8.7265625" style="768" customWidth="1"/>
    <col min="12061" max="12061" width="6.7265625" style="768" customWidth="1"/>
    <col min="12062" max="12062" width="3.7265625" style="768" customWidth="1"/>
    <col min="12063" max="12063" width="15.7265625" style="768" customWidth="1"/>
    <col min="12064" max="12309" width="9.1796875" style="768"/>
    <col min="12310" max="12310" width="17.1796875" style="768" customWidth="1"/>
    <col min="12311" max="12316" width="8.7265625" style="768" customWidth="1"/>
    <col min="12317" max="12317" width="6.7265625" style="768" customWidth="1"/>
    <col min="12318" max="12318" width="3.7265625" style="768" customWidth="1"/>
    <col min="12319" max="12319" width="15.7265625" style="768" customWidth="1"/>
    <col min="12320" max="12565" width="9.1796875" style="768"/>
    <col min="12566" max="12566" width="17.1796875" style="768" customWidth="1"/>
    <col min="12567" max="12572" width="8.7265625" style="768" customWidth="1"/>
    <col min="12573" max="12573" width="6.7265625" style="768" customWidth="1"/>
    <col min="12574" max="12574" width="3.7265625" style="768" customWidth="1"/>
    <col min="12575" max="12575" width="15.7265625" style="768" customWidth="1"/>
    <col min="12576" max="12821" width="9.1796875" style="768"/>
    <col min="12822" max="12822" width="17.1796875" style="768" customWidth="1"/>
    <col min="12823" max="12828" width="8.7265625" style="768" customWidth="1"/>
    <col min="12829" max="12829" width="6.7265625" style="768" customWidth="1"/>
    <col min="12830" max="12830" width="3.7265625" style="768" customWidth="1"/>
    <col min="12831" max="12831" width="15.7265625" style="768" customWidth="1"/>
    <col min="12832" max="13077" width="9.1796875" style="768"/>
    <col min="13078" max="13078" width="17.1796875" style="768" customWidth="1"/>
    <col min="13079" max="13084" width="8.7265625" style="768" customWidth="1"/>
    <col min="13085" max="13085" width="6.7265625" style="768" customWidth="1"/>
    <col min="13086" max="13086" width="3.7265625" style="768" customWidth="1"/>
    <col min="13087" max="13087" width="15.7265625" style="768" customWidth="1"/>
    <col min="13088" max="13333" width="9.1796875" style="768"/>
    <col min="13334" max="13334" width="17.1796875" style="768" customWidth="1"/>
    <col min="13335" max="13340" width="8.7265625" style="768" customWidth="1"/>
    <col min="13341" max="13341" width="6.7265625" style="768" customWidth="1"/>
    <col min="13342" max="13342" width="3.7265625" style="768" customWidth="1"/>
    <col min="13343" max="13343" width="15.7265625" style="768" customWidth="1"/>
    <col min="13344" max="13589" width="9.1796875" style="768"/>
    <col min="13590" max="13590" width="17.1796875" style="768" customWidth="1"/>
    <col min="13591" max="13596" width="8.7265625" style="768" customWidth="1"/>
    <col min="13597" max="13597" width="6.7265625" style="768" customWidth="1"/>
    <col min="13598" max="13598" width="3.7265625" style="768" customWidth="1"/>
    <col min="13599" max="13599" width="15.7265625" style="768" customWidth="1"/>
    <col min="13600" max="13845" width="9.1796875" style="768"/>
    <col min="13846" max="13846" width="17.1796875" style="768" customWidth="1"/>
    <col min="13847" max="13852" width="8.7265625" style="768" customWidth="1"/>
    <col min="13853" max="13853" width="6.7265625" style="768" customWidth="1"/>
    <col min="13854" max="13854" width="3.7265625" style="768" customWidth="1"/>
    <col min="13855" max="13855" width="15.7265625" style="768" customWidth="1"/>
    <col min="13856" max="14101" width="9.1796875" style="768"/>
    <col min="14102" max="14102" width="17.1796875" style="768" customWidth="1"/>
    <col min="14103" max="14108" width="8.7265625" style="768" customWidth="1"/>
    <col min="14109" max="14109" width="6.7265625" style="768" customWidth="1"/>
    <col min="14110" max="14110" width="3.7265625" style="768" customWidth="1"/>
    <col min="14111" max="14111" width="15.7265625" style="768" customWidth="1"/>
    <col min="14112" max="14357" width="9.1796875" style="768"/>
    <col min="14358" max="14358" width="17.1796875" style="768" customWidth="1"/>
    <col min="14359" max="14364" width="8.7265625" style="768" customWidth="1"/>
    <col min="14365" max="14365" width="6.7265625" style="768" customWidth="1"/>
    <col min="14366" max="14366" width="3.7265625" style="768" customWidth="1"/>
    <col min="14367" max="14367" width="15.7265625" style="768" customWidth="1"/>
    <col min="14368" max="14613" width="9.1796875" style="768"/>
    <col min="14614" max="14614" width="17.1796875" style="768" customWidth="1"/>
    <col min="14615" max="14620" width="8.7265625" style="768" customWidth="1"/>
    <col min="14621" max="14621" width="6.7265625" style="768" customWidth="1"/>
    <col min="14622" max="14622" width="3.7265625" style="768" customWidth="1"/>
    <col min="14623" max="14623" width="15.7265625" style="768" customWidth="1"/>
    <col min="14624" max="14869" width="9.1796875" style="768"/>
    <col min="14870" max="14870" width="17.1796875" style="768" customWidth="1"/>
    <col min="14871" max="14876" width="8.7265625" style="768" customWidth="1"/>
    <col min="14877" max="14877" width="6.7265625" style="768" customWidth="1"/>
    <col min="14878" max="14878" width="3.7265625" style="768" customWidth="1"/>
    <col min="14879" max="14879" width="15.7265625" style="768" customWidth="1"/>
    <col min="14880" max="15125" width="9.1796875" style="768"/>
    <col min="15126" max="15126" width="17.1796875" style="768" customWidth="1"/>
    <col min="15127" max="15132" width="8.7265625" style="768" customWidth="1"/>
    <col min="15133" max="15133" width="6.7265625" style="768" customWidth="1"/>
    <col min="15134" max="15134" width="3.7265625" style="768" customWidth="1"/>
    <col min="15135" max="15135" width="15.7265625" style="768" customWidth="1"/>
    <col min="15136" max="15381" width="9.1796875" style="768"/>
    <col min="15382" max="15382" width="17.1796875" style="768" customWidth="1"/>
    <col min="15383" max="15388" width="8.7265625" style="768" customWidth="1"/>
    <col min="15389" max="15389" width="6.7265625" style="768" customWidth="1"/>
    <col min="15390" max="15390" width="3.7265625" style="768" customWidth="1"/>
    <col min="15391" max="15391" width="15.7265625" style="768" customWidth="1"/>
    <col min="15392" max="15637" width="9.1796875" style="768"/>
    <col min="15638" max="15638" width="17.1796875" style="768" customWidth="1"/>
    <col min="15639" max="15644" width="8.7265625" style="768" customWidth="1"/>
    <col min="15645" max="15645" width="6.7265625" style="768" customWidth="1"/>
    <col min="15646" max="15646" width="3.7265625" style="768" customWidth="1"/>
    <col min="15647" max="15647" width="15.7265625" style="768" customWidth="1"/>
    <col min="15648" max="15893" width="9.1796875" style="768"/>
    <col min="15894" max="15894" width="17.1796875" style="768" customWidth="1"/>
    <col min="15895" max="15900" width="8.7265625" style="768" customWidth="1"/>
    <col min="15901" max="15901" width="6.7265625" style="768" customWidth="1"/>
    <col min="15902" max="15902" width="3.7265625" style="768" customWidth="1"/>
    <col min="15903" max="15903" width="15.7265625" style="768" customWidth="1"/>
    <col min="15904" max="16149" width="9.1796875" style="768"/>
    <col min="16150" max="16150" width="17.1796875" style="768" customWidth="1"/>
    <col min="16151" max="16156" width="8.7265625" style="768" customWidth="1"/>
    <col min="16157" max="16157" width="6.7265625" style="768" customWidth="1"/>
    <col min="16158" max="16158" width="3.7265625" style="768" customWidth="1"/>
    <col min="16159" max="16159" width="15.7265625" style="768" customWidth="1"/>
    <col min="16160" max="16384" width="9.1796875" style="768"/>
  </cols>
  <sheetData>
    <row r="1" spans="1:65" s="46" customFormat="1" ht="15" customHeight="1" x14ac:dyDescent="0.25">
      <c r="A1" s="1177"/>
      <c r="B1" s="1178"/>
      <c r="C1" s="1178"/>
      <c r="D1" s="1179"/>
      <c r="E1" s="1186" t="s">
        <v>24</v>
      </c>
      <c r="F1" s="1187"/>
      <c r="G1" s="1187"/>
      <c r="H1" s="1187"/>
      <c r="I1" s="1187"/>
      <c r="J1" s="1187"/>
      <c r="K1" s="1187"/>
      <c r="L1" s="1187"/>
      <c r="M1" s="1187"/>
      <c r="N1" s="1187"/>
      <c r="O1" s="1187"/>
      <c r="P1" s="1187"/>
      <c r="Q1" s="1187"/>
      <c r="R1" s="1187"/>
      <c r="S1" s="1187"/>
      <c r="T1" s="1187"/>
      <c r="U1" s="1187"/>
      <c r="V1" s="1187"/>
      <c r="W1" s="1187"/>
      <c r="X1" s="1187"/>
      <c r="Y1" s="1187"/>
      <c r="Z1" s="1188"/>
      <c r="AA1" s="1014"/>
      <c r="AB1" s="1014"/>
      <c r="AC1" s="1014"/>
      <c r="AD1" s="1014"/>
      <c r="AE1" s="1014"/>
      <c r="AF1" s="1014"/>
      <c r="AG1" s="1014"/>
      <c r="AH1" s="1014"/>
    </row>
    <row r="2" spans="1:65" s="46" customFormat="1" ht="15" customHeight="1" x14ac:dyDescent="0.25">
      <c r="A2" s="1180"/>
      <c r="B2" s="1181"/>
      <c r="C2" s="1181"/>
      <c r="D2" s="1182"/>
      <c r="E2" s="1189"/>
      <c r="F2" s="1190"/>
      <c r="G2" s="1190"/>
      <c r="H2" s="1190"/>
      <c r="I2" s="1190"/>
      <c r="J2" s="1190"/>
      <c r="K2" s="1190"/>
      <c r="L2" s="1190"/>
      <c r="M2" s="1190"/>
      <c r="N2" s="1190"/>
      <c r="O2" s="1190"/>
      <c r="P2" s="1190"/>
      <c r="Q2" s="1190"/>
      <c r="R2" s="1190"/>
      <c r="S2" s="1190"/>
      <c r="T2" s="1190"/>
      <c r="U2" s="1190"/>
      <c r="V2" s="1190"/>
      <c r="W2" s="1190"/>
      <c r="X2" s="1190"/>
      <c r="Y2" s="1190"/>
      <c r="Z2" s="1191"/>
      <c r="AA2" s="1014"/>
      <c r="AB2" s="1014"/>
      <c r="AC2" s="1014"/>
      <c r="AD2" s="1014"/>
      <c r="AE2" s="1014"/>
      <c r="AF2" s="1014"/>
      <c r="AG2" s="1014"/>
      <c r="AH2" s="1014"/>
      <c r="AT2" s="732" t="str">
        <f>+IF(AA7="","",IF(OR(AA7=AH7,AH14),AT7,IF(OR(AA7=AH15,AA7=AH16,AA7=AH9,AA7=AH10),AU7,IF(AA7=AH8,AV7,IF(AA7=AH11,AW7,IF(AA7=AH12,AX7,IF(AA7=AH17,AY7,"")))))))</f>
        <v/>
      </c>
    </row>
    <row r="3" spans="1:65" s="46" customFormat="1" ht="15" customHeight="1" x14ac:dyDescent="0.25">
      <c r="A3" s="1180"/>
      <c r="B3" s="1181"/>
      <c r="C3" s="1181"/>
      <c r="D3" s="1182"/>
      <c r="E3" s="1189"/>
      <c r="F3" s="1190"/>
      <c r="G3" s="1190"/>
      <c r="H3" s="1190"/>
      <c r="I3" s="1190"/>
      <c r="J3" s="1190"/>
      <c r="K3" s="1190"/>
      <c r="L3" s="1190"/>
      <c r="M3" s="1190"/>
      <c r="N3" s="1190"/>
      <c r="O3" s="1190"/>
      <c r="P3" s="1190"/>
      <c r="Q3" s="1190"/>
      <c r="R3" s="1190"/>
      <c r="S3" s="1190"/>
      <c r="T3" s="1190"/>
      <c r="U3" s="1190"/>
      <c r="V3" s="1190"/>
      <c r="W3" s="1190"/>
      <c r="X3" s="1190"/>
      <c r="Y3" s="1190"/>
      <c r="Z3" s="1191"/>
      <c r="AA3" s="1014"/>
      <c r="AB3" s="1014"/>
      <c r="AC3" s="1014"/>
      <c r="AD3" s="1014"/>
      <c r="AE3" s="1014"/>
      <c r="AF3" s="1014"/>
      <c r="AG3" s="1014"/>
      <c r="AH3" s="1014"/>
      <c r="AT3" s="1175" t="str">
        <f>CONCATENATE(AI7, " y ",AP7)</f>
        <v>Densidades y Materiales granulares</v>
      </c>
      <c r="AU3" s="1194" t="str">
        <f>CONCATENATE(AQ7," , ",AL7, " , ",AR7," y ",AK7)</f>
        <v>Mezcla asfaltica , Diseños , Concreto hidráulico y Núcleos</v>
      </c>
      <c r="AV3" s="1169" t="str">
        <f>+AJ7</f>
        <v>Apiques</v>
      </c>
      <c r="AW3" s="1169" t="str">
        <f>+AM7</f>
        <v>Cemento asfaltico</v>
      </c>
      <c r="AX3" s="1169" t="str">
        <f>+AN7</f>
        <v>Emulsión asfaltica</v>
      </c>
      <c r="AY3" s="1169" t="str">
        <f>+AS7</f>
        <v>Otros</v>
      </c>
      <c r="AZ3" s="1164" t="str">
        <f>+AH13</f>
        <v>Materiales pétreos</v>
      </c>
    </row>
    <row r="4" spans="1:65" s="46" customFormat="1" ht="15" customHeight="1" x14ac:dyDescent="0.25">
      <c r="A4" s="1180"/>
      <c r="B4" s="1181"/>
      <c r="C4" s="1181"/>
      <c r="D4" s="1182"/>
      <c r="E4" s="1171" t="s">
        <v>321</v>
      </c>
      <c r="F4" s="1171"/>
      <c r="G4" s="1171"/>
      <c r="H4" s="1171"/>
      <c r="I4" s="1171"/>
      <c r="J4" s="1171"/>
      <c r="K4" s="1171"/>
      <c r="L4" s="1171"/>
      <c r="M4" s="1171"/>
      <c r="N4" s="1171"/>
      <c r="O4" s="1171"/>
      <c r="P4" s="1171"/>
      <c r="Q4" s="1171"/>
      <c r="R4" s="1171"/>
      <c r="S4" s="1171"/>
      <c r="T4" s="1171"/>
      <c r="U4" s="1171" t="s">
        <v>495</v>
      </c>
      <c r="V4" s="1171"/>
      <c r="W4" s="1171"/>
      <c r="X4" s="1171"/>
      <c r="Y4" s="1171"/>
      <c r="Z4" s="1171"/>
      <c r="AA4" s="733"/>
      <c r="AB4" s="733"/>
      <c r="AC4" s="733"/>
      <c r="AD4" s="733"/>
      <c r="AE4" s="733"/>
      <c r="AF4" s="733"/>
      <c r="AG4" s="733"/>
      <c r="AH4" s="733"/>
      <c r="AT4" s="1176"/>
      <c r="AU4" s="1195"/>
      <c r="AV4" s="1170"/>
      <c r="AW4" s="1170"/>
      <c r="AX4" s="1170"/>
      <c r="AY4" s="1170"/>
      <c r="AZ4" s="1165"/>
    </row>
    <row r="5" spans="1:65" s="46" customFormat="1" ht="15" customHeight="1" x14ac:dyDescent="0.3">
      <c r="A5" s="1183"/>
      <c r="B5" s="1184"/>
      <c r="C5" s="1184"/>
      <c r="D5" s="1185"/>
      <c r="E5" s="1171" t="s">
        <v>499</v>
      </c>
      <c r="F5" s="1171"/>
      <c r="G5" s="1171"/>
      <c r="H5" s="1171"/>
      <c r="I5" s="1171"/>
      <c r="J5" s="1171"/>
      <c r="K5" s="1171"/>
      <c r="L5" s="1171"/>
      <c r="M5" s="1171"/>
      <c r="N5" s="1171"/>
      <c r="O5" s="1171"/>
      <c r="P5" s="1171"/>
      <c r="Q5" s="1171"/>
      <c r="R5" s="1171"/>
      <c r="S5" s="1171"/>
      <c r="T5" s="1171"/>
      <c r="U5" s="1171"/>
      <c r="V5" s="1171"/>
      <c r="W5" s="1171"/>
      <c r="X5" s="1171"/>
      <c r="Y5" s="1171"/>
      <c r="Z5" s="1171"/>
      <c r="AA5" s="734" t="s">
        <v>322</v>
      </c>
      <c r="AB5" s="733"/>
      <c r="AC5" s="733"/>
      <c r="AD5" s="733"/>
      <c r="AE5" s="733"/>
      <c r="AF5" s="733"/>
      <c r="AG5" s="733"/>
      <c r="AH5" s="733"/>
      <c r="AT5" s="1176"/>
      <c r="AU5" s="1195"/>
      <c r="AV5" s="1170"/>
      <c r="AW5" s="1170"/>
      <c r="AX5" s="1170"/>
      <c r="AY5" s="1170"/>
      <c r="AZ5" s="1165"/>
    </row>
    <row r="6" spans="1:65" s="743" customFormat="1" ht="15" customHeight="1" x14ac:dyDescent="0.3">
      <c r="A6" s="735"/>
      <c r="B6" s="736"/>
      <c r="C6" s="736"/>
      <c r="D6" s="736"/>
      <c r="E6" s="736"/>
      <c r="F6" s="736"/>
      <c r="G6" s="736"/>
      <c r="H6" s="736"/>
      <c r="I6" s="736"/>
      <c r="J6" s="736"/>
      <c r="K6" s="736"/>
      <c r="L6" s="736"/>
      <c r="M6" s="736"/>
      <c r="N6" s="736"/>
      <c r="O6" s="736"/>
      <c r="P6" s="736"/>
      <c r="Q6" s="736"/>
      <c r="R6" s="736"/>
      <c r="S6" s="736"/>
      <c r="T6" s="736"/>
      <c r="U6" s="736"/>
      <c r="V6" s="736"/>
      <c r="W6" s="736"/>
      <c r="X6" s="736"/>
      <c r="Y6" s="736"/>
      <c r="Z6" s="737"/>
      <c r="AA6" s="738" t="str">
        <f>+AH6</f>
        <v>Servicios</v>
      </c>
      <c r="AB6" s="738" t="s">
        <v>305</v>
      </c>
      <c r="AC6" s="739" t="str">
        <f>+B31</f>
        <v>Cliente:</v>
      </c>
      <c r="AD6" s="1172" t="e">
        <f>+#REF!</f>
        <v>#REF!</v>
      </c>
      <c r="AE6" s="1173"/>
      <c r="AF6" s="1174"/>
      <c r="AG6" s="740"/>
      <c r="AH6" s="741" t="s">
        <v>323</v>
      </c>
      <c r="AI6" s="1197" t="str">
        <f>+B11</f>
        <v>Material ensayado:</v>
      </c>
      <c r="AJ6" s="1198"/>
      <c r="AK6" s="1198"/>
      <c r="AL6" s="1198"/>
      <c r="AM6" s="1198"/>
      <c r="AN6" s="1198"/>
      <c r="AO6" s="1198"/>
      <c r="AP6" s="1198"/>
      <c r="AQ6" s="1198"/>
      <c r="AR6" s="1198"/>
      <c r="AS6" s="1198"/>
      <c r="AT6" s="1176"/>
      <c r="AU6" s="1195"/>
      <c r="AV6" s="1170"/>
      <c r="AW6" s="1170"/>
      <c r="AX6" s="1170"/>
      <c r="AY6" s="1170"/>
      <c r="AZ6" s="1165"/>
      <c r="BA6" s="742"/>
      <c r="BB6" s="1160" t="str">
        <f>+B15</f>
        <v>Fuente:</v>
      </c>
      <c r="BC6" s="1161"/>
      <c r="BD6" s="1161"/>
      <c r="BE6" s="1161"/>
      <c r="BF6" s="1161"/>
      <c r="BG6" s="1161"/>
      <c r="BH6" s="1161"/>
      <c r="BI6" s="1161"/>
      <c r="BJ6" s="1161"/>
      <c r="BK6" s="1161"/>
      <c r="BL6" s="1161"/>
      <c r="BM6" s="1162"/>
    </row>
    <row r="7" spans="1:65" s="743" customFormat="1" ht="15" customHeight="1" x14ac:dyDescent="0.35">
      <c r="A7" s="744"/>
      <c r="B7" s="745"/>
      <c r="C7" s="745"/>
      <c r="D7" s="745"/>
      <c r="E7" s="745"/>
      <c r="F7" s="745"/>
      <c r="G7" s="745"/>
      <c r="H7" s="745"/>
      <c r="I7" s="745"/>
      <c r="J7" s="745"/>
      <c r="K7" s="745"/>
      <c r="L7" s="745"/>
      <c r="M7" s="745"/>
      <c r="N7" s="745"/>
      <c r="O7" s="745"/>
      <c r="P7" s="745"/>
      <c r="Q7" s="746" t="s">
        <v>55</v>
      </c>
      <c r="R7" s="745"/>
      <c r="S7" s="1163"/>
      <c r="T7" s="1163"/>
      <c r="U7" s="1163"/>
      <c r="V7" s="1163"/>
      <c r="W7" s="1163"/>
      <c r="X7" s="1163"/>
      <c r="Y7" s="1163"/>
      <c r="Z7" s="747"/>
      <c r="AA7" s="748"/>
      <c r="AB7" s="749" t="s">
        <v>306</v>
      </c>
      <c r="AC7" s="750" t="s">
        <v>325</v>
      </c>
      <c r="AD7" s="751" t="s">
        <v>326</v>
      </c>
      <c r="AE7" s="752" t="s">
        <v>327</v>
      </c>
      <c r="AF7" s="753" t="s">
        <v>328</v>
      </c>
      <c r="AG7" s="743">
        <v>1</v>
      </c>
      <c r="AH7" s="743" t="s">
        <v>329</v>
      </c>
      <c r="AI7" s="754" t="str">
        <f>+AH7</f>
        <v>Densidades</v>
      </c>
      <c r="AJ7" s="755" t="str">
        <f>+AH8</f>
        <v>Apiques</v>
      </c>
      <c r="AK7" s="755" t="str">
        <f>+AH9</f>
        <v>Núcleos</v>
      </c>
      <c r="AL7" s="755" t="str">
        <f>+AH10</f>
        <v>Diseños</v>
      </c>
      <c r="AM7" s="755" t="str">
        <f>+AH11</f>
        <v>Cemento asfaltico</v>
      </c>
      <c r="AN7" s="755" t="str">
        <f>+AH12</f>
        <v>Emulsión asfaltica</v>
      </c>
      <c r="AO7" s="755" t="str">
        <f>+AH13</f>
        <v>Materiales pétreos</v>
      </c>
      <c r="AP7" s="755" t="str">
        <f>+AH14</f>
        <v>Materiales granulares</v>
      </c>
      <c r="AQ7" s="755" t="str">
        <f>+AH15</f>
        <v>Mezcla asfaltica</v>
      </c>
      <c r="AR7" s="755" t="str">
        <f>+AH16</f>
        <v>Concreto hidráulico</v>
      </c>
      <c r="AS7" s="755" t="str">
        <f>+AH17</f>
        <v>Otros</v>
      </c>
      <c r="AT7" s="756">
        <v>1</v>
      </c>
      <c r="AU7" s="755">
        <v>2</v>
      </c>
      <c r="AV7" s="755">
        <v>3</v>
      </c>
      <c r="AW7" s="755">
        <v>4</v>
      </c>
      <c r="AX7" s="755">
        <v>5</v>
      </c>
      <c r="AY7" s="755">
        <v>6</v>
      </c>
      <c r="AZ7" s="757">
        <v>7</v>
      </c>
      <c r="BB7" s="758"/>
      <c r="BC7" s="759" t="str">
        <f>+AH7</f>
        <v>Densidades</v>
      </c>
      <c r="BD7" s="759" t="str">
        <f>+AH8</f>
        <v>Apiques</v>
      </c>
      <c r="BE7" s="759" t="str">
        <f>+AH9</f>
        <v>Núcleos</v>
      </c>
      <c r="BF7" s="759" t="str">
        <f>+AH10</f>
        <v>Diseños</v>
      </c>
      <c r="BG7" s="759" t="str">
        <f>+AH11</f>
        <v>Cemento asfaltico</v>
      </c>
      <c r="BH7" s="759" t="str">
        <f>+AH12</f>
        <v>Emulsión asfaltica</v>
      </c>
      <c r="BI7" s="759" t="str">
        <f>+AH13</f>
        <v>Materiales pétreos</v>
      </c>
      <c r="BJ7" s="759" t="str">
        <f>+AH14</f>
        <v>Materiales granulares</v>
      </c>
      <c r="BK7" s="759" t="str">
        <f>+AH15</f>
        <v>Mezcla asfaltica</v>
      </c>
      <c r="BL7" s="759" t="str">
        <f>+AH16</f>
        <v>Concreto hidráulico</v>
      </c>
      <c r="BM7" s="760" t="str">
        <f>+AH17</f>
        <v>Otros</v>
      </c>
    </row>
    <row r="8" spans="1:65" s="743" customFormat="1" ht="15" customHeight="1" x14ac:dyDescent="0.25">
      <c r="A8" s="744"/>
      <c r="B8" s="745"/>
      <c r="C8" s="745"/>
      <c r="D8" s="745"/>
      <c r="E8" s="745"/>
      <c r="F8" s="745"/>
      <c r="G8" s="745"/>
      <c r="H8" s="745"/>
      <c r="I8" s="745"/>
      <c r="J8" s="745"/>
      <c r="K8" s="745"/>
      <c r="L8" s="745"/>
      <c r="M8" s="745"/>
      <c r="N8" s="745"/>
      <c r="O8" s="745"/>
      <c r="P8" s="745"/>
      <c r="Q8" s="745"/>
      <c r="R8" s="745"/>
      <c r="S8" s="745"/>
      <c r="T8" s="745"/>
      <c r="U8" s="745"/>
      <c r="V8" s="1192" t="str">
        <f>IF(S7="",AB11,CONCATENATE(AB7," ",AB8," ",AB9," ", AB10))</f>
        <v>Pagina xx de xx</v>
      </c>
      <c r="W8" s="1192"/>
      <c r="X8" s="1192"/>
      <c r="Y8" s="1192"/>
      <c r="Z8" s="747"/>
      <c r="AA8" s="738" t="s">
        <v>419</v>
      </c>
      <c r="AB8" s="761" t="str">
        <f>IF(S7="","",1)</f>
        <v/>
      </c>
      <c r="AC8" s="750" t="s">
        <v>168</v>
      </c>
      <c r="AD8" s="1193" t="s">
        <v>462</v>
      </c>
      <c r="AE8" s="1140" t="s">
        <v>286</v>
      </c>
      <c r="AF8" s="1141"/>
      <c r="AG8" s="746">
        <v>2</v>
      </c>
      <c r="AH8" s="746" t="s">
        <v>330</v>
      </c>
      <c r="AI8" s="1015" t="s">
        <v>331</v>
      </c>
      <c r="AJ8" s="1016" t="s">
        <v>332</v>
      </c>
      <c r="AK8" s="1016" t="s">
        <v>110</v>
      </c>
      <c r="AL8" s="1016" t="str">
        <f t="shared" ref="AL8:AL13" si="0">+AQ8</f>
        <v>MD-10</v>
      </c>
      <c r="AM8" s="1016" t="s">
        <v>333</v>
      </c>
      <c r="AN8" s="1016" t="s">
        <v>334</v>
      </c>
      <c r="AO8" s="1016" t="s">
        <v>335</v>
      </c>
      <c r="AP8" s="1016" t="s">
        <v>336</v>
      </c>
      <c r="AQ8" s="1016" t="s">
        <v>110</v>
      </c>
      <c r="AR8" s="1016" t="s">
        <v>337</v>
      </c>
      <c r="AS8" s="1016" t="str">
        <f>+AI8:AI17</f>
        <v>Base granular tipo A</v>
      </c>
      <c r="AT8" s="1015" t="str">
        <f>+AP8</f>
        <v>Base granular Tipo A</v>
      </c>
      <c r="AU8" s="1016" t="str">
        <f>+AL8</f>
        <v>MD-10</v>
      </c>
      <c r="AV8" s="1016" t="str">
        <f>+AJ8</f>
        <v>Ver perfil estratigráfico del suelo INV E-101 y 102-13</v>
      </c>
      <c r="AW8" s="1016" t="str">
        <f t="shared" ref="AW8:AX10" si="1">+AM8</f>
        <v>Cemento asfaltico CA-14</v>
      </c>
      <c r="AX8" s="1016" t="str">
        <f t="shared" si="1"/>
        <v>Emulsión asfaltica CRL-1 (60-100)</v>
      </c>
      <c r="AY8" s="1016" t="str">
        <f>+AS8</f>
        <v>Base granular tipo A</v>
      </c>
      <c r="AZ8" s="1017" t="str">
        <f>+AO8</f>
        <v>Grava 1"</v>
      </c>
      <c r="BB8" s="762">
        <v>1</v>
      </c>
      <c r="BC8" s="763" t="s">
        <v>338</v>
      </c>
      <c r="BD8" s="763" t="s">
        <v>339</v>
      </c>
      <c r="BE8" s="763" t="s">
        <v>338</v>
      </c>
      <c r="BF8" s="763"/>
      <c r="BG8" s="763" t="s">
        <v>39</v>
      </c>
      <c r="BH8" s="763" t="s">
        <v>39</v>
      </c>
      <c r="BI8" s="763" t="s">
        <v>39</v>
      </c>
      <c r="BJ8" s="763" t="s">
        <v>39</v>
      </c>
      <c r="BK8" s="763" t="s">
        <v>39</v>
      </c>
      <c r="BL8" s="763" t="s">
        <v>39</v>
      </c>
      <c r="BM8" s="764"/>
    </row>
    <row r="9" spans="1:65" s="743" customFormat="1" ht="15" customHeight="1" x14ac:dyDescent="0.3">
      <c r="A9" s="765"/>
      <c r="B9" s="1166" t="s">
        <v>340</v>
      </c>
      <c r="C9" s="1166"/>
      <c r="D9" s="1166"/>
      <c r="E9" s="1166"/>
      <c r="F9" s="1166"/>
      <c r="G9" s="1166"/>
      <c r="H9" s="1166"/>
      <c r="I9" s="1166"/>
      <c r="J9" s="1166"/>
      <c r="K9" s="1166"/>
      <c r="L9" s="1166"/>
      <c r="M9" s="1166"/>
      <c r="N9" s="1166"/>
      <c r="O9" s="1166"/>
      <c r="P9" s="1166"/>
      <c r="Q9" s="1166"/>
      <c r="R9" s="1166"/>
      <c r="S9" s="1166"/>
      <c r="T9" s="1166"/>
      <c r="U9" s="1166"/>
      <c r="V9" s="1166"/>
      <c r="W9" s="1166"/>
      <c r="X9" s="1166"/>
      <c r="Y9" s="1166"/>
      <c r="Z9" s="766"/>
      <c r="AA9" s="820" t="s">
        <v>425</v>
      </c>
      <c r="AB9" s="767" t="s">
        <v>307</v>
      </c>
      <c r="AC9" s="750" t="s">
        <v>169</v>
      </c>
      <c r="AD9" s="1193"/>
      <c r="AE9" s="1140"/>
      <c r="AF9" s="1141"/>
      <c r="AG9" s="768">
        <v>3</v>
      </c>
      <c r="AH9" s="746" t="s">
        <v>341</v>
      </c>
      <c r="AI9" s="1015" t="s">
        <v>342</v>
      </c>
      <c r="AJ9" s="1016"/>
      <c r="AK9" s="1016" t="s">
        <v>32</v>
      </c>
      <c r="AL9" s="1016" t="str">
        <f t="shared" si="0"/>
        <v>MD-12</v>
      </c>
      <c r="AM9" s="1016" t="s">
        <v>343</v>
      </c>
      <c r="AN9" s="1016" t="s">
        <v>344</v>
      </c>
      <c r="AO9" s="1016" t="s">
        <v>345</v>
      </c>
      <c r="AP9" s="1016" t="s">
        <v>346</v>
      </c>
      <c r="AQ9" s="1016" t="s">
        <v>32</v>
      </c>
      <c r="AR9" s="1016" t="s">
        <v>347</v>
      </c>
      <c r="AS9" s="1016" t="str">
        <f t="shared" ref="AS9:AS17" si="2">+AI9:AI18</f>
        <v>Base granular tipo B</v>
      </c>
      <c r="AT9" s="1015" t="str">
        <f t="shared" ref="AT9:AT17" si="3">+AP9</f>
        <v>Base granular Tipo B</v>
      </c>
      <c r="AU9" s="1016" t="str">
        <f t="shared" ref="AU9:AU16" si="4">+AL9</f>
        <v>MD-12</v>
      </c>
      <c r="AV9" s="1016"/>
      <c r="AW9" s="1016" t="str">
        <f t="shared" si="1"/>
        <v>Cemento asfaltico modificado con GCR</v>
      </c>
      <c r="AX9" s="1016" t="str">
        <f t="shared" si="1"/>
        <v>Emulsión asfaltica CRL-1 (100-250)</v>
      </c>
      <c r="AY9" s="1016" t="str">
        <f t="shared" ref="AY9:AY49" si="5">+AS9</f>
        <v>Base granular tipo B</v>
      </c>
      <c r="AZ9" s="1017" t="str">
        <f t="shared" ref="AZ9:AZ17" si="6">+AO9</f>
        <v>Grava ¾"</v>
      </c>
      <c r="BB9" s="762">
        <v>2</v>
      </c>
      <c r="BC9" s="763" t="s">
        <v>339</v>
      </c>
      <c r="BD9" s="763" t="s">
        <v>348</v>
      </c>
      <c r="BE9" s="763" t="s">
        <v>348</v>
      </c>
      <c r="BF9" s="763"/>
      <c r="BG9" s="763" t="s">
        <v>349</v>
      </c>
      <c r="BH9" s="763" t="s">
        <v>349</v>
      </c>
      <c r="BI9" s="763" t="s">
        <v>350</v>
      </c>
      <c r="BJ9" s="769" t="s">
        <v>351</v>
      </c>
      <c r="BK9" s="763" t="s">
        <v>160</v>
      </c>
      <c r="BL9" s="763" t="s">
        <v>338</v>
      </c>
      <c r="BM9" s="764"/>
    </row>
    <row r="10" spans="1:65" s="743" customFormat="1" ht="15" customHeight="1" x14ac:dyDescent="0.25">
      <c r="A10" s="750"/>
      <c r="B10" s="746"/>
      <c r="C10" s="746"/>
      <c r="D10" s="746"/>
      <c r="E10" s="746"/>
      <c r="F10" s="746"/>
      <c r="G10" s="1167"/>
      <c r="H10" s="1167"/>
      <c r="I10" s="1167"/>
      <c r="J10" s="1167"/>
      <c r="K10" s="1167"/>
      <c r="L10" s="1167"/>
      <c r="M10" s="1167"/>
      <c r="N10" s="1167"/>
      <c r="O10" s="1167"/>
      <c r="P10" s="1167"/>
      <c r="Q10" s="1167"/>
      <c r="R10" s="1167"/>
      <c r="S10" s="1167"/>
      <c r="T10" s="1167"/>
      <c r="U10" s="1167"/>
      <c r="V10" s="1167"/>
      <c r="W10" s="1167"/>
      <c r="X10" s="1167"/>
      <c r="Y10" s="1167"/>
      <c r="Z10" s="1168"/>
      <c r="AA10" s="821" t="s">
        <v>420</v>
      </c>
      <c r="AB10" s="1019" t="str">
        <f>IF(S7="","",IF(AA11=AA9,8,7))</f>
        <v/>
      </c>
      <c r="AC10" s="1114" t="s">
        <v>497</v>
      </c>
      <c r="AD10" s="1193"/>
      <c r="AE10" s="1140"/>
      <c r="AF10" s="1141"/>
      <c r="AG10" s="743">
        <v>4</v>
      </c>
      <c r="AH10" s="768" t="s">
        <v>353</v>
      </c>
      <c r="AI10" s="1015" t="s">
        <v>354</v>
      </c>
      <c r="AJ10" s="1016"/>
      <c r="AK10" s="1016" t="s">
        <v>355</v>
      </c>
      <c r="AL10" s="1016" t="str">
        <f t="shared" si="0"/>
        <v>MGCR Tipo 1</v>
      </c>
      <c r="AM10" s="1016" t="s">
        <v>356</v>
      </c>
      <c r="AN10" s="1016" t="s">
        <v>357</v>
      </c>
      <c r="AO10" s="1016" t="s">
        <v>358</v>
      </c>
      <c r="AP10" s="1016" t="s">
        <v>359</v>
      </c>
      <c r="AQ10" s="1016" t="s">
        <v>313</v>
      </c>
      <c r="AR10" s="1016" t="s">
        <v>360</v>
      </c>
      <c r="AS10" s="1016" t="str">
        <f t="shared" si="2"/>
        <v>Base granular tipo C</v>
      </c>
      <c r="AT10" s="1015" t="str">
        <f t="shared" si="3"/>
        <v>Base granular Tipo C</v>
      </c>
      <c r="AU10" s="1016" t="str">
        <f t="shared" si="4"/>
        <v>MGCR Tipo 1</v>
      </c>
      <c r="AV10" s="1016"/>
      <c r="AW10" s="1016" t="str">
        <f t="shared" si="1"/>
        <v>Asfalto modificado para sello de fisuras</v>
      </c>
      <c r="AX10" s="1016" t="str">
        <f t="shared" si="1"/>
        <v>Emulsión asfaltica CRR-1</v>
      </c>
      <c r="AY10" s="1016" t="str">
        <f t="shared" si="5"/>
        <v>Base granular tipo C</v>
      </c>
      <c r="AZ10" s="1017" t="str">
        <f t="shared" si="6"/>
        <v>Grava ½"</v>
      </c>
      <c r="BB10" s="762">
        <v>3</v>
      </c>
      <c r="BC10" s="763" t="s">
        <v>348</v>
      </c>
      <c r="BD10" s="769" t="s">
        <v>361</v>
      </c>
      <c r="BE10" s="769" t="s">
        <v>351</v>
      </c>
      <c r="BF10" s="769"/>
      <c r="BG10" s="763" t="s">
        <v>362</v>
      </c>
      <c r="BH10" s="763" t="s">
        <v>362</v>
      </c>
      <c r="BI10" s="769" t="str">
        <f>""</f>
        <v/>
      </c>
      <c r="BJ10" s="769" t="str">
        <f>""</f>
        <v/>
      </c>
      <c r="BK10" s="763" t="s">
        <v>44</v>
      </c>
      <c r="BL10" s="763" t="s">
        <v>348</v>
      </c>
      <c r="BM10" s="764"/>
    </row>
    <row r="11" spans="1:65" s="743" customFormat="1" ht="15" customHeight="1" x14ac:dyDescent="0.25">
      <c r="A11" s="750"/>
      <c r="B11" s="1206" t="s">
        <v>363</v>
      </c>
      <c r="C11" s="1206"/>
      <c r="D11" s="1206"/>
      <c r="E11" s="1206"/>
      <c r="F11" s="1206"/>
      <c r="G11" s="1206"/>
      <c r="H11" s="1206"/>
      <c r="I11" s="1157"/>
      <c r="J11" s="1157"/>
      <c r="K11" s="1157"/>
      <c r="L11" s="1157"/>
      <c r="M11" s="1157"/>
      <c r="N11" s="1157"/>
      <c r="O11" s="1157"/>
      <c r="P11" s="1157"/>
      <c r="Q11" s="1157"/>
      <c r="R11" s="1157"/>
      <c r="S11" s="1157"/>
      <c r="T11" s="1157"/>
      <c r="U11" s="1157"/>
      <c r="V11" s="1157"/>
      <c r="W11" s="1157"/>
      <c r="X11" s="1157"/>
      <c r="Y11" s="1157"/>
      <c r="Z11" s="766"/>
      <c r="AA11" s="1076"/>
      <c r="AB11" s="1018" t="s">
        <v>308</v>
      </c>
      <c r="AC11" s="750" t="s">
        <v>352</v>
      </c>
      <c r="AD11" s="1193" t="s">
        <v>458</v>
      </c>
      <c r="AE11" s="1140" t="s">
        <v>459</v>
      </c>
      <c r="AF11" s="1141"/>
      <c r="AG11" s="746">
        <v>5</v>
      </c>
      <c r="AH11" s="768" t="s">
        <v>366</v>
      </c>
      <c r="AI11" s="1015" t="s">
        <v>367</v>
      </c>
      <c r="AJ11" s="1016"/>
      <c r="AK11" s="1016" t="s">
        <v>368</v>
      </c>
      <c r="AL11" s="1016" t="str">
        <f t="shared" si="0"/>
        <v>Pavimento asfaltico reciclado MBR</v>
      </c>
      <c r="AM11" s="1016"/>
      <c r="AN11" s="1016"/>
      <c r="AO11" s="1016" t="s">
        <v>369</v>
      </c>
      <c r="AP11" s="1016" t="s">
        <v>370</v>
      </c>
      <c r="AQ11" s="1016" t="s">
        <v>371</v>
      </c>
      <c r="AR11" s="1016"/>
      <c r="AS11" s="1016" t="str">
        <f t="shared" si="2"/>
        <v>Sub-base granular  tipo A</v>
      </c>
      <c r="AT11" s="1015" t="str">
        <f t="shared" si="3"/>
        <v xml:space="preserve">Sub-base granular Tipo A </v>
      </c>
      <c r="AU11" s="1016" t="str">
        <f t="shared" si="4"/>
        <v>Pavimento asfaltico reciclado MBR</v>
      </c>
      <c r="AV11" s="1016"/>
      <c r="AW11" s="1016"/>
      <c r="AX11" s="1016"/>
      <c r="AY11" s="1016" t="str">
        <f t="shared" si="5"/>
        <v>Sub-base granular  tipo A</v>
      </c>
      <c r="AZ11" s="1017" t="str">
        <f t="shared" si="6"/>
        <v>Arena triturada de rio</v>
      </c>
      <c r="BB11" s="762">
        <v>4</v>
      </c>
      <c r="BC11" s="769" t="str">
        <f>""</f>
        <v/>
      </c>
      <c r="BD11" s="769" t="s">
        <v>351</v>
      </c>
      <c r="BE11" s="769" t="str">
        <f>""</f>
        <v/>
      </c>
      <c r="BF11" s="769"/>
      <c r="BG11" s="769" t="s">
        <v>350</v>
      </c>
      <c r="BH11" s="769" t="s">
        <v>350</v>
      </c>
      <c r="BI11" s="769" t="s">
        <v>372</v>
      </c>
      <c r="BJ11" s="769" t="s">
        <v>372</v>
      </c>
      <c r="BK11" s="769" t="str">
        <f>""</f>
        <v/>
      </c>
      <c r="BL11" s="763" t="s">
        <v>373</v>
      </c>
      <c r="BM11" s="764"/>
    </row>
    <row r="12" spans="1:65" s="743" customFormat="1" ht="15" customHeight="1" x14ac:dyDescent="0.3">
      <c r="A12" s="750"/>
      <c r="B12" s="1199" t="s">
        <v>374</v>
      </c>
      <c r="C12" s="1199"/>
      <c r="D12" s="1199"/>
      <c r="E12" s="1199"/>
      <c r="F12" s="1199"/>
      <c r="G12" s="1199"/>
      <c r="H12" s="1199"/>
      <c r="I12" s="1196" t="str">
        <f>+IF(I11="","",IF(I11=AC18,CONCATENATE("Mezcla asfáltica en caliente con asfálto modificado con caucho, por via humeda ",AC18," Fórmula:",AC50,AA21),CONCATENATE("Mezcla asfáltica densa en caliente ",I11," ",IF(OR(I16=AC31,I11=AC15,I11=AC16,I11=AC17,I11=AC13),CONCATENATE(AA21),IF(AA19=AC34,CONCATENATE("Fórmula: ",AC44,AA21),IF(AA19=AC37,"",CONCATENATE("Fórmula: ",AC47,AA21)))))))</f>
        <v/>
      </c>
      <c r="J12" s="1196"/>
      <c r="K12" s="1196"/>
      <c r="L12" s="1196"/>
      <c r="M12" s="1196"/>
      <c r="N12" s="1196"/>
      <c r="O12" s="1196"/>
      <c r="P12" s="1196"/>
      <c r="Q12" s="1196"/>
      <c r="R12" s="1196"/>
      <c r="S12" s="1196"/>
      <c r="T12" s="1196"/>
      <c r="U12" s="1196"/>
      <c r="V12" s="1196"/>
      <c r="W12" s="1196"/>
      <c r="X12" s="1196"/>
      <c r="Y12" s="1196"/>
      <c r="Z12" s="766"/>
      <c r="AA12" s="1078" t="s">
        <v>493</v>
      </c>
      <c r="AB12" s="768"/>
      <c r="AC12" s="831" t="s">
        <v>423</v>
      </c>
      <c r="AD12" s="1193"/>
      <c r="AE12" s="1140"/>
      <c r="AF12" s="1141"/>
      <c r="AG12" s="768">
        <v>6</v>
      </c>
      <c r="AH12" s="46" t="s">
        <v>375</v>
      </c>
      <c r="AI12" s="1015" t="s">
        <v>376</v>
      </c>
      <c r="AJ12" s="1016"/>
      <c r="AK12" s="1016" t="s">
        <v>377</v>
      </c>
      <c r="AL12" s="1016" t="str">
        <f t="shared" si="0"/>
        <v>Fresado</v>
      </c>
      <c r="AM12" s="1016"/>
      <c r="AN12" s="1016"/>
      <c r="AO12" s="1016" t="s">
        <v>378</v>
      </c>
      <c r="AP12" s="1016" t="s">
        <v>379</v>
      </c>
      <c r="AQ12" s="1016" t="s">
        <v>314</v>
      </c>
      <c r="AR12" s="1016"/>
      <c r="AS12" s="1016" t="str">
        <f t="shared" si="2"/>
        <v>Sub-base granular  tipo B</v>
      </c>
      <c r="AT12" s="1015" t="str">
        <f t="shared" si="3"/>
        <v>Sub-base granular Tipo B</v>
      </c>
      <c r="AU12" s="1016" t="str">
        <f t="shared" si="4"/>
        <v>Fresado</v>
      </c>
      <c r="AV12" s="1016"/>
      <c r="AW12" s="1016"/>
      <c r="AX12" s="1016"/>
      <c r="AY12" s="1016" t="str">
        <f t="shared" si="5"/>
        <v>Sub-base granular  tipo B</v>
      </c>
      <c r="AZ12" s="1017" t="str">
        <f t="shared" si="6"/>
        <v>Arena triturada de cantera</v>
      </c>
      <c r="BB12" s="762">
        <v>5</v>
      </c>
      <c r="BC12" s="769" t="s">
        <v>380</v>
      </c>
      <c r="BD12" s="770" t="s">
        <v>381</v>
      </c>
      <c r="BE12" s="769" t="str">
        <f>""</f>
        <v/>
      </c>
      <c r="BF12" s="769"/>
      <c r="BG12" s="769" t="str">
        <f>""</f>
        <v/>
      </c>
      <c r="BH12" s="769" t="str">
        <f>""</f>
        <v/>
      </c>
      <c r="BI12" s="769" t="str">
        <f>""</f>
        <v/>
      </c>
      <c r="BJ12" s="769" t="str">
        <f>""</f>
        <v/>
      </c>
      <c r="BK12" s="769" t="str">
        <f>""</f>
        <v/>
      </c>
      <c r="BL12" s="769" t="str">
        <f>""</f>
        <v/>
      </c>
      <c r="BM12" s="764"/>
    </row>
    <row r="13" spans="1:65" s="773" customFormat="1" ht="15" customHeight="1" x14ac:dyDescent="0.25">
      <c r="A13" s="771"/>
      <c r="B13" s="772"/>
      <c r="C13" s="772"/>
      <c r="D13" s="772"/>
      <c r="E13" s="772"/>
      <c r="F13" s="772"/>
      <c r="G13" s="772"/>
      <c r="H13" s="772"/>
      <c r="I13" s="1196"/>
      <c r="J13" s="1196"/>
      <c r="K13" s="1196"/>
      <c r="L13" s="1196"/>
      <c r="M13" s="1196"/>
      <c r="N13" s="1196"/>
      <c r="O13" s="1196"/>
      <c r="P13" s="1196"/>
      <c r="Q13" s="1196"/>
      <c r="R13" s="1196"/>
      <c r="S13" s="1196"/>
      <c r="T13" s="1196"/>
      <c r="U13" s="1196"/>
      <c r="V13" s="1196"/>
      <c r="W13" s="1196"/>
      <c r="X13" s="1196"/>
      <c r="Y13" s="1196"/>
      <c r="Z13" s="1113"/>
      <c r="AA13" s="1077" t="s">
        <v>490</v>
      </c>
      <c r="AB13" s="1021" t="s">
        <v>450</v>
      </c>
      <c r="AC13" s="832" t="s">
        <v>110</v>
      </c>
      <c r="AD13" s="1193"/>
      <c r="AE13" s="1140"/>
      <c r="AF13" s="1141"/>
      <c r="AG13" s="743">
        <v>7</v>
      </c>
      <c r="AH13" s="46" t="s">
        <v>382</v>
      </c>
      <c r="AI13" s="1015" t="s">
        <v>383</v>
      </c>
      <c r="AJ13" s="1016"/>
      <c r="AK13" s="1016"/>
      <c r="AL13" s="1016" t="str">
        <f t="shared" si="0"/>
        <v>Fresado estabilizado con emulsión y cemento</v>
      </c>
      <c r="AM13" s="1016"/>
      <c r="AN13" s="1016"/>
      <c r="AO13" s="1016" t="s">
        <v>384</v>
      </c>
      <c r="AP13" s="1016" t="s">
        <v>385</v>
      </c>
      <c r="AQ13" s="1016" t="s">
        <v>386</v>
      </c>
      <c r="AR13" s="1016"/>
      <c r="AS13" s="1016" t="str">
        <f t="shared" si="2"/>
        <v>Sub-base granular  tipo C</v>
      </c>
      <c r="AT13" s="1015" t="str">
        <f t="shared" si="3"/>
        <v>Sub-base granular Tipo C</v>
      </c>
      <c r="AU13" s="1016" t="str">
        <f t="shared" si="4"/>
        <v>Fresado estabilizado con emulsión y cemento</v>
      </c>
      <c r="AV13" s="1016"/>
      <c r="AW13" s="1016"/>
      <c r="AX13" s="1016"/>
      <c r="AY13" s="1016" t="str">
        <f t="shared" si="5"/>
        <v>Sub-base granular  tipo C</v>
      </c>
      <c r="AZ13" s="1017" t="str">
        <f t="shared" si="6"/>
        <v>Arena natural</v>
      </c>
      <c r="BB13" s="762">
        <v>6</v>
      </c>
      <c r="BC13" s="769" t="str">
        <f>""</f>
        <v/>
      </c>
      <c r="BD13" s="769" t="str">
        <f>""</f>
        <v/>
      </c>
      <c r="BE13" s="769" t="s">
        <v>387</v>
      </c>
      <c r="BF13" s="770"/>
      <c r="BG13" s="769" t="str">
        <f>""</f>
        <v/>
      </c>
      <c r="BH13" s="769" t="str">
        <f>""</f>
        <v/>
      </c>
      <c r="BI13" s="769" t="str">
        <f>""</f>
        <v/>
      </c>
      <c r="BJ13" s="769" t="str">
        <f>""</f>
        <v/>
      </c>
      <c r="BK13" s="763" t="s">
        <v>57</v>
      </c>
      <c r="BL13" s="763" t="s">
        <v>57</v>
      </c>
      <c r="BM13" s="764"/>
    </row>
    <row r="14" spans="1:65" s="71" customFormat="1" ht="15" customHeight="1" x14ac:dyDescent="0.25">
      <c r="A14" s="774"/>
      <c r="I14" s="1196"/>
      <c r="J14" s="1196"/>
      <c r="K14" s="1196"/>
      <c r="L14" s="1196"/>
      <c r="M14" s="1196"/>
      <c r="N14" s="1196"/>
      <c r="O14" s="1196"/>
      <c r="P14" s="1196"/>
      <c r="Q14" s="1196"/>
      <c r="R14" s="1196"/>
      <c r="S14" s="1196"/>
      <c r="T14" s="1196"/>
      <c r="U14" s="1196"/>
      <c r="V14" s="1196"/>
      <c r="W14" s="1196"/>
      <c r="X14" s="1196"/>
      <c r="Y14" s="1196"/>
      <c r="Z14" s="775"/>
      <c r="AA14" s="1079" t="s">
        <v>449</v>
      </c>
      <c r="AB14" s="776" t="s">
        <v>451</v>
      </c>
      <c r="AC14" s="832" t="s">
        <v>32</v>
      </c>
      <c r="AD14" s="1140" t="s">
        <v>364</v>
      </c>
      <c r="AE14" s="1140" t="s">
        <v>365</v>
      </c>
      <c r="AF14" s="1141"/>
      <c r="AG14" s="746">
        <v>8</v>
      </c>
      <c r="AH14" s="46" t="s">
        <v>389</v>
      </c>
      <c r="AI14" s="1015" t="s">
        <v>390</v>
      </c>
      <c r="AJ14" s="1016"/>
      <c r="AK14" s="1016"/>
      <c r="AL14" s="1016" t="str">
        <f>+AR8</f>
        <v>MR-43</v>
      </c>
      <c r="AM14" s="1016"/>
      <c r="AN14" s="1016"/>
      <c r="AO14" s="71" t="s">
        <v>391</v>
      </c>
      <c r="AP14" s="1016" t="s">
        <v>392</v>
      </c>
      <c r="AQ14" s="1016"/>
      <c r="AR14" s="1016"/>
      <c r="AS14" s="1016" t="str">
        <f t="shared" si="2"/>
        <v>Remanente</v>
      </c>
      <c r="AT14" s="1015" t="str">
        <f t="shared" si="3"/>
        <v>Piedra rajón</v>
      </c>
      <c r="AU14" s="1016" t="str">
        <f t="shared" si="4"/>
        <v>MR-43</v>
      </c>
      <c r="AV14" s="1016"/>
      <c r="AW14" s="1016"/>
      <c r="AX14" s="1016"/>
      <c r="AY14" s="1016" t="str">
        <f t="shared" si="5"/>
        <v>Remanente</v>
      </c>
      <c r="AZ14" s="1017" t="str">
        <f t="shared" si="6"/>
        <v>Arena de peña</v>
      </c>
      <c r="BB14" s="762">
        <v>7</v>
      </c>
      <c r="BC14" s="769" t="str">
        <f>""</f>
        <v/>
      </c>
      <c r="BD14" s="770" t="s">
        <v>393</v>
      </c>
      <c r="BE14" s="769" t="str">
        <f>""</f>
        <v/>
      </c>
      <c r="BF14" s="770"/>
      <c r="BG14" s="769" t="str">
        <f>""</f>
        <v/>
      </c>
      <c r="BH14" s="769" t="str">
        <f>""</f>
        <v/>
      </c>
      <c r="BI14" s="769" t="str">
        <f>""</f>
        <v/>
      </c>
      <c r="BJ14" s="769" t="str">
        <f>""</f>
        <v/>
      </c>
      <c r="BK14" s="763" t="s">
        <v>394</v>
      </c>
      <c r="BL14" s="763" t="s">
        <v>394</v>
      </c>
      <c r="BM14" s="764"/>
    </row>
    <row r="15" spans="1:65" s="71" customFormat="1" ht="15" customHeight="1" x14ac:dyDescent="0.25">
      <c r="A15" s="774"/>
      <c r="B15" s="1201" t="s">
        <v>388</v>
      </c>
      <c r="C15" s="1201"/>
      <c r="D15" s="1201"/>
      <c r="E15" s="1202" t="str">
        <f>IF(S7="","","(Esta información es suministrada por el cliente)")</f>
        <v/>
      </c>
      <c r="F15" s="1202"/>
      <c r="G15" s="1202"/>
      <c r="H15" s="1202"/>
      <c r="I15" s="1202"/>
      <c r="J15" s="1202"/>
      <c r="K15" s="1202"/>
      <c r="L15" s="1202"/>
      <c r="M15" s="1202"/>
      <c r="N15" s="1202"/>
      <c r="O15" s="1202"/>
      <c r="P15" s="1202"/>
      <c r="Q15" s="1202"/>
      <c r="R15" s="1202"/>
      <c r="S15" s="1202"/>
      <c r="T15" s="1202"/>
      <c r="U15" s="1202"/>
      <c r="V15" s="1202"/>
      <c r="W15" s="1202"/>
      <c r="X15" s="1202"/>
      <c r="Y15" s="1202"/>
      <c r="Z15" s="775"/>
      <c r="AA15" s="1079" t="s">
        <v>489</v>
      </c>
      <c r="AB15" s="778"/>
      <c r="AC15" s="833" t="s">
        <v>431</v>
      </c>
      <c r="AD15" s="1140"/>
      <c r="AE15" s="1140"/>
      <c r="AF15" s="1141"/>
      <c r="AG15" s="768">
        <v>9</v>
      </c>
      <c r="AH15" s="46" t="s">
        <v>324</v>
      </c>
      <c r="AI15" s="1015" t="s">
        <v>314</v>
      </c>
      <c r="AJ15" s="1016"/>
      <c r="AK15" s="1016"/>
      <c r="AL15" s="1016" t="str">
        <f>+AR9</f>
        <v>3000 psi</v>
      </c>
      <c r="AM15" s="1016"/>
      <c r="AN15" s="1016"/>
      <c r="AO15" s="1016" t="s">
        <v>395</v>
      </c>
      <c r="AP15" s="1016" t="s">
        <v>396</v>
      </c>
      <c r="AQ15" s="1016"/>
      <c r="AR15" s="1016"/>
      <c r="AS15" s="1016" t="str">
        <f t="shared" si="2"/>
        <v>Fresado</v>
      </c>
      <c r="AT15" s="1015" t="str">
        <f t="shared" si="3"/>
        <v>Recebo común</v>
      </c>
      <c r="AU15" s="1016" t="str">
        <f t="shared" si="4"/>
        <v>3000 psi</v>
      </c>
      <c r="AV15" s="1016"/>
      <c r="AW15" s="1016"/>
      <c r="AX15" s="1016"/>
      <c r="AY15" s="1016" t="str">
        <f t="shared" si="5"/>
        <v>Fresado</v>
      </c>
      <c r="AZ15" s="1017" t="str">
        <f t="shared" si="6"/>
        <v>Agregados combinados MD-10</v>
      </c>
      <c r="BB15" s="762">
        <v>8</v>
      </c>
      <c r="BC15" s="769" t="str">
        <f>""</f>
        <v/>
      </c>
      <c r="BD15" s="769" t="str">
        <f>""</f>
        <v/>
      </c>
      <c r="BE15" s="769" t="str">
        <f>""</f>
        <v/>
      </c>
      <c r="BG15" s="769" t="str">
        <f>""</f>
        <v/>
      </c>
      <c r="BH15" s="769" t="str">
        <f>""</f>
        <v/>
      </c>
      <c r="BI15" s="769" t="str">
        <f>""</f>
        <v/>
      </c>
      <c r="BJ15" s="769" t="str">
        <f>""</f>
        <v/>
      </c>
      <c r="BK15" s="763" t="s">
        <v>380</v>
      </c>
      <c r="BL15" s="763" t="s">
        <v>380</v>
      </c>
      <c r="BM15" s="779"/>
    </row>
    <row r="16" spans="1:65" s="71" customFormat="1" ht="15" customHeight="1" x14ac:dyDescent="0.25">
      <c r="A16" s="762"/>
      <c r="B16" s="1199" t="str">
        <f>IF(S7="","",IF($AA$7=$AH$7,BC8,IF($AA$7=$AH$8,BD8,IF($AA$7=$AH$9,BE8,IF($AA$7=$AH$10,BF8,IF($AA$7=$AH$11,BG8,IF($AA$7=$AH$12,BH8,IF($AA$7=$AH$13,BI8,IF($AA$7=$AH$14,BJ8,IF($AA$7=$AH$15,BK8,IF($AA$7=$AH$16,BL8,IF($AA$7=$AH$17,BM8,""))))))))))))</f>
        <v/>
      </c>
      <c r="C16" s="1199"/>
      <c r="D16" s="1199"/>
      <c r="E16" s="1199"/>
      <c r="F16" s="1199"/>
      <c r="G16" s="1199"/>
      <c r="H16" s="1199"/>
      <c r="I16" s="1157"/>
      <c r="J16" s="1157"/>
      <c r="K16" s="1157"/>
      <c r="L16" s="1157"/>
      <c r="M16" s="1157"/>
      <c r="N16" s="1157"/>
      <c r="O16" s="1157"/>
      <c r="P16" s="1157"/>
      <c r="Q16" s="1157"/>
      <c r="R16" s="1157"/>
      <c r="S16" s="1157"/>
      <c r="T16" s="1157"/>
      <c r="U16" s="1157"/>
      <c r="V16" s="1157"/>
      <c r="W16" s="1157"/>
      <c r="X16" s="1157"/>
      <c r="Y16" s="1157"/>
      <c r="Z16" s="775"/>
      <c r="AA16" s="749" t="s">
        <v>448</v>
      </c>
      <c r="AB16" s="778"/>
      <c r="AC16" s="833" t="s">
        <v>432</v>
      </c>
      <c r="AD16" s="1140"/>
      <c r="AE16" s="1140"/>
      <c r="AF16" s="1141"/>
      <c r="AG16" s="743">
        <v>10</v>
      </c>
      <c r="AH16" s="46" t="s">
        <v>397</v>
      </c>
      <c r="AI16" s="1015" t="s">
        <v>398</v>
      </c>
      <c r="AJ16" s="1016"/>
      <c r="AK16" s="1016"/>
      <c r="AL16" s="1016" t="str">
        <f>+AR10</f>
        <v>2500 psi</v>
      </c>
      <c r="AM16" s="1016"/>
      <c r="AN16" s="1016"/>
      <c r="AO16" s="1016" t="s">
        <v>399</v>
      </c>
      <c r="AP16" s="1016" t="s">
        <v>400</v>
      </c>
      <c r="AQ16" s="1016"/>
      <c r="AR16" s="1016"/>
      <c r="AS16" s="1016" t="str">
        <f t="shared" si="2"/>
        <v>Base estabilizada con emulsión y cemento</v>
      </c>
      <c r="AT16" s="1015" t="str">
        <f t="shared" si="3"/>
        <v>Material filtrante de 3"</v>
      </c>
      <c r="AU16" s="1016" t="str">
        <f t="shared" si="4"/>
        <v>2500 psi</v>
      </c>
      <c r="AV16" s="1016"/>
      <c r="AW16" s="1016"/>
      <c r="AX16" s="1016"/>
      <c r="AY16" s="1016" t="str">
        <f t="shared" si="5"/>
        <v>Base estabilizada con emulsión y cemento</v>
      </c>
      <c r="AZ16" s="1017" t="str">
        <f t="shared" si="6"/>
        <v>Agregados combinados MD-12</v>
      </c>
      <c r="BB16" s="780">
        <v>9</v>
      </c>
      <c r="BC16" s="781" t="str">
        <f>""</f>
        <v/>
      </c>
      <c r="BD16" s="781" t="str">
        <f>""</f>
        <v/>
      </c>
      <c r="BE16" s="781" t="str">
        <f>""</f>
        <v/>
      </c>
      <c r="BF16" s="781"/>
      <c r="BG16" s="781" t="str">
        <f>""</f>
        <v/>
      </c>
      <c r="BH16" s="781" t="str">
        <f>""</f>
        <v/>
      </c>
      <c r="BI16" s="781" t="str">
        <f>""</f>
        <v/>
      </c>
      <c r="BJ16" s="781" t="str">
        <f>""</f>
        <v/>
      </c>
      <c r="BK16" s="781" t="str">
        <f>""</f>
        <v/>
      </c>
      <c r="BL16" s="782"/>
      <c r="BM16" s="783"/>
    </row>
    <row r="17" spans="1:52" s="71" customFormat="1" ht="15" customHeight="1" x14ac:dyDescent="0.25">
      <c r="A17" s="762"/>
      <c r="B17" s="1199" t="str">
        <f>IF(S7="","",IF($AA$7=$AH$7,BC9,IF($AA$7=$AH$8,BD9,IF($AA$7=$AH$9,BE9,IF($AA$7=$AH$10,BF9,IF($AA$7=$AH$11,BG9,IF($AA$7=$AH$12,BH9,IF($AA$7=$AH$13,BI9,IF($AA$7=$AH$14,BJ9,IF($AA$7=$AH$15,BK9,IF($AA$7=$AH$16,BL9,IF($AA$7=$AH$17,BM9,""))))))))))))</f>
        <v/>
      </c>
      <c r="C17" s="1199"/>
      <c r="D17" s="1199"/>
      <c r="E17" s="1199"/>
      <c r="F17" s="1199"/>
      <c r="G17" s="1199"/>
      <c r="H17" s="1199"/>
      <c r="I17" s="1157"/>
      <c r="J17" s="1157"/>
      <c r="K17" s="1157"/>
      <c r="L17" s="1157"/>
      <c r="M17" s="1157"/>
      <c r="N17" s="1157"/>
      <c r="O17" s="1157"/>
      <c r="P17" s="1157"/>
      <c r="Q17" s="1157"/>
      <c r="R17" s="1157"/>
      <c r="S17" s="1157"/>
      <c r="T17" s="1157"/>
      <c r="U17" s="1157"/>
      <c r="V17" s="1157"/>
      <c r="W17" s="1157"/>
      <c r="X17" s="1157"/>
      <c r="Y17" s="1157"/>
      <c r="Z17" s="775"/>
      <c r="AA17" s="1120" t="s">
        <v>46</v>
      </c>
      <c r="AB17" s="778"/>
      <c r="AC17" s="832" t="s">
        <v>112</v>
      </c>
      <c r="AD17" s="1158" t="s">
        <v>121</v>
      </c>
      <c r="AE17" s="1158" t="s">
        <v>121</v>
      </c>
      <c r="AF17" s="1141"/>
      <c r="AG17" s="782">
        <v>11</v>
      </c>
      <c r="AH17" s="782" t="s">
        <v>401</v>
      </c>
      <c r="AI17" s="1015" t="s">
        <v>402</v>
      </c>
      <c r="AJ17" s="1016"/>
      <c r="AK17" s="1016"/>
      <c r="AL17" s="1016"/>
      <c r="AM17" s="1016"/>
      <c r="AN17" s="1016"/>
      <c r="AO17" s="1016" t="s">
        <v>403</v>
      </c>
      <c r="AP17" s="1016" t="s">
        <v>404</v>
      </c>
      <c r="AQ17" s="1016"/>
      <c r="AR17" s="1016"/>
      <c r="AS17" s="1016" t="str">
        <f t="shared" si="2"/>
        <v xml:space="preserve">70%SBG-A + 30% Fresado </v>
      </c>
      <c r="AT17" s="1015" t="str">
        <f t="shared" si="3"/>
        <v>Material filtrante de 1"</v>
      </c>
      <c r="AU17" s="1016" t="str">
        <f>+AK11</f>
        <v>Capa 1 MD-12 y Capa 2 MGCR-Tipo 1</v>
      </c>
      <c r="AV17" s="1016"/>
      <c r="AW17" s="1016"/>
      <c r="AX17" s="1016"/>
      <c r="AY17" s="1016" t="str">
        <f t="shared" si="5"/>
        <v xml:space="preserve">70%SBG-A + 30% Fresado </v>
      </c>
      <c r="AZ17" s="1017" t="str">
        <f t="shared" si="6"/>
        <v>Agregados combinados MGCR Tipo 1</v>
      </c>
    </row>
    <row r="18" spans="1:52" s="71" customFormat="1" ht="15" customHeight="1" x14ac:dyDescent="0.25">
      <c r="A18" s="762"/>
      <c r="B18" s="1199" t="str">
        <f>IF(S7="","",IF($AA$7=$AH$7,BC10,IF($AA$7=$AH$8,BD10,IF($AA$7=$AH$9,BE10,IF($AA$7=$AH$10,BF10,IF($AA$7=$AH$11,BG10,IF($AA$7=$AH$12,BH10,IF($AA$7=$AH$13,BI10,IF($AA$7=$AH$14,BJ10,IF($AA$7=$AH$15,BK10,IF($AA$7=$AH$16,BL10,IF($AA$7=$AH$17,BM10,""))))))))))))</f>
        <v/>
      </c>
      <c r="C18" s="1199"/>
      <c r="D18" s="1199"/>
      <c r="E18" s="1199"/>
      <c r="F18" s="1199"/>
      <c r="G18" s="1199"/>
      <c r="H18" s="1199"/>
      <c r="I18" s="1205"/>
      <c r="J18" s="1205"/>
      <c r="K18" s="1205"/>
      <c r="L18" s="1205"/>
      <c r="M18" s="1205"/>
      <c r="N18" s="1205"/>
      <c r="O18" s="1205"/>
      <c r="P18" s="1205"/>
      <c r="Q18" s="1205"/>
      <c r="R18" s="1205"/>
      <c r="S18" s="1205"/>
      <c r="T18" s="1205"/>
      <c r="U18" s="1205"/>
      <c r="V18" s="1205"/>
      <c r="W18" s="1205"/>
      <c r="X18" s="1205"/>
      <c r="Y18" s="1205"/>
      <c r="Z18" s="775"/>
      <c r="AA18" s="872" t="s">
        <v>452</v>
      </c>
      <c r="AB18" s="778"/>
      <c r="AC18" s="834" t="s">
        <v>288</v>
      </c>
      <c r="AD18" s="1140"/>
      <c r="AE18" s="1140"/>
      <c r="AF18" s="1141"/>
      <c r="AG18" s="784">
        <v>12</v>
      </c>
      <c r="AH18" s="778"/>
      <c r="AI18" s="762"/>
      <c r="AS18" s="1016" t="str">
        <f>+AP14</f>
        <v>Piedra rajón</v>
      </c>
      <c r="AT18" s="1015" t="str">
        <f>+AI14</f>
        <v>Remanente</v>
      </c>
      <c r="AU18" s="1016" t="str">
        <f>+AK12</f>
        <v>Capa 1 MGCR Tipo 1 y capa 2 MD-12</v>
      </c>
      <c r="AV18" s="1016"/>
      <c r="AW18" s="1016"/>
      <c r="AX18" s="1016"/>
      <c r="AY18" s="1016" t="str">
        <f t="shared" si="5"/>
        <v>Piedra rajón</v>
      </c>
      <c r="AZ18" s="1017"/>
    </row>
    <row r="19" spans="1:52" s="71" customFormat="1" ht="15" customHeight="1" x14ac:dyDescent="0.25">
      <c r="A19" s="762"/>
      <c r="B19" s="1199" t="str">
        <f>IF(S7="","",IF($AA$7=$AH$7,BC11,IF($AA$7=$AH$8,BD11,IF($AA$7=$AH$9,BE11,IF($AA$7=$AH$10,BF11,IF($AA$7=$AH$11,BG11,IF($AA$7=$AH$12,BH11,IF($AA$7=$AH$13,BI11,IF($AA$7=$AH$14,BJ11,IF($AA$7=$AH$15,BK11,IF($AA$7=$AH$16,BL11,IF($AA$7=$AH$17,BM11,""))))))))))))</f>
        <v/>
      </c>
      <c r="C19" s="1199"/>
      <c r="D19" s="1199"/>
      <c r="E19" s="1199"/>
      <c r="F19" s="1199"/>
      <c r="G19" s="1199"/>
      <c r="H19" s="1199"/>
      <c r="I19" s="1200"/>
      <c r="J19" s="1157"/>
      <c r="K19" s="1157"/>
      <c r="L19" s="1157"/>
      <c r="M19" s="1157"/>
      <c r="N19" s="1157"/>
      <c r="O19" s="1157"/>
      <c r="P19" s="1157"/>
      <c r="Q19" s="1157"/>
      <c r="R19" s="1157"/>
      <c r="S19" s="1157"/>
      <c r="T19" s="1157"/>
      <c r="U19" s="1157"/>
      <c r="V19" s="1157"/>
      <c r="W19" s="1157"/>
      <c r="X19" s="1157"/>
      <c r="Y19" s="1157"/>
      <c r="Z19" s="775"/>
      <c r="AA19" s="1023"/>
      <c r="AB19" s="778"/>
      <c r="AC19" s="870" t="s">
        <v>426</v>
      </c>
      <c r="AD19" s="1159"/>
      <c r="AE19" s="1159"/>
      <c r="AF19" s="1142"/>
      <c r="AG19" s="784">
        <v>13</v>
      </c>
      <c r="AH19" s="778"/>
      <c r="AI19" s="762"/>
      <c r="AS19" s="1016" t="str">
        <f>+AP15</f>
        <v>Recebo común</v>
      </c>
      <c r="AT19" s="1015" t="str">
        <f>+AI15</f>
        <v>Fresado</v>
      </c>
      <c r="AU19" s="1016"/>
      <c r="AV19" s="1016"/>
      <c r="AW19" s="1016"/>
      <c r="AX19" s="1016"/>
      <c r="AY19" s="1016" t="str">
        <f t="shared" si="5"/>
        <v>Recebo común</v>
      </c>
      <c r="AZ19" s="1017"/>
    </row>
    <row r="20" spans="1:52" s="71" customFormat="1" ht="15" customHeight="1" x14ac:dyDescent="0.25">
      <c r="A20" s="762"/>
      <c r="B20" s="1199" t="str">
        <f>IF(S7="","",IF($AA$7=$AH$7,BC13,IF($AA$7=$AH$8,BD13,IF($AA$7=$AH$9,BE13,IF($AA$7=$AH$10,BF13,IF($AA$7=$AH$11,BG13,IF($AA$7=$AH$12,BH13,IF($AA$7=$AH$13,BI13,IF($AA$7=$AH$14,BJ13,IF($AA$7=$AH$15,BK13,IF($AA$7=$AH$16,BL13,IF($AA$7=$AH$17,BM13,""))))))))))))</f>
        <v/>
      </c>
      <c r="C20" s="1199"/>
      <c r="D20" s="1199"/>
      <c r="E20" s="1199"/>
      <c r="F20" s="1199"/>
      <c r="G20" s="1199"/>
      <c r="H20" s="1199"/>
      <c r="I20" s="1207"/>
      <c r="J20" s="1207"/>
      <c r="K20" s="1207"/>
      <c r="L20" s="1207"/>
      <c r="M20" s="1207"/>
      <c r="N20" s="1207"/>
      <c r="O20" s="1207"/>
      <c r="P20" s="1207"/>
      <c r="Q20" s="1207"/>
      <c r="R20" s="1207"/>
      <c r="S20" s="1207"/>
      <c r="T20" s="1207"/>
      <c r="U20" s="1207"/>
      <c r="V20" s="1207"/>
      <c r="W20" s="1207"/>
      <c r="X20" s="1207"/>
      <c r="Y20" s="1207"/>
      <c r="Z20" s="775"/>
      <c r="AA20" s="1022" t="s">
        <v>483</v>
      </c>
      <c r="AB20" s="778"/>
      <c r="AC20" s="871" t="s">
        <v>421</v>
      </c>
      <c r="AD20" s="776"/>
      <c r="AE20" s="776"/>
      <c r="AF20" s="776"/>
      <c r="AG20" s="784">
        <v>14</v>
      </c>
      <c r="AH20" s="778"/>
      <c r="AI20" s="762"/>
      <c r="AS20" s="1016" t="str">
        <f>+AP16</f>
        <v>Material filtrante de 3"</v>
      </c>
      <c r="AT20" s="1015" t="str">
        <f>+AI16</f>
        <v>Base estabilizada con emulsión y cemento</v>
      </c>
      <c r="AU20" s="1016"/>
      <c r="AV20" s="1016"/>
      <c r="AW20" s="1016"/>
      <c r="AX20" s="1016"/>
      <c r="AY20" s="1016" t="str">
        <f t="shared" si="5"/>
        <v>Material filtrante de 3"</v>
      </c>
      <c r="AZ20" s="1017"/>
    </row>
    <row r="21" spans="1:52" s="71" customFormat="1" ht="15" customHeight="1" x14ac:dyDescent="0.3">
      <c r="A21" s="762"/>
      <c r="O21" s="1203" t="str">
        <f>IF(N22="","",IF(I17=AC22,"Planta 1",""))</f>
        <v/>
      </c>
      <c r="P21" s="1140"/>
      <c r="S21" s="1204" t="str">
        <f>IF(S7="","",IF(I17=AC22,"Planta 2",""))</f>
        <v/>
      </c>
      <c r="T21" s="1204"/>
      <c r="U21" s="1204"/>
      <c r="Z21" s="775"/>
      <c r="AA21" s="1023"/>
      <c r="AB21" s="778"/>
      <c r="AC21" s="871" t="s">
        <v>427</v>
      </c>
      <c r="AD21" s="1172" t="str">
        <f>+A46</f>
        <v>Aprobó</v>
      </c>
      <c r="AE21" s="1173"/>
      <c r="AF21" s="1174"/>
      <c r="AG21" s="784">
        <v>15</v>
      </c>
      <c r="AH21" s="778"/>
      <c r="AI21" s="762"/>
      <c r="AS21" s="1016" t="str">
        <f>+AP17</f>
        <v>Material filtrante de 1"</v>
      </c>
      <c r="AT21" s="1015" t="str">
        <f>+AI17</f>
        <v xml:space="preserve">70%SBG-A + 30% Fresado </v>
      </c>
      <c r="AU21" s="1016"/>
      <c r="AV21" s="1016"/>
      <c r="AW21" s="1016"/>
      <c r="AX21" s="1016"/>
      <c r="AY21" s="1016" t="str">
        <f t="shared" si="5"/>
        <v>Material filtrante de 1"</v>
      </c>
      <c r="AZ21" s="1017"/>
    </row>
    <row r="22" spans="1:52" s="71" customFormat="1" ht="15" customHeight="1" x14ac:dyDescent="0.3">
      <c r="A22" s="762"/>
      <c r="B22" s="1199" t="str">
        <f>IF(S7="","",IF($AA$7=$AH$7,BC14,IF($AA$7=$AH$8,BD14,IF($AA$7=$AH$9,BE14,IF($AA$7=$AH$10,BF14,IF($AA$7=$AH$11,BG14,IF($AA$7=$AH$12,BH14,IF($AA$7=$AH$13,BI14,IF($AA$7=$AH$14,BJ14,IF($AA$7=$AH$15,BK14,IF($AA$7=$AH$16,BL14,IF($AA$7=$AH$17,BM14,""))))))))))))</f>
        <v/>
      </c>
      <c r="C22" s="1199"/>
      <c r="D22" s="1199"/>
      <c r="E22" s="1199"/>
      <c r="F22" s="1199"/>
      <c r="G22" s="1199"/>
      <c r="H22" s="1199"/>
      <c r="I22" s="1208"/>
      <c r="J22" s="1208"/>
      <c r="K22" s="1208"/>
      <c r="L22" s="1208"/>
      <c r="M22" s="1208"/>
      <c r="N22" s="1156"/>
      <c r="O22" s="1156"/>
      <c r="P22" s="1156"/>
      <c r="Q22" s="1156"/>
      <c r="R22" s="785" t="str">
        <f>IF(N22="","",IF(N22="N/A","",$AA$5))</f>
        <v/>
      </c>
      <c r="S22" s="1053" t="str">
        <f>IF(T22="","","y")</f>
        <v/>
      </c>
      <c r="T22" s="1155"/>
      <c r="U22" s="1155"/>
      <c r="V22" s="1020" t="str">
        <f>IF(T22="","",$AA$5)</f>
        <v/>
      </c>
      <c r="Y22" s="786"/>
      <c r="Z22" s="775"/>
      <c r="AA22" s="778"/>
      <c r="AB22" s="778"/>
      <c r="AC22" s="871" t="s">
        <v>428</v>
      </c>
      <c r="AD22" s="751" t="s">
        <v>326</v>
      </c>
      <c r="AE22" s="752" t="s">
        <v>327</v>
      </c>
      <c r="AF22" s="753" t="s">
        <v>328</v>
      </c>
      <c r="AG22" s="784">
        <v>16</v>
      </c>
      <c r="AH22" s="778"/>
      <c r="AI22" s="762"/>
      <c r="AS22" s="71" t="str">
        <f>+AO8</f>
        <v>Grava 1"</v>
      </c>
      <c r="AT22" s="762"/>
      <c r="AY22" s="1016" t="str">
        <f t="shared" si="5"/>
        <v>Grava 1"</v>
      </c>
      <c r="AZ22" s="1017"/>
    </row>
    <row r="23" spans="1:52" s="71" customFormat="1" ht="15" customHeight="1" x14ac:dyDescent="0.25">
      <c r="A23" s="762"/>
      <c r="B23" s="1112"/>
      <c r="C23" s="1112"/>
      <c r="D23" s="1112"/>
      <c r="E23" s="1112"/>
      <c r="F23" s="1112"/>
      <c r="G23" s="1112"/>
      <c r="H23" s="1112"/>
      <c r="I23" s="1208"/>
      <c r="J23" s="1208"/>
      <c r="K23" s="1208"/>
      <c r="L23" s="1208"/>
      <c r="M23" s="1208"/>
      <c r="N23" s="1156"/>
      <c r="O23" s="1156"/>
      <c r="P23" s="1156"/>
      <c r="Q23" s="1156"/>
      <c r="R23" s="785" t="str">
        <f>IF(N23="","",IF(N23="N/A","",$AA$5))</f>
        <v/>
      </c>
      <c r="S23" s="1053" t="str">
        <f>IF(T23="","","y")</f>
        <v/>
      </c>
      <c r="T23" s="1155"/>
      <c r="U23" s="1155"/>
      <c r="V23" s="1020" t="str">
        <f t="shared" ref="V23:V25" si="7">IF(T23="","",$AA$5)</f>
        <v/>
      </c>
      <c r="X23" s="786"/>
      <c r="Y23" s="786"/>
      <c r="Z23" s="775"/>
      <c r="AA23" s="778"/>
      <c r="AB23" s="1022" t="s">
        <v>505</v>
      </c>
      <c r="AC23" s="872" t="s">
        <v>46</v>
      </c>
      <c r="AD23" s="1193" t="s">
        <v>405</v>
      </c>
      <c r="AE23" s="1140" t="s">
        <v>406</v>
      </c>
      <c r="AF23" s="1141"/>
      <c r="AG23" s="778"/>
      <c r="AH23" s="778"/>
      <c r="AI23" s="762"/>
      <c r="AS23" s="71" t="str">
        <f t="shared" ref="AS23:AS31" si="8">+AO9</f>
        <v>Grava ¾"</v>
      </c>
      <c r="AT23" s="762"/>
      <c r="AY23" s="1016" t="str">
        <f t="shared" si="5"/>
        <v>Grava ¾"</v>
      </c>
      <c r="AZ23" s="1017"/>
    </row>
    <row r="24" spans="1:52" s="71" customFormat="1" ht="15" customHeight="1" x14ac:dyDescent="0.25">
      <c r="A24" s="762"/>
      <c r="B24" s="1112"/>
      <c r="C24" s="1112"/>
      <c r="D24" s="1112"/>
      <c r="E24" s="1112"/>
      <c r="F24" s="1112"/>
      <c r="G24" s="1112"/>
      <c r="H24" s="1112"/>
      <c r="I24" s="1208"/>
      <c r="J24" s="1208"/>
      <c r="K24" s="1208"/>
      <c r="L24" s="1208"/>
      <c r="M24" s="1208"/>
      <c r="N24" s="1156"/>
      <c r="O24" s="1156"/>
      <c r="P24" s="1156"/>
      <c r="Q24" s="1156"/>
      <c r="R24" s="785" t="str">
        <f t="shared" ref="R24:R25" si="9">IF(N24="","",IF(N24="N/A","",$AA$5))</f>
        <v/>
      </c>
      <c r="S24" s="1053" t="str">
        <f>IF(T24="","","y")</f>
        <v/>
      </c>
      <c r="T24" s="1155"/>
      <c r="U24" s="1155"/>
      <c r="V24" s="1020" t="str">
        <f t="shared" si="7"/>
        <v/>
      </c>
      <c r="X24" s="786"/>
      <c r="Y24" s="786"/>
      <c r="Z24" s="775"/>
      <c r="AA24" s="778"/>
      <c r="AB24" s="1022" t="str">
        <f>+IF('3. Extracción'!M16="","","732/")</f>
        <v/>
      </c>
      <c r="AC24" s="870" t="s">
        <v>223</v>
      </c>
      <c r="AD24" s="1193"/>
      <c r="AE24" s="1140"/>
      <c r="AF24" s="1141"/>
      <c r="AG24" s="778"/>
      <c r="AH24" s="778"/>
      <c r="AI24" s="762"/>
      <c r="AS24" s="71" t="str">
        <f t="shared" si="8"/>
        <v>Grava ½"</v>
      </c>
      <c r="AT24" s="762"/>
      <c r="AY24" s="1016" t="str">
        <f t="shared" si="5"/>
        <v>Grava ½"</v>
      </c>
      <c r="AZ24" s="1017"/>
    </row>
    <row r="25" spans="1:52" s="71" customFormat="1" ht="15" customHeight="1" x14ac:dyDescent="0.25">
      <c r="A25" s="762"/>
      <c r="B25" s="1112"/>
      <c r="C25" s="1112"/>
      <c r="D25" s="1112"/>
      <c r="E25" s="1112"/>
      <c r="F25" s="1112"/>
      <c r="G25" s="1112"/>
      <c r="H25" s="1112"/>
      <c r="I25" s="1208"/>
      <c r="J25" s="1208"/>
      <c r="K25" s="1208"/>
      <c r="L25" s="1208"/>
      <c r="M25" s="1208"/>
      <c r="N25" s="1156"/>
      <c r="O25" s="1156"/>
      <c r="P25" s="1156"/>
      <c r="Q25" s="1156"/>
      <c r="R25" s="785" t="str">
        <f t="shared" si="9"/>
        <v/>
      </c>
      <c r="S25" s="1053" t="str">
        <f>IF(T25="","","y")</f>
        <v/>
      </c>
      <c r="T25" s="1155"/>
      <c r="U25" s="1155"/>
      <c r="V25" s="1020" t="str">
        <f t="shared" si="7"/>
        <v/>
      </c>
      <c r="X25" s="786"/>
      <c r="Y25" s="786"/>
      <c r="Z25" s="775"/>
      <c r="AA25" s="778"/>
      <c r="AB25" s="1022" t="e">
        <f>+IF('4. Gradación'!#REF!="","","782")</f>
        <v>#REF!</v>
      </c>
      <c r="AC25" s="871" t="s">
        <v>422</v>
      </c>
      <c r="AD25" s="1193"/>
      <c r="AE25" s="1140"/>
      <c r="AF25" s="1141"/>
      <c r="AG25" s="768"/>
      <c r="AI25" s="762"/>
      <c r="AS25" s="71" t="str">
        <f t="shared" si="8"/>
        <v>Arena triturada de rio</v>
      </c>
      <c r="AT25" s="762"/>
      <c r="AY25" s="1016" t="str">
        <f t="shared" si="5"/>
        <v>Arena triturada de rio</v>
      </c>
      <c r="AZ25" s="1017"/>
    </row>
    <row r="26" spans="1:52" s="71" customFormat="1" ht="15" customHeight="1" x14ac:dyDescent="0.25">
      <c r="A26" s="762"/>
      <c r="B26" s="1199" t="str">
        <f>IF(S7="","",IF($AA$7=$AH$7,BC15,IF($AA$7=$AH$8,BD15,IF($AA$7=$AH$9,BE15,IF($AA$7=$AH$10,BF15,IF($AA$7=$AH$11,BG15,IF($AA$7=$AH$12,BH15,IF($AA$7=$AH$13,BI15,IF($AA$7=$AH$14,BJ15,IF($AA$7=$AH$15,BK15,IF($AA$7=$AH$16,BL15,IF($AA$7=$AH$17,BM15,""))))))))))))</f>
        <v/>
      </c>
      <c r="C26" s="1199"/>
      <c r="D26" s="1199"/>
      <c r="E26" s="1199"/>
      <c r="F26" s="1199"/>
      <c r="G26" s="1199"/>
      <c r="H26" s="1199"/>
      <c r="I26" s="1210"/>
      <c r="J26" s="1210"/>
      <c r="K26" s="1210"/>
      <c r="L26" s="1210"/>
      <c r="M26" s="1210"/>
      <c r="N26" s="1210"/>
      <c r="O26" s="1210"/>
      <c r="P26" s="1210"/>
      <c r="Q26" s="1210"/>
      <c r="R26" s="1210"/>
      <c r="S26" s="1210"/>
      <c r="T26" s="1210"/>
      <c r="U26" s="1210"/>
      <c r="V26" s="1210"/>
      <c r="W26" s="1210"/>
      <c r="X26" s="1210"/>
      <c r="Y26" s="1210"/>
      <c r="Z26" s="775"/>
      <c r="AA26" s="778"/>
      <c r="AB26" s="1117" t="str">
        <f>+IF('5. Bulk y Rice'!J19="","","733*/")</f>
        <v/>
      </c>
      <c r="AC26" s="871" t="s">
        <v>429</v>
      </c>
      <c r="AD26" s="1193" t="s">
        <v>503</v>
      </c>
      <c r="AE26" s="1140" t="s">
        <v>504</v>
      </c>
      <c r="AF26" s="1141"/>
      <c r="AG26" s="768"/>
      <c r="AI26" s="762"/>
      <c r="AS26" s="71" t="str">
        <f t="shared" si="8"/>
        <v>Arena triturada de cantera</v>
      </c>
      <c r="AT26" s="762"/>
      <c r="AY26" s="1016" t="str">
        <f t="shared" si="5"/>
        <v>Arena triturada de cantera</v>
      </c>
      <c r="AZ26" s="1017"/>
    </row>
    <row r="27" spans="1:52" s="71" customFormat="1" ht="15" customHeight="1" x14ac:dyDescent="0.3">
      <c r="A27" s="762"/>
      <c r="B27" s="1199" t="str">
        <f>IF(S6="","",IF($AA$7=$AH$7,BC15,IF($AA$7=$AH$8,BD15,IF($AA$7=$AH$9,BE15,IF($AA$7=$AH$10,BF15,IF($AA$7=$AH$11,BG15,IF($AA$7=$AH$12,BH15,IF($AA$7=$AH$13,BI15,IF($AA$7=$AH$14,BJ15,IF($AA$7=$AH$15,BK15,IF($AA$7=$AH$16,BL15,IF($AA$7=$AH$17,BM15,""))))))))))))</f>
        <v/>
      </c>
      <c r="C27" s="1199"/>
      <c r="D27" s="1199"/>
      <c r="E27" s="1199"/>
      <c r="F27" s="1199"/>
      <c r="G27" s="1199"/>
      <c r="H27" s="1199"/>
      <c r="I27" s="1210"/>
      <c r="J27" s="1210"/>
      <c r="K27" s="1210"/>
      <c r="L27" s="1210"/>
      <c r="M27" s="1210"/>
      <c r="N27" s="1210"/>
      <c r="O27" s="1210"/>
      <c r="P27" s="1210"/>
      <c r="Q27" s="1210"/>
      <c r="R27" s="1210"/>
      <c r="S27" s="1210"/>
      <c r="T27" s="1210"/>
      <c r="U27" s="1210"/>
      <c r="V27" s="1210"/>
      <c r="W27" s="1210"/>
      <c r="X27" s="1210"/>
      <c r="Y27" s="1210"/>
      <c r="Z27" s="775"/>
      <c r="AA27" s="768"/>
      <c r="AB27" s="1117" t="str">
        <f>+IF('5. Bulk y Rice'!J12="","","744/")</f>
        <v/>
      </c>
      <c r="AC27" s="874" t="s">
        <v>287</v>
      </c>
      <c r="AD27" s="1193"/>
      <c r="AE27" s="1140"/>
      <c r="AF27" s="1141"/>
      <c r="AG27" s="768"/>
      <c r="AI27" s="762"/>
      <c r="AS27" s="71" t="str">
        <f t="shared" si="8"/>
        <v>Arena natural</v>
      </c>
      <c r="AT27" s="762"/>
      <c r="AY27" s="1016" t="str">
        <f t="shared" si="5"/>
        <v>Arena natural</v>
      </c>
      <c r="AZ27" s="1017"/>
    </row>
    <row r="28" spans="1:52" s="71" customFormat="1" ht="11.25" customHeight="1" x14ac:dyDescent="0.3">
      <c r="A28" s="762"/>
      <c r="B28" s="1199" t="str">
        <f>IF(S7="","",IF($AA$7=$AH$7,BC16,IF($AA$7=$AH$8,BD16,IF($AA$7=$AH$9,BE16,IF($AA$7=$AH$10,BF16,IF($AA$7=$AH$11,BG16,IF($AA$7=$AH$12,BH16,IF($AA$7=$AH$13,BI16,IF($AA$7=$AH$14,BJ16,IF($AA$7=$AH$15,BK16,IF($AA$7=$AH$16,BL16,IF($AA$7=$AH$17,BM16,""))))))))))))</f>
        <v/>
      </c>
      <c r="C28" s="1199"/>
      <c r="D28" s="1199"/>
      <c r="E28" s="1199"/>
      <c r="F28" s="1199"/>
      <c r="G28" s="1199"/>
      <c r="H28" s="1199"/>
      <c r="I28" s="1210"/>
      <c r="J28" s="1210"/>
      <c r="K28" s="1210"/>
      <c r="L28" s="1210"/>
      <c r="M28" s="1210"/>
      <c r="N28" s="1210"/>
      <c r="O28" s="1210"/>
      <c r="P28" s="1210"/>
      <c r="Q28" s="1210"/>
      <c r="R28" s="1210"/>
      <c r="S28" s="1210"/>
      <c r="T28" s="1210"/>
      <c r="U28" s="1210"/>
      <c r="V28" s="1210"/>
      <c r="W28" s="1210"/>
      <c r="X28" s="1210"/>
      <c r="Y28" s="1210"/>
      <c r="Z28" s="775"/>
      <c r="AA28" s="768"/>
      <c r="AB28" s="1117" t="str">
        <f>+IF('5. Bulk y Rice'!G27="","","735*/")</f>
        <v/>
      </c>
      <c r="AC28" s="873" t="s">
        <v>166</v>
      </c>
      <c r="AD28" s="1193"/>
      <c r="AE28" s="1140"/>
      <c r="AF28" s="1141"/>
      <c r="AG28" s="768"/>
      <c r="AI28" s="762"/>
      <c r="AS28" s="71" t="str">
        <f t="shared" si="8"/>
        <v>Arena de peña</v>
      </c>
      <c r="AT28" s="762"/>
      <c r="AY28" s="1016" t="str">
        <f t="shared" si="5"/>
        <v>Arena de peña</v>
      </c>
      <c r="AZ28" s="1017"/>
    </row>
    <row r="29" spans="1:52" s="71" customFormat="1" ht="15" customHeight="1" x14ac:dyDescent="0.3">
      <c r="A29" s="762"/>
      <c r="B29" s="1229" t="s">
        <v>500</v>
      </c>
      <c r="C29" s="1211"/>
      <c r="D29" s="1211"/>
      <c r="E29" s="1211"/>
      <c r="F29" s="1211"/>
      <c r="G29" s="1211"/>
      <c r="I29" s="1150" t="str">
        <f>+IF(S7="","",CONCATENATE("INVIAS E-13 ",AB24,AB26,AB28,AB27,AB29,AB25))</f>
        <v/>
      </c>
      <c r="J29" s="1150"/>
      <c r="K29" s="1150"/>
      <c r="L29" s="1150"/>
      <c r="M29" s="1150"/>
      <c r="N29" s="1150"/>
      <c r="O29" s="1150"/>
      <c r="P29" s="1150"/>
      <c r="Q29" s="1150"/>
      <c r="R29" s="1150"/>
      <c r="S29" s="1150"/>
      <c r="T29" s="1150"/>
      <c r="U29" s="1150"/>
      <c r="V29" s="1150"/>
      <c r="W29" s="1150"/>
      <c r="X29" s="1150"/>
      <c r="Y29" s="1150"/>
      <c r="Z29" s="775"/>
      <c r="AA29" s="768"/>
      <c r="AB29" s="1117" t="str">
        <f>+IF('6. Estabilidad y flujo'!K20="","","748/")</f>
        <v/>
      </c>
      <c r="AC29" s="873" t="s">
        <v>457</v>
      </c>
      <c r="AD29" s="1193" t="s">
        <v>407</v>
      </c>
      <c r="AE29" s="1140" t="s">
        <v>408</v>
      </c>
      <c r="AF29" s="1141"/>
      <c r="AG29" s="768"/>
      <c r="AI29" s="762"/>
      <c r="AS29" s="71" t="str">
        <f t="shared" si="8"/>
        <v>Agregados combinados MD-10</v>
      </c>
      <c r="AT29" s="762"/>
      <c r="AY29" s="1016" t="str">
        <f t="shared" si="5"/>
        <v>Agregados combinados MD-10</v>
      </c>
      <c r="AZ29" s="1017"/>
    </row>
    <row r="30" spans="1:52" s="71" customFormat="1" ht="3.75" customHeight="1" x14ac:dyDescent="0.3">
      <c r="A30" s="762"/>
      <c r="B30" s="1112"/>
      <c r="C30" s="1112"/>
      <c r="D30" s="1112"/>
      <c r="E30" s="1112"/>
      <c r="F30" s="1112"/>
      <c r="G30" s="1112"/>
      <c r="H30" s="1112"/>
      <c r="I30" s="785"/>
      <c r="J30" s="785"/>
      <c r="K30" s="785"/>
      <c r="L30" s="785"/>
      <c r="M30" s="785"/>
      <c r="N30" s="785"/>
      <c r="O30" s="785"/>
      <c r="P30" s="785"/>
      <c r="Q30" s="785"/>
      <c r="R30" s="785"/>
      <c r="S30" s="785"/>
      <c r="T30" s="785"/>
      <c r="U30" s="785"/>
      <c r="V30" s="785"/>
      <c r="W30" s="785"/>
      <c r="X30" s="785"/>
      <c r="Y30" s="785"/>
      <c r="Z30" s="775"/>
      <c r="AA30" s="768"/>
      <c r="AB30" s="768"/>
      <c r="AC30" s="873" t="s">
        <v>440</v>
      </c>
      <c r="AD30" s="1193"/>
      <c r="AE30" s="1140"/>
      <c r="AF30" s="1141"/>
      <c r="AG30" s="768"/>
      <c r="AH30" s="768"/>
      <c r="AI30" s="762"/>
      <c r="AS30" s="71" t="str">
        <f t="shared" si="8"/>
        <v>Agregados combinados MD-12</v>
      </c>
      <c r="AT30" s="762"/>
      <c r="AY30" s="1016" t="str">
        <f t="shared" si="5"/>
        <v>Agregados combinados MD-12</v>
      </c>
      <c r="AZ30" s="1017"/>
    </row>
    <row r="31" spans="1:52" s="71" customFormat="1" ht="15" customHeight="1" x14ac:dyDescent="0.3">
      <c r="A31" s="762"/>
      <c r="B31" s="777" t="s">
        <v>38</v>
      </c>
      <c r="C31" s="777"/>
      <c r="D31" s="777"/>
      <c r="E31" s="777"/>
      <c r="F31" s="777"/>
      <c r="G31" s="777"/>
      <c r="H31" s="777"/>
      <c r="I31" s="1211" t="str">
        <f>+IF(S7="","",IF(OR(I16=AC28,I16=AC32),AC8,AC10))</f>
        <v/>
      </c>
      <c r="J31" s="1211"/>
      <c r="K31" s="1211"/>
      <c r="L31" s="1211"/>
      <c r="M31" s="1211"/>
      <c r="N31" s="1211"/>
      <c r="O31" s="1211"/>
      <c r="P31" s="1211"/>
      <c r="Q31" s="1211"/>
      <c r="R31" s="1211"/>
      <c r="S31" s="1211"/>
      <c r="T31" s="1211"/>
      <c r="U31" s="1211"/>
      <c r="V31" s="1211"/>
      <c r="W31" s="1211"/>
      <c r="X31" s="1211"/>
      <c r="Y31" s="1211"/>
      <c r="Z31" s="766"/>
      <c r="AA31" s="768"/>
      <c r="AC31" s="873" t="s">
        <v>167</v>
      </c>
      <c r="AD31" s="1140"/>
      <c r="AE31" s="1140"/>
      <c r="AF31" s="1141"/>
      <c r="AI31" s="762"/>
      <c r="AS31" s="71" t="str">
        <f t="shared" si="8"/>
        <v>Agregados combinados MGCR Tipo 1</v>
      </c>
      <c r="AT31" s="762"/>
      <c r="AY31" s="1016" t="str">
        <f t="shared" si="5"/>
        <v>Agregados combinados MGCR Tipo 1</v>
      </c>
      <c r="AZ31" s="1017"/>
    </row>
    <row r="32" spans="1:52" s="71" customFormat="1" ht="5.25" customHeight="1" x14ac:dyDescent="0.3">
      <c r="A32" s="762"/>
      <c r="B32" s="777"/>
      <c r="C32" s="777"/>
      <c r="D32" s="777"/>
      <c r="E32" s="777"/>
      <c r="F32" s="777"/>
      <c r="G32" s="777"/>
      <c r="H32" s="777"/>
      <c r="I32" s="777"/>
      <c r="J32" s="777"/>
      <c r="K32" s="777"/>
      <c r="L32" s="777"/>
      <c r="M32" s="777"/>
      <c r="N32" s="777"/>
      <c r="O32" s="777"/>
      <c r="P32" s="777"/>
      <c r="Q32" s="777"/>
      <c r="R32" s="777"/>
      <c r="S32" s="777"/>
      <c r="T32" s="746"/>
      <c r="U32" s="746"/>
      <c r="V32" s="746"/>
      <c r="W32" s="746"/>
      <c r="X32" s="746"/>
      <c r="Y32" s="746"/>
      <c r="Z32" s="766"/>
      <c r="AA32" s="768"/>
      <c r="AC32" s="873" t="s">
        <v>447</v>
      </c>
      <c r="AD32" s="1158" t="s">
        <v>121</v>
      </c>
      <c r="AE32" s="1158" t="s">
        <v>121</v>
      </c>
      <c r="AF32" s="1141"/>
      <c r="AI32" s="762"/>
      <c r="AS32" s="71" t="str">
        <f>+AJ8</f>
        <v>Ver perfil estratigráfico del suelo INV E-101 y 102-13</v>
      </c>
      <c r="AT32" s="762"/>
      <c r="AY32" s="1016" t="str">
        <f t="shared" si="5"/>
        <v>Ver perfil estratigráfico del suelo INV E-101 y 102-13</v>
      </c>
      <c r="AZ32" s="1017"/>
    </row>
    <row r="33" spans="1:52" s="71" customFormat="1" ht="12.75" customHeight="1" x14ac:dyDescent="0.3">
      <c r="A33" s="762"/>
      <c r="B33" s="777" t="s">
        <v>56</v>
      </c>
      <c r="C33" s="777"/>
      <c r="D33" s="777"/>
      <c r="E33" s="777"/>
      <c r="F33" s="777"/>
      <c r="G33" s="777"/>
      <c r="H33" s="777"/>
      <c r="I33" s="1209"/>
      <c r="J33" s="1209"/>
      <c r="K33" s="1209"/>
      <c r="L33" s="1209"/>
      <c r="M33" s="1209"/>
      <c r="N33" s="1209"/>
      <c r="O33" s="1209"/>
      <c r="P33" s="1209"/>
      <c r="Q33" s="1209"/>
      <c r="R33" s="1209"/>
      <c r="S33" s="1209"/>
      <c r="T33" s="1209"/>
      <c r="U33" s="1209"/>
      <c r="V33" s="1209"/>
      <c r="W33" s="1209"/>
      <c r="X33" s="1209"/>
      <c r="Y33" s="1209"/>
      <c r="Z33" s="766"/>
      <c r="AB33" s="794"/>
      <c r="AC33" s="873" t="s">
        <v>430</v>
      </c>
      <c r="AD33" s="1140"/>
      <c r="AE33" s="1140"/>
      <c r="AF33" s="1141"/>
      <c r="AG33" s="794"/>
      <c r="AH33" s="794"/>
      <c r="AI33" s="762"/>
      <c r="AS33" s="71" t="str">
        <f>+AK11</f>
        <v>Capa 1 MD-12 y Capa 2 MGCR-Tipo 1</v>
      </c>
      <c r="AT33" s="762"/>
      <c r="AY33" s="1016" t="str">
        <f t="shared" si="5"/>
        <v>Capa 1 MD-12 y Capa 2 MGCR-Tipo 1</v>
      </c>
      <c r="AZ33" s="1017"/>
    </row>
    <row r="34" spans="1:52" s="71" customFormat="1" ht="12.75" customHeight="1" x14ac:dyDescent="0.25">
      <c r="A34" s="762"/>
      <c r="B34" s="777" t="s">
        <v>409</v>
      </c>
      <c r="C34" s="777"/>
      <c r="D34" s="777"/>
      <c r="E34" s="777"/>
      <c r="F34" s="777"/>
      <c r="G34" s="777"/>
      <c r="H34" s="777"/>
      <c r="I34" s="1209"/>
      <c r="J34" s="1209"/>
      <c r="K34" s="1209"/>
      <c r="L34" s="1209"/>
      <c r="M34" s="1209"/>
      <c r="N34" s="1209"/>
      <c r="O34" s="1209"/>
      <c r="P34" s="1209"/>
      <c r="Q34" s="1209"/>
      <c r="R34" s="1209"/>
      <c r="S34" s="1209"/>
      <c r="T34" s="1209"/>
      <c r="U34" s="1209"/>
      <c r="V34" s="1209"/>
      <c r="W34" s="1209"/>
      <c r="X34" s="1209"/>
      <c r="Y34" s="1209"/>
      <c r="Z34" s="766"/>
      <c r="AB34" s="794"/>
      <c r="AC34" s="1025" t="s">
        <v>32</v>
      </c>
      <c r="AD34" s="1159"/>
      <c r="AE34" s="1159"/>
      <c r="AF34" s="1142"/>
      <c r="AG34" s="794"/>
      <c r="AH34" s="794"/>
      <c r="AI34" s="762"/>
      <c r="AS34" s="71" t="str">
        <f>+AK12</f>
        <v>Capa 1 MGCR Tipo 1 y capa 2 MD-12</v>
      </c>
      <c r="AT34" s="762"/>
      <c r="AY34" s="1016" t="str">
        <f t="shared" si="5"/>
        <v>Capa 1 MGCR Tipo 1 y capa 2 MD-12</v>
      </c>
      <c r="AZ34" s="1017"/>
    </row>
    <row r="35" spans="1:52" s="71" customFormat="1" ht="4.5" customHeight="1" x14ac:dyDescent="0.25">
      <c r="A35" s="762"/>
      <c r="B35" s="777"/>
      <c r="C35" s="777"/>
      <c r="D35" s="777"/>
      <c r="E35" s="777"/>
      <c r="F35" s="777"/>
      <c r="G35" s="777"/>
      <c r="H35" s="777"/>
      <c r="I35" s="777"/>
      <c r="J35" s="777"/>
      <c r="K35" s="777"/>
      <c r="L35" s="777"/>
      <c r="M35" s="777"/>
      <c r="N35" s="777"/>
      <c r="O35" s="777"/>
      <c r="P35" s="777"/>
      <c r="Q35" s="777"/>
      <c r="R35" s="777"/>
      <c r="S35" s="777"/>
      <c r="T35" s="746"/>
      <c r="U35" s="746"/>
      <c r="V35" s="746"/>
      <c r="W35" s="746"/>
      <c r="X35" s="746"/>
      <c r="Y35" s="746"/>
      <c r="Z35" s="766"/>
      <c r="AA35" s="794"/>
      <c r="AB35" s="794"/>
      <c r="AC35" s="1032">
        <f>+I11</f>
        <v>0</v>
      </c>
      <c r="AD35" s="778"/>
      <c r="AE35" s="778"/>
      <c r="AF35" s="778"/>
      <c r="AG35" s="794"/>
      <c r="AH35" s="794"/>
      <c r="AI35" s="762"/>
      <c r="AS35" s="71" t="str">
        <f>+AL8</f>
        <v>MD-10</v>
      </c>
      <c r="AT35" s="762"/>
      <c r="AY35" s="1016" t="str">
        <f t="shared" si="5"/>
        <v>MD-10</v>
      </c>
      <c r="AZ35" s="1017"/>
    </row>
    <row r="36" spans="1:52" s="71" customFormat="1" ht="13.5" customHeight="1" x14ac:dyDescent="0.3">
      <c r="A36" s="788"/>
      <c r="B36" s="789" t="s">
        <v>410</v>
      </c>
      <c r="Z36" s="779"/>
      <c r="AA36" s="794"/>
      <c r="AB36" s="794"/>
      <c r="AC36" s="1026" t="s">
        <v>454</v>
      </c>
      <c r="AD36" s="1147" t="e">
        <f>+AD6</f>
        <v>#REF!</v>
      </c>
      <c r="AE36" s="1148"/>
      <c r="AF36" s="1146"/>
      <c r="AG36" s="794"/>
      <c r="AH36" s="794"/>
      <c r="AI36" s="762"/>
      <c r="AS36" s="71" t="str">
        <f t="shared" ref="AS36:AS43" si="10">+AL9</f>
        <v>MD-12</v>
      </c>
      <c r="AT36" s="762"/>
      <c r="AY36" s="1016" t="str">
        <f t="shared" si="5"/>
        <v>MD-12</v>
      </c>
      <c r="AZ36" s="1017"/>
    </row>
    <row r="37" spans="1:52" s="71" customFormat="1" ht="13.5" customHeight="1" x14ac:dyDescent="0.3">
      <c r="A37" s="792"/>
      <c r="B37" s="1151" t="s">
        <v>501</v>
      </c>
      <c r="C37" s="1151"/>
      <c r="D37" s="1151"/>
      <c r="E37" s="1151"/>
      <c r="F37" s="1151"/>
      <c r="G37" s="1151"/>
      <c r="H37" s="1151"/>
      <c r="I37" s="1151"/>
      <c r="J37" s="1151"/>
      <c r="K37" s="1151"/>
      <c r="L37" s="1151"/>
      <c r="M37" s="1151"/>
      <c r="N37" s="1151"/>
      <c r="O37" s="1151"/>
      <c r="P37" s="1151"/>
      <c r="Q37" s="1151"/>
      <c r="R37" s="1151"/>
      <c r="S37" s="1151"/>
      <c r="T37" s="1151"/>
      <c r="U37" s="1151"/>
      <c r="V37" s="1151"/>
      <c r="W37" s="1151"/>
      <c r="X37" s="1151"/>
      <c r="Y37" s="1151"/>
      <c r="Z37" s="793"/>
      <c r="AA37" s="794"/>
      <c r="AB37" s="794"/>
      <c r="AC37" s="1031" t="s">
        <v>46</v>
      </c>
      <c r="AD37" s="790" t="s">
        <v>326</v>
      </c>
      <c r="AE37" s="791" t="s">
        <v>327</v>
      </c>
      <c r="AF37" s="1146"/>
      <c r="AG37" s="794"/>
      <c r="AH37" s="794"/>
      <c r="AI37" s="762"/>
      <c r="AS37" s="71" t="str">
        <f t="shared" si="10"/>
        <v>MGCR Tipo 1</v>
      </c>
      <c r="AT37" s="762"/>
      <c r="AY37" s="1016" t="str">
        <f t="shared" si="5"/>
        <v>MGCR Tipo 1</v>
      </c>
      <c r="AZ37" s="1017"/>
    </row>
    <row r="38" spans="1:52" s="71" customFormat="1" ht="15" customHeight="1" x14ac:dyDescent="0.2">
      <c r="A38" s="792"/>
      <c r="B38" s="1151" t="str">
        <f>+IF(S7="","","Nota: es de aclarar que el Laboratorio no realiza muestreo.")</f>
        <v/>
      </c>
      <c r="C38" s="1151"/>
      <c r="D38" s="1151"/>
      <c r="E38" s="1151"/>
      <c r="F38" s="1151"/>
      <c r="G38" s="1151"/>
      <c r="H38" s="1151"/>
      <c r="I38" s="1151"/>
      <c r="J38" s="1151"/>
      <c r="K38" s="1151"/>
      <c r="L38" s="1151"/>
      <c r="M38" s="1151"/>
      <c r="N38" s="1151"/>
      <c r="O38" s="1151"/>
      <c r="P38" s="1151"/>
      <c r="Q38" s="1151"/>
      <c r="R38" s="1151"/>
      <c r="S38" s="1151"/>
      <c r="T38" s="1151"/>
      <c r="U38" s="1151"/>
      <c r="V38" s="1151"/>
      <c r="W38" s="1151"/>
      <c r="X38" s="1151"/>
      <c r="Y38" s="1151"/>
      <c r="Z38" s="793"/>
      <c r="AA38" s="794"/>
      <c r="AB38" s="794"/>
      <c r="AC38" s="794" t="s">
        <v>448</v>
      </c>
      <c r="AD38" s="777" t="str">
        <f>+AD8</f>
        <v>Juan Camilo Váquiro</v>
      </c>
      <c r="AE38" s="787" t="s">
        <v>286</v>
      </c>
      <c r="AF38" s="1146"/>
      <c r="AG38" s="794"/>
      <c r="AH38" s="794"/>
      <c r="AI38" s="762"/>
      <c r="AS38" s="71" t="str">
        <f t="shared" si="10"/>
        <v>Pavimento asfaltico reciclado MBR</v>
      </c>
      <c r="AT38" s="762"/>
      <c r="AY38" s="1016" t="str">
        <f t="shared" si="5"/>
        <v>Pavimento asfaltico reciclado MBR</v>
      </c>
      <c r="AZ38" s="1017"/>
    </row>
    <row r="39" spans="1:52" s="71" customFormat="1" ht="15" customHeight="1" x14ac:dyDescent="0.25">
      <c r="A39" s="792"/>
      <c r="B39" s="1152" t="s">
        <v>502</v>
      </c>
      <c r="C39" s="1152"/>
      <c r="D39" s="1152"/>
      <c r="E39" s="1152"/>
      <c r="F39" s="1152"/>
      <c r="G39" s="1152"/>
      <c r="H39" s="1152"/>
      <c r="I39" s="1152"/>
      <c r="J39" s="1152"/>
      <c r="K39" s="1152"/>
      <c r="L39" s="1152"/>
      <c r="M39" s="1152"/>
      <c r="N39" s="1152"/>
      <c r="O39" s="1152"/>
      <c r="P39" s="1152"/>
      <c r="Q39" s="1152"/>
      <c r="R39" s="1152"/>
      <c r="S39" s="1152"/>
      <c r="T39" s="1152"/>
      <c r="U39" s="1152"/>
      <c r="V39" s="1152"/>
      <c r="W39" s="1152"/>
      <c r="X39" s="1152"/>
      <c r="Y39" s="1152"/>
      <c r="Z39" s="793"/>
      <c r="AA39" s="794"/>
      <c r="AB39" s="797"/>
      <c r="AC39" s="794" t="s">
        <v>490</v>
      </c>
      <c r="AD39" s="774" t="str">
        <f>+AD11</f>
        <v>Karen Flórez Barón</v>
      </c>
      <c r="AE39" s="787" t="str">
        <f>+AE11</f>
        <v>Auxiliar de Acreditación</v>
      </c>
      <c r="AF39" s="1146"/>
      <c r="AG39" s="797"/>
      <c r="AH39" s="797"/>
      <c r="AI39" s="762"/>
      <c r="AS39" s="71" t="str">
        <f t="shared" si="10"/>
        <v>Fresado</v>
      </c>
      <c r="AT39" s="762"/>
      <c r="AY39" s="1016" t="str">
        <f t="shared" si="5"/>
        <v>Fresado</v>
      </c>
      <c r="AZ39" s="1017"/>
    </row>
    <row r="40" spans="1:52" s="71" customFormat="1" ht="19.5" customHeight="1" x14ac:dyDescent="0.25">
      <c r="A40" s="792"/>
      <c r="B40" s="1152"/>
      <c r="C40" s="1152"/>
      <c r="D40" s="1152"/>
      <c r="E40" s="1152"/>
      <c r="F40" s="1152"/>
      <c r="G40" s="1152"/>
      <c r="H40" s="1152"/>
      <c r="I40" s="1152"/>
      <c r="J40" s="1152"/>
      <c r="K40" s="1152"/>
      <c r="L40" s="1152"/>
      <c r="M40" s="1152"/>
      <c r="N40" s="1152"/>
      <c r="O40" s="1152"/>
      <c r="P40" s="1152"/>
      <c r="Q40" s="1152"/>
      <c r="R40" s="1152"/>
      <c r="S40" s="1152"/>
      <c r="T40" s="1152"/>
      <c r="U40" s="1152"/>
      <c r="V40" s="1152"/>
      <c r="W40" s="1152"/>
      <c r="X40" s="1152"/>
      <c r="Y40" s="1152"/>
      <c r="Z40" s="793"/>
      <c r="AA40" s="794"/>
      <c r="AB40" s="1013"/>
      <c r="AC40" s="794"/>
      <c r="AD40" s="777" t="s">
        <v>364</v>
      </c>
      <c r="AE40" s="787" t="s">
        <v>365</v>
      </c>
      <c r="AF40" s="1146"/>
      <c r="AG40" s="1013"/>
      <c r="AH40" s="1013"/>
      <c r="AI40" s="762"/>
      <c r="AS40" s="71" t="str">
        <f t="shared" si="10"/>
        <v>Fresado estabilizado con emulsión y cemento</v>
      </c>
      <c r="AT40" s="762"/>
      <c r="AY40" s="1016" t="str">
        <f t="shared" si="5"/>
        <v>Fresado estabilizado con emulsión y cemento</v>
      </c>
      <c r="AZ40" s="1017"/>
    </row>
    <row r="41" spans="1:52" s="46" customFormat="1" ht="12" customHeight="1" x14ac:dyDescent="0.25">
      <c r="A41" s="792"/>
      <c r="B41" s="1152"/>
      <c r="C41" s="1152"/>
      <c r="D41" s="1152"/>
      <c r="E41" s="1152"/>
      <c r="F41" s="1152"/>
      <c r="G41" s="1152"/>
      <c r="H41" s="1152"/>
      <c r="I41" s="1152"/>
      <c r="J41" s="1152"/>
      <c r="K41" s="1152"/>
      <c r="L41" s="1152"/>
      <c r="M41" s="1152"/>
      <c r="N41" s="1152"/>
      <c r="O41" s="1152"/>
      <c r="P41" s="1152"/>
      <c r="Q41" s="1152"/>
      <c r="R41" s="1152"/>
      <c r="S41" s="1152"/>
      <c r="T41" s="1152"/>
      <c r="U41" s="1152"/>
      <c r="V41" s="1152"/>
      <c r="W41" s="1152"/>
      <c r="X41" s="1152"/>
      <c r="Y41" s="1152"/>
      <c r="Z41" s="793"/>
      <c r="AA41" s="797"/>
      <c r="AB41" s="1013"/>
      <c r="AC41" s="794"/>
      <c r="AD41" s="1024" t="s">
        <v>121</v>
      </c>
      <c r="AE41" s="796" t="s">
        <v>121</v>
      </c>
      <c r="AF41" s="1146"/>
      <c r="AG41" s="1013"/>
      <c r="AH41" s="1013"/>
      <c r="AI41" s="771"/>
      <c r="AS41" s="71" t="str">
        <f t="shared" si="10"/>
        <v>MR-43</v>
      </c>
      <c r="AT41" s="762"/>
      <c r="AU41" s="71"/>
      <c r="AV41" s="71"/>
      <c r="AW41" s="71"/>
      <c r="AX41" s="71"/>
      <c r="AY41" s="1016" t="str">
        <f t="shared" si="5"/>
        <v>MR-43</v>
      </c>
      <c r="AZ41" s="1017"/>
    </row>
    <row r="42" spans="1:52" s="46" customFormat="1" ht="10.5" customHeight="1" x14ac:dyDescent="0.3">
      <c r="A42" s="792"/>
      <c r="B42" s="1152"/>
      <c r="C42" s="1152"/>
      <c r="D42" s="1152"/>
      <c r="E42" s="1152"/>
      <c r="F42" s="1152"/>
      <c r="G42" s="1152"/>
      <c r="H42" s="1152"/>
      <c r="I42" s="1152"/>
      <c r="J42" s="1152"/>
      <c r="K42" s="1152"/>
      <c r="L42" s="1152"/>
      <c r="M42" s="1152"/>
      <c r="N42" s="1152"/>
      <c r="O42" s="1152"/>
      <c r="P42" s="1152"/>
      <c r="Q42" s="1152"/>
      <c r="R42" s="1152"/>
      <c r="S42" s="1152"/>
      <c r="T42" s="1152"/>
      <c r="U42" s="1152"/>
      <c r="V42" s="1152"/>
      <c r="W42" s="1152"/>
      <c r="X42" s="1152"/>
      <c r="Y42" s="1152"/>
      <c r="Z42" s="793"/>
      <c r="AA42" s="71"/>
      <c r="AB42" s="798"/>
      <c r="AC42" s="794"/>
      <c r="AD42" s="1147" t="str">
        <f>+AD21</f>
        <v>Aprobó</v>
      </c>
      <c r="AE42" s="1148"/>
      <c r="AF42" s="1146"/>
      <c r="AG42" s="798"/>
      <c r="AH42" s="798"/>
      <c r="AI42" s="771"/>
      <c r="AS42" s="71" t="str">
        <f t="shared" si="10"/>
        <v>3000 psi</v>
      </c>
      <c r="AT42" s="762"/>
      <c r="AU42" s="71"/>
      <c r="AV42" s="71"/>
      <c r="AW42" s="71"/>
      <c r="AX42" s="71"/>
      <c r="AY42" s="1016" t="str">
        <f t="shared" si="5"/>
        <v>3000 psi</v>
      </c>
      <c r="AZ42" s="1017"/>
    </row>
    <row r="43" spans="1:52" s="46" customFormat="1" ht="25.5" customHeight="1" x14ac:dyDescent="0.25">
      <c r="A43" s="792"/>
      <c r="B43" s="1149" t="str">
        <f>+IF(S7="","","4. Los ensayos que se indican con un * seguido del código de la norma de ensayo se entregan acreditados, siempre y cuando los resultados se encuentren dentro del rango de medición.")</f>
        <v/>
      </c>
      <c r="C43" s="1149"/>
      <c r="D43" s="1149"/>
      <c r="E43" s="1149"/>
      <c r="F43" s="1149"/>
      <c r="G43" s="1149"/>
      <c r="H43" s="1149"/>
      <c r="I43" s="1149"/>
      <c r="J43" s="1149"/>
      <c r="K43" s="1149"/>
      <c r="L43" s="1149"/>
      <c r="M43" s="1149"/>
      <c r="N43" s="1149"/>
      <c r="O43" s="1149"/>
      <c r="P43" s="1149"/>
      <c r="Q43" s="1149"/>
      <c r="R43" s="1149"/>
      <c r="S43" s="1149"/>
      <c r="T43" s="1149"/>
      <c r="U43" s="1149"/>
      <c r="V43" s="1149"/>
      <c r="W43" s="1149"/>
      <c r="X43" s="1149"/>
      <c r="Y43" s="1149"/>
      <c r="Z43" s="793"/>
      <c r="AA43" s="71"/>
      <c r="AB43" s="800"/>
      <c r="AC43" s="794" t="s">
        <v>463</v>
      </c>
      <c r="AD43" s="774" t="str">
        <f>+AD23</f>
        <v>Cindy Nathaly Sastoque G</v>
      </c>
      <c r="AE43" s="787" t="str">
        <f>+AE23</f>
        <v>Coordinador Técnico</v>
      </c>
      <c r="AF43" s="1146"/>
      <c r="AG43" s="800"/>
      <c r="AH43" s="800"/>
      <c r="AI43" s="771"/>
      <c r="AS43" s="71" t="str">
        <f t="shared" si="10"/>
        <v>2500 psi</v>
      </c>
      <c r="AT43" s="762"/>
      <c r="AU43" s="71"/>
      <c r="AV43" s="71"/>
      <c r="AW43" s="71"/>
      <c r="AX43" s="71"/>
      <c r="AY43" s="1016" t="str">
        <f t="shared" si="5"/>
        <v>2500 psi</v>
      </c>
      <c r="AZ43" s="1017"/>
    </row>
    <row r="44" spans="1:52" s="46" customFormat="1" ht="12" customHeight="1" x14ac:dyDescent="0.25">
      <c r="A44" s="1153" t="s">
        <v>3</v>
      </c>
      <c r="B44" s="1154"/>
      <c r="C44" s="1154"/>
      <c r="D44" s="1154"/>
      <c r="E44" s="1154"/>
      <c r="F44" s="1230"/>
      <c r="G44" s="1230"/>
      <c r="H44" s="1230"/>
      <c r="I44" s="1230"/>
      <c r="J44" s="1230"/>
      <c r="K44" s="1230"/>
      <c r="L44" s="1230"/>
      <c r="M44" s="1230"/>
      <c r="N44" s="1230"/>
      <c r="O44" s="1230"/>
      <c r="P44" s="1230"/>
      <c r="Q44" s="1230"/>
      <c r="R44" s="1230"/>
      <c r="S44" s="1230"/>
      <c r="T44" s="1230"/>
      <c r="U44" s="1230"/>
      <c r="V44" s="1230"/>
      <c r="W44" s="1230"/>
      <c r="X44" s="1230"/>
      <c r="Y44" s="1230"/>
      <c r="Z44" s="1231"/>
      <c r="AA44" s="798"/>
      <c r="AB44" s="801"/>
      <c r="AC44" s="1034" t="s">
        <v>498</v>
      </c>
      <c r="AD44" s="774" t="str">
        <f>+AD26</f>
        <v>Mercy Alejandra Rivera Fonseca</v>
      </c>
      <c r="AE44" s="787" t="str">
        <f>+AE26</f>
        <v>Líder de Acreditación</v>
      </c>
      <c r="AF44" s="71"/>
      <c r="AG44" s="801"/>
      <c r="AH44" s="801"/>
      <c r="AI44" s="771"/>
      <c r="AS44" s="46" t="str">
        <f>+AM8</f>
        <v>Cemento asfaltico CA-14</v>
      </c>
      <c r="AT44" s="771"/>
      <c r="AY44" s="1016" t="str">
        <f t="shared" si="5"/>
        <v>Cemento asfaltico CA-14</v>
      </c>
      <c r="AZ44" s="1017"/>
    </row>
    <row r="45" spans="1:52" s="803" customFormat="1" ht="12" customHeight="1" x14ac:dyDescent="0.25">
      <c r="A45" s="1118"/>
      <c r="B45" s="1119"/>
      <c r="C45" s="1119"/>
      <c r="D45" s="1119"/>
      <c r="E45" s="1119"/>
      <c r="F45" s="1232"/>
      <c r="G45" s="1232"/>
      <c r="H45" s="1232"/>
      <c r="I45" s="1232"/>
      <c r="J45" s="1232"/>
      <c r="K45" s="1232"/>
      <c r="L45" s="1232"/>
      <c r="M45" s="1232"/>
      <c r="N45" s="1232"/>
      <c r="O45" s="1232"/>
      <c r="P45" s="1232"/>
      <c r="Q45" s="1232"/>
      <c r="R45" s="1232"/>
      <c r="S45" s="1232"/>
      <c r="T45" s="1232"/>
      <c r="U45" s="1232"/>
      <c r="V45" s="1232"/>
      <c r="W45" s="1232"/>
      <c r="X45" s="1232"/>
      <c r="Y45" s="1232"/>
      <c r="Z45" s="1233"/>
      <c r="AA45" s="799"/>
      <c r="AB45" s="1012"/>
      <c r="AC45" s="804"/>
      <c r="AD45" s="774" t="s">
        <v>407</v>
      </c>
      <c r="AE45" s="787" t="str">
        <f>+AE29</f>
        <v>Líder Operativo</v>
      </c>
      <c r="AF45" s="794"/>
      <c r="AG45" s="1115"/>
      <c r="AH45" s="1116"/>
      <c r="AI45" s="802"/>
      <c r="AS45" s="46" t="str">
        <f>+AM9</f>
        <v>Cemento asfaltico modificado con GCR</v>
      </c>
      <c r="AT45" s="771"/>
      <c r="AU45" s="46"/>
      <c r="AV45" s="46"/>
      <c r="AW45" s="46"/>
      <c r="AX45" s="46"/>
      <c r="AY45" s="1016" t="str">
        <f t="shared" si="5"/>
        <v>Cemento asfaltico modificado con GCR</v>
      </c>
      <c r="AZ45" s="1017"/>
    </row>
    <row r="46" spans="1:52" s="803" customFormat="1" ht="15" customHeight="1" x14ac:dyDescent="0.25">
      <c r="A46" s="1143" t="s">
        <v>113</v>
      </c>
      <c r="B46" s="1144"/>
      <c r="C46" s="1144"/>
      <c r="D46" s="1144"/>
      <c r="E46" s="1144"/>
      <c r="F46" s="1144"/>
      <c r="G46" s="1144"/>
      <c r="H46" s="1144"/>
      <c r="I46" s="1144"/>
      <c r="J46" s="1144"/>
      <c r="K46" s="1144"/>
      <c r="L46" s="1144"/>
      <c r="M46" s="1144"/>
      <c r="N46" s="1144"/>
      <c r="O46" s="1144"/>
      <c r="P46" s="1144"/>
      <c r="Q46" s="1144"/>
      <c r="R46" s="1144"/>
      <c r="S46" s="1144"/>
      <c r="T46" s="1144"/>
      <c r="U46" s="1144"/>
      <c r="V46" s="1144"/>
      <c r="W46" s="1144"/>
      <c r="X46" s="1144"/>
      <c r="Y46" s="1144"/>
      <c r="Z46" s="1145"/>
      <c r="AA46" s="1012"/>
      <c r="AB46" s="804"/>
      <c r="AC46" s="794" t="s">
        <v>464</v>
      </c>
      <c r="AD46" s="795" t="s">
        <v>121</v>
      </c>
      <c r="AE46" s="796" t="s">
        <v>121</v>
      </c>
      <c r="AF46" s="794"/>
      <c r="AG46" s="1115"/>
      <c r="AH46" s="1116"/>
      <c r="AI46" s="802"/>
      <c r="AS46" s="46" t="str">
        <f>+AM10</f>
        <v>Asfalto modificado para sello de fisuras</v>
      </c>
      <c r="AT46" s="771"/>
      <c r="AU46" s="46"/>
      <c r="AV46" s="46"/>
      <c r="AW46" s="46"/>
      <c r="AX46" s="46"/>
      <c r="AY46" s="1016" t="str">
        <f t="shared" si="5"/>
        <v>Asfalto modificado para sello de fisuras</v>
      </c>
      <c r="AZ46" s="1017"/>
    </row>
    <row r="47" spans="1:52" s="46" customFormat="1" ht="12.75" customHeight="1" x14ac:dyDescent="0.25">
      <c r="A47" s="1214"/>
      <c r="B47" s="1215"/>
      <c r="C47" s="1215"/>
      <c r="D47" s="1215"/>
      <c r="E47" s="1215"/>
      <c r="F47" s="1215"/>
      <c r="G47" s="1215"/>
      <c r="H47" s="1215"/>
      <c r="I47" s="1215"/>
      <c r="J47" s="1215"/>
      <c r="K47" s="1215"/>
      <c r="L47" s="1215"/>
      <c r="M47" s="1215"/>
      <c r="N47" s="1215"/>
      <c r="O47" s="1215"/>
      <c r="P47" s="1215"/>
      <c r="Q47" s="1215"/>
      <c r="R47" s="1215"/>
      <c r="S47" s="1215"/>
      <c r="T47" s="1215"/>
      <c r="U47" s="1215"/>
      <c r="V47" s="1215"/>
      <c r="W47" s="1215"/>
      <c r="X47" s="1215"/>
      <c r="Y47" s="1215"/>
      <c r="Z47" s="1216"/>
      <c r="AA47" s="1012"/>
      <c r="AB47" s="804"/>
      <c r="AC47" s="1033" t="s">
        <v>491</v>
      </c>
      <c r="AD47" s="794"/>
      <c r="AE47" s="794"/>
      <c r="AF47" s="794"/>
      <c r="AG47" s="804"/>
      <c r="AH47" s="804"/>
      <c r="AI47" s="771"/>
      <c r="AS47" s="46" t="str">
        <f>+AN8</f>
        <v>Emulsión asfaltica CRL-1 (60-100)</v>
      </c>
      <c r="AT47" s="771"/>
      <c r="AY47" s="1016" t="str">
        <f t="shared" si="5"/>
        <v>Emulsión asfaltica CRL-1 (60-100)</v>
      </c>
      <c r="AZ47" s="1017"/>
    </row>
    <row r="48" spans="1:52" s="46" customFormat="1" ht="12.75" customHeight="1" x14ac:dyDescent="0.25">
      <c r="A48" s="1214"/>
      <c r="B48" s="1215"/>
      <c r="C48" s="1215"/>
      <c r="D48" s="1215"/>
      <c r="E48" s="1215"/>
      <c r="F48" s="1215"/>
      <c r="G48" s="1215"/>
      <c r="H48" s="1215"/>
      <c r="I48" s="1215"/>
      <c r="J48" s="1215"/>
      <c r="K48" s="1215"/>
      <c r="L48" s="1215"/>
      <c r="M48" s="1215"/>
      <c r="N48" s="1215"/>
      <c r="O48" s="1215"/>
      <c r="P48" s="1215"/>
      <c r="Q48" s="1215"/>
      <c r="R48" s="1215"/>
      <c r="S48" s="1215"/>
      <c r="T48" s="1215"/>
      <c r="U48" s="1215"/>
      <c r="V48" s="1215"/>
      <c r="W48" s="1215"/>
      <c r="X48" s="1215"/>
      <c r="Y48" s="1215"/>
      <c r="Z48" s="1216"/>
      <c r="AA48" s="804"/>
      <c r="AB48" s="804"/>
      <c r="AC48" s="800"/>
      <c r="AD48" s="794"/>
      <c r="AE48" s="794"/>
      <c r="AF48" s="1115" t="s">
        <v>492</v>
      </c>
      <c r="AG48" s="804"/>
      <c r="AH48" s="804"/>
      <c r="AI48" s="771"/>
      <c r="AS48" s="46" t="str">
        <f>+AN9</f>
        <v>Emulsión asfaltica CRL-1 (100-250)</v>
      </c>
      <c r="AT48" s="771"/>
      <c r="AY48" s="1016" t="str">
        <f t="shared" si="5"/>
        <v>Emulsión asfaltica CRL-1 (100-250)</v>
      </c>
      <c r="AZ48" s="1017"/>
    </row>
    <row r="49" spans="1:52" s="46" customFormat="1" ht="11.25" customHeight="1" x14ac:dyDescent="0.25">
      <c r="A49" s="1217"/>
      <c r="B49" s="1218"/>
      <c r="C49" s="1218"/>
      <c r="D49" s="1218"/>
      <c r="E49" s="1218"/>
      <c r="F49" s="1218"/>
      <c r="G49" s="1218"/>
      <c r="H49" s="1218"/>
      <c r="I49" s="1218"/>
      <c r="J49" s="1218"/>
      <c r="K49" s="1218"/>
      <c r="L49" s="1218"/>
      <c r="M49" s="1218"/>
      <c r="N49" s="1218"/>
      <c r="O49" s="1218"/>
      <c r="P49" s="1218"/>
      <c r="Q49" s="1218"/>
      <c r="R49" s="1218"/>
      <c r="S49" s="1218"/>
      <c r="T49" s="1218"/>
      <c r="U49" s="1218"/>
      <c r="V49" s="1218"/>
      <c r="W49" s="1218"/>
      <c r="X49" s="1218"/>
      <c r="Y49" s="1218"/>
      <c r="Z49" s="1219"/>
      <c r="AA49" s="804"/>
      <c r="AC49" s="794" t="s">
        <v>465</v>
      </c>
      <c r="AD49" s="1030"/>
      <c r="AE49" s="1030"/>
      <c r="AF49" s="1115"/>
      <c r="AI49" s="771"/>
      <c r="AS49" s="46" t="str">
        <f>+AN10</f>
        <v>Emulsión asfaltica CRR-1</v>
      </c>
      <c r="AT49" s="771"/>
      <c r="AY49" s="1016" t="str">
        <f t="shared" si="5"/>
        <v>Emulsión asfaltica CRR-1</v>
      </c>
      <c r="AZ49" s="1017"/>
    </row>
    <row r="50" spans="1:52" ht="14.25" customHeight="1" x14ac:dyDescent="0.25">
      <c r="A50" s="1220"/>
      <c r="B50" s="1221"/>
      <c r="C50" s="1221"/>
      <c r="D50" s="1221"/>
      <c r="E50" s="1221"/>
      <c r="F50" s="1221"/>
      <c r="G50" s="1221"/>
      <c r="H50" s="1221"/>
      <c r="I50" s="1221"/>
      <c r="J50" s="1221"/>
      <c r="K50" s="1221"/>
      <c r="L50" s="1221"/>
      <c r="M50" s="1221"/>
      <c r="N50" s="1221"/>
      <c r="O50" s="1221"/>
      <c r="P50" s="1221"/>
      <c r="Q50" s="1221"/>
      <c r="R50" s="1221"/>
      <c r="S50" s="1221"/>
      <c r="T50" s="1221"/>
      <c r="U50" s="1221"/>
      <c r="V50" s="1221"/>
      <c r="W50" s="1221"/>
      <c r="X50" s="1221"/>
      <c r="Y50" s="1221"/>
      <c r="Z50" s="1222"/>
      <c r="AA50" s="804"/>
      <c r="AC50" s="1033" t="s">
        <v>466</v>
      </c>
      <c r="AD50" s="794"/>
      <c r="AE50" s="794"/>
      <c r="AF50" s="794"/>
      <c r="AI50" s="750"/>
      <c r="AT50" s="750"/>
      <c r="AZ50" s="805"/>
    </row>
    <row r="51" spans="1:52" ht="12" customHeight="1" x14ac:dyDescent="0.25">
      <c r="A51" s="1223" t="str">
        <f>IF(A50="","",VLOOKUP(A50,AD43:AE46,2,0))</f>
        <v/>
      </c>
      <c r="B51" s="1224"/>
      <c r="C51" s="1224"/>
      <c r="D51" s="1224"/>
      <c r="E51" s="1224"/>
      <c r="F51" s="1224"/>
      <c r="G51" s="1224"/>
      <c r="H51" s="1224"/>
      <c r="I51" s="1224"/>
      <c r="J51" s="1224"/>
      <c r="K51" s="1224"/>
      <c r="L51" s="1224"/>
      <c r="M51" s="1224"/>
      <c r="N51" s="1224"/>
      <c r="O51" s="1224"/>
      <c r="P51" s="1224"/>
      <c r="Q51" s="1224"/>
      <c r="R51" s="1224"/>
      <c r="S51" s="1224"/>
      <c r="T51" s="1224"/>
      <c r="U51" s="1224"/>
      <c r="V51" s="1224"/>
      <c r="W51" s="1224"/>
      <c r="X51" s="1224"/>
      <c r="Y51" s="1224"/>
      <c r="Z51" s="1225"/>
      <c r="AA51" s="46"/>
      <c r="AC51" s="804"/>
      <c r="AD51" s="794"/>
      <c r="AE51" s="794"/>
      <c r="AF51" s="797"/>
      <c r="AI51" s="750"/>
      <c r="AT51" s="750"/>
      <c r="AZ51" s="805"/>
    </row>
    <row r="52" spans="1:52" ht="1.5" customHeight="1" thickBot="1" x14ac:dyDescent="0.3">
      <c r="A52" s="1226"/>
      <c r="B52" s="1227"/>
      <c r="C52" s="1227"/>
      <c r="D52" s="1227"/>
      <c r="E52" s="1227"/>
      <c r="F52" s="1227"/>
      <c r="G52" s="1227"/>
      <c r="H52" s="1227"/>
      <c r="I52" s="1227"/>
      <c r="J52" s="1227"/>
      <c r="K52" s="1227"/>
      <c r="L52" s="1227"/>
      <c r="M52" s="1227"/>
      <c r="N52" s="1227"/>
      <c r="O52" s="1227"/>
      <c r="P52" s="1227"/>
      <c r="Q52" s="1227"/>
      <c r="R52" s="1227"/>
      <c r="S52" s="1227"/>
      <c r="T52" s="1227"/>
      <c r="U52" s="1227"/>
      <c r="V52" s="1227"/>
      <c r="W52" s="1227"/>
      <c r="X52" s="1227"/>
      <c r="Y52" s="1227"/>
      <c r="Z52" s="1228"/>
      <c r="AC52" s="794"/>
      <c r="AD52" s="797"/>
      <c r="AE52" s="797"/>
      <c r="AF52" s="1013"/>
      <c r="AI52" s="806"/>
      <c r="AJ52" s="807"/>
      <c r="AK52" s="807"/>
      <c r="AL52" s="807"/>
      <c r="AM52" s="807"/>
      <c r="AN52" s="807"/>
      <c r="AO52" s="807"/>
      <c r="AP52" s="807"/>
      <c r="AQ52" s="807"/>
      <c r="AR52" s="807"/>
      <c r="AS52" s="807"/>
      <c r="AT52" s="806"/>
      <c r="AU52" s="807"/>
      <c r="AV52" s="807"/>
      <c r="AW52" s="807"/>
      <c r="AX52" s="807"/>
      <c r="AY52" s="807"/>
      <c r="AZ52" s="808"/>
    </row>
    <row r="53" spans="1:52" ht="6.75" customHeight="1" thickTop="1" x14ac:dyDescent="0.25">
      <c r="A53" s="1212" t="s">
        <v>411</v>
      </c>
      <c r="B53" s="1212"/>
      <c r="C53" s="1212"/>
      <c r="D53" s="1212"/>
      <c r="E53" s="1212"/>
      <c r="F53" s="1212"/>
      <c r="G53" s="1212"/>
      <c r="H53" s="1212"/>
      <c r="I53" s="1212"/>
      <c r="J53" s="1212"/>
      <c r="K53" s="1212"/>
      <c r="L53" s="1212"/>
      <c r="M53" s="1212"/>
      <c r="N53" s="1212"/>
      <c r="O53" s="1212"/>
      <c r="P53" s="1212"/>
      <c r="Q53" s="1212"/>
      <c r="R53" s="1212"/>
      <c r="S53" s="1212"/>
      <c r="T53" s="1212"/>
      <c r="U53" s="1212"/>
      <c r="V53" s="1212"/>
      <c r="W53" s="1212"/>
      <c r="X53" s="1212"/>
      <c r="Y53" s="1212"/>
      <c r="Z53" s="1212"/>
      <c r="AC53" s="797"/>
      <c r="AD53" s="797"/>
      <c r="AE53" s="797"/>
      <c r="AF53" s="1013"/>
    </row>
    <row r="54" spans="1:52" x14ac:dyDescent="0.25">
      <c r="A54" s="1213"/>
      <c r="B54" s="1213"/>
      <c r="C54" s="1213"/>
      <c r="D54" s="1213"/>
      <c r="E54" s="1213"/>
      <c r="F54" s="1213"/>
      <c r="G54" s="1213"/>
      <c r="H54" s="1213"/>
      <c r="I54" s="1213"/>
      <c r="J54" s="1213"/>
      <c r="K54" s="1213"/>
      <c r="L54" s="1213"/>
      <c r="M54" s="1213"/>
      <c r="N54" s="1213"/>
      <c r="O54" s="1213"/>
      <c r="P54" s="1213"/>
      <c r="Q54" s="1213"/>
      <c r="R54" s="1213"/>
      <c r="S54" s="1213"/>
      <c r="T54" s="1213"/>
      <c r="U54" s="1213"/>
      <c r="V54" s="1213"/>
      <c r="W54" s="1213"/>
      <c r="X54" s="1213"/>
      <c r="Y54" s="1213"/>
      <c r="Z54" s="1213"/>
      <c r="AC54" s="46"/>
      <c r="AD54" s="1013"/>
      <c r="AE54" s="1013"/>
      <c r="AF54" s="798"/>
    </row>
    <row r="55" spans="1:52" ht="9.75" customHeight="1" x14ac:dyDescent="0.25">
      <c r="A55" s="1213"/>
      <c r="B55" s="1213"/>
      <c r="C55" s="1213"/>
      <c r="D55" s="1213"/>
      <c r="E55" s="1213"/>
      <c r="F55" s="1213"/>
      <c r="G55" s="1213"/>
      <c r="H55" s="1213"/>
      <c r="I55" s="1213"/>
      <c r="J55" s="1213"/>
      <c r="K55" s="1213"/>
      <c r="L55" s="1213"/>
      <c r="M55" s="1213"/>
      <c r="N55" s="1213"/>
      <c r="O55" s="1213"/>
      <c r="P55" s="1213"/>
      <c r="Q55" s="1213"/>
      <c r="R55" s="1213"/>
      <c r="S55" s="1213"/>
      <c r="T55" s="1213"/>
      <c r="U55" s="1213"/>
      <c r="V55" s="1213"/>
      <c r="W55" s="1213"/>
      <c r="X55" s="1213"/>
      <c r="Y55" s="1213"/>
      <c r="Z55" s="1213"/>
      <c r="AD55" s="1013"/>
      <c r="AE55" s="1013"/>
      <c r="AF55" s="800"/>
    </row>
    <row r="56" spans="1:52" x14ac:dyDescent="0.25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D56" s="798"/>
      <c r="AE56" s="798"/>
      <c r="AF56" s="801"/>
    </row>
    <row r="57" spans="1:52" x14ac:dyDescent="0.25">
      <c r="AD57" s="800"/>
      <c r="AE57" s="800"/>
      <c r="AF57" s="1012"/>
    </row>
    <row r="58" spans="1:52" x14ac:dyDescent="0.25">
      <c r="AD58" s="801"/>
      <c r="AE58" s="801"/>
      <c r="AF58" s="804"/>
    </row>
    <row r="59" spans="1:52" x14ac:dyDescent="0.25">
      <c r="AD59" s="1012"/>
      <c r="AE59" s="1012"/>
      <c r="AF59" s="804"/>
    </row>
    <row r="60" spans="1:52" x14ac:dyDescent="0.25">
      <c r="AD60" s="804"/>
      <c r="AE60" s="804"/>
      <c r="AF60" s="804"/>
    </row>
    <row r="61" spans="1:52" x14ac:dyDescent="0.25">
      <c r="AD61" s="804"/>
      <c r="AE61" s="804"/>
      <c r="AF61" s="46"/>
    </row>
    <row r="62" spans="1:52" x14ac:dyDescent="0.25">
      <c r="AD62" s="804"/>
      <c r="AE62" s="804"/>
    </row>
    <row r="63" spans="1:52" x14ac:dyDescent="0.25">
      <c r="AD63" s="46"/>
      <c r="AE63" s="46"/>
    </row>
  </sheetData>
  <sheetProtection password="B39D" sheet="1" formatCells="0" formatColumns="0" formatRows="0"/>
  <mergeCells count="101">
    <mergeCell ref="A53:Z55"/>
    <mergeCell ref="A47:Z47"/>
    <mergeCell ref="A48:Z48"/>
    <mergeCell ref="A49:Z49"/>
    <mergeCell ref="A50:Z50"/>
    <mergeCell ref="A51:Z51"/>
    <mergeCell ref="A52:Z52"/>
    <mergeCell ref="B26:H26"/>
    <mergeCell ref="AD29:AD31"/>
    <mergeCell ref="B28:H28"/>
    <mergeCell ref="B27:H27"/>
    <mergeCell ref="B29:G29"/>
    <mergeCell ref="F44:Z45"/>
    <mergeCell ref="N22:Q22"/>
    <mergeCell ref="AD17:AD19"/>
    <mergeCell ref="AF23:AF25"/>
    <mergeCell ref="AE29:AE31"/>
    <mergeCell ref="I33:Y33"/>
    <mergeCell ref="I26:Y28"/>
    <mergeCell ref="I31:Y31"/>
    <mergeCell ref="AF26:AF28"/>
    <mergeCell ref="AD32:AD34"/>
    <mergeCell ref="AE32:AE34"/>
    <mergeCell ref="I34:Y34"/>
    <mergeCell ref="I23:M23"/>
    <mergeCell ref="T25:U25"/>
    <mergeCell ref="AD26:AD28"/>
    <mergeCell ref="AE26:AE28"/>
    <mergeCell ref="AD23:AD25"/>
    <mergeCell ref="AE23:AE25"/>
    <mergeCell ref="I25:M25"/>
    <mergeCell ref="I24:M24"/>
    <mergeCell ref="AF14:AF16"/>
    <mergeCell ref="I12:Y14"/>
    <mergeCell ref="AI6:AS6"/>
    <mergeCell ref="B22:H22"/>
    <mergeCell ref="B19:H19"/>
    <mergeCell ref="I19:Y19"/>
    <mergeCell ref="B20:H20"/>
    <mergeCell ref="B15:D15"/>
    <mergeCell ref="E15:Y15"/>
    <mergeCell ref="B16:H16"/>
    <mergeCell ref="B17:H17"/>
    <mergeCell ref="I17:Y17"/>
    <mergeCell ref="O21:P21"/>
    <mergeCell ref="S21:U21"/>
    <mergeCell ref="I18:Y18"/>
    <mergeCell ref="B18:H18"/>
    <mergeCell ref="B12:H12"/>
    <mergeCell ref="B11:H11"/>
    <mergeCell ref="I11:Y11"/>
    <mergeCell ref="AD21:AF21"/>
    <mergeCell ref="AD11:AD13"/>
    <mergeCell ref="I20:Y20"/>
    <mergeCell ref="AE11:AE13"/>
    <mergeCell ref="I22:M22"/>
    <mergeCell ref="BB6:BM6"/>
    <mergeCell ref="S7:Y7"/>
    <mergeCell ref="AZ3:AZ6"/>
    <mergeCell ref="AE8:AE10"/>
    <mergeCell ref="AF8:AF10"/>
    <mergeCell ref="B9:Y9"/>
    <mergeCell ref="G10:Z10"/>
    <mergeCell ref="AX3:AX6"/>
    <mergeCell ref="AY3:AY6"/>
    <mergeCell ref="E4:T4"/>
    <mergeCell ref="U4:Z4"/>
    <mergeCell ref="E5:Z5"/>
    <mergeCell ref="AW3:AW6"/>
    <mergeCell ref="AD6:AF6"/>
    <mergeCell ref="AT3:AT6"/>
    <mergeCell ref="A1:D5"/>
    <mergeCell ref="E1:Z3"/>
    <mergeCell ref="V8:Y8"/>
    <mergeCell ref="AD8:AD10"/>
    <mergeCell ref="AU3:AU6"/>
    <mergeCell ref="AV3:AV6"/>
    <mergeCell ref="AD14:AD16"/>
    <mergeCell ref="AF11:AF13"/>
    <mergeCell ref="AF17:AF19"/>
    <mergeCell ref="AE14:AE16"/>
    <mergeCell ref="A46:Z46"/>
    <mergeCell ref="AF36:AF43"/>
    <mergeCell ref="AD42:AE42"/>
    <mergeCell ref="B43:Y43"/>
    <mergeCell ref="I29:Y29"/>
    <mergeCell ref="AF32:AF34"/>
    <mergeCell ref="AF29:AF31"/>
    <mergeCell ref="B37:Y37"/>
    <mergeCell ref="B38:Y38"/>
    <mergeCell ref="B39:Y42"/>
    <mergeCell ref="AD36:AE36"/>
    <mergeCell ref="A44:E44"/>
    <mergeCell ref="T22:U22"/>
    <mergeCell ref="N23:Q23"/>
    <mergeCell ref="T23:U23"/>
    <mergeCell ref="N24:Q24"/>
    <mergeCell ref="T24:U24"/>
    <mergeCell ref="N25:Q25"/>
    <mergeCell ref="I16:Y16"/>
    <mergeCell ref="AE17:AE19"/>
  </mergeCells>
  <dataValidations count="10">
    <dataValidation type="list" allowBlank="1" showInputMessage="1" showErrorMessage="1" sqref="I18:Y18" xr:uid="{00000000-0002-0000-0000-000000000000}">
      <formula1>$AC$25:$AC$26</formula1>
    </dataValidation>
    <dataValidation type="list" allowBlank="1" showInputMessage="1" showErrorMessage="1" sqref="I11:Y11" xr:uid="{00000000-0002-0000-0000-000001000000}">
      <formula1>$AC$13:$AC$18</formula1>
    </dataValidation>
    <dataValidation type="list" allowBlank="1" showInputMessage="1" showErrorMessage="1" sqref="AA11" xr:uid="{00000000-0002-0000-0000-000002000000}">
      <formula1>$AA$9:$AA$10</formula1>
    </dataValidation>
    <dataValidation type="list" allowBlank="1" showInputMessage="1" showErrorMessage="1" sqref="AA7" xr:uid="{00000000-0002-0000-0000-000003000000}">
      <formula1>$AH$7:$AH$16</formula1>
    </dataValidation>
    <dataValidation type="list" allowBlank="1" showInputMessage="1" showErrorMessage="1" sqref="AA19" xr:uid="{00000000-0002-0000-0000-000004000000}">
      <formula1>$AC$34:$AC$37</formula1>
    </dataValidation>
    <dataValidation type="list" allowBlank="1" showInputMessage="1" showErrorMessage="1" sqref="I16:Y16" xr:uid="{00000000-0002-0000-0000-000005000000}">
      <formula1>$AC$28:$AC$33</formula1>
    </dataValidation>
    <dataValidation type="list" allowBlank="1" showInputMessage="1" showErrorMessage="1" sqref="I17:Y17" xr:uid="{00000000-0002-0000-0000-000006000000}">
      <formula1>$AC$20:$AC$23</formula1>
    </dataValidation>
    <dataValidation type="list" allowBlank="1" showInputMessage="1" showErrorMessage="1" sqref="J22:L24 I22:I25" xr:uid="{00000000-0002-0000-0000-000007000000}">
      <formula1>$AA$13:$AA$17</formula1>
    </dataValidation>
    <dataValidation type="list" allowBlank="1" showInputMessage="1" showErrorMessage="1" sqref="AA45" xr:uid="{00000000-0002-0000-0000-000008000000}">
      <formula1>$AD$23:$AD$32</formula1>
    </dataValidation>
    <dataValidation type="list" allowBlank="1" showInputMessage="1" showErrorMessage="1" sqref="A50" xr:uid="{00000000-0002-0000-0000-000009000000}">
      <formula1>$AD$43:$AD$46</formula1>
    </dataValidation>
  </dataValidations>
  <printOptions horizontalCentered="1"/>
  <pageMargins left="0.59055118110236227" right="0.39370078740157483" top="0.39370078740157483" bottom="0.59055118110236227" header="0" footer="0.19685039370078741"/>
  <pageSetup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de 1&amp;R
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0"/>
  </sheetPr>
  <dimension ref="A1:BG67"/>
  <sheetViews>
    <sheetView showGridLines="0" view="pageBreakPreview" topLeftCell="A13" zoomScaleSheetLayoutView="100" workbookViewId="0">
      <selection activeCell="H15" sqref="H15"/>
    </sheetView>
  </sheetViews>
  <sheetFormatPr baseColWidth="10" defaultColWidth="11.453125" defaultRowHeight="13" x14ac:dyDescent="0.3"/>
  <cols>
    <col min="1" max="1" width="6.453125" style="120" customWidth="1"/>
    <col min="2" max="2" width="7.81640625" style="120" customWidth="1"/>
    <col min="3" max="3" width="7.54296875" style="120" customWidth="1"/>
    <col min="4" max="4" width="0.81640625" style="120" customWidth="1"/>
    <col min="5" max="5" width="6.54296875" style="120" customWidth="1"/>
    <col min="6" max="6" width="5.1796875" style="120" customWidth="1"/>
    <col min="7" max="7" width="5" style="120" customWidth="1"/>
    <col min="8" max="8" width="6.81640625" style="120" customWidth="1"/>
    <col min="9" max="9" width="4.7265625" style="120" customWidth="1"/>
    <col min="10" max="10" width="6.7265625" style="120" customWidth="1"/>
    <col min="11" max="11" width="6.54296875" style="120" customWidth="1"/>
    <col min="12" max="13" width="7.26953125" style="120" customWidth="1"/>
    <col min="14" max="15" width="7" style="120" customWidth="1"/>
    <col min="16" max="16" width="29.7265625" style="120" customWidth="1"/>
    <col min="17" max="17" width="22.1796875" style="120" customWidth="1"/>
    <col min="18" max="18" width="3" style="120" customWidth="1"/>
    <col min="19" max="19" width="17.1796875" style="120" customWidth="1"/>
    <col min="20" max="20" width="8.81640625" style="120" customWidth="1"/>
    <col min="21" max="21" width="9.26953125" style="120" customWidth="1"/>
    <col min="22" max="26" width="11.453125" style="120" customWidth="1"/>
    <col min="27" max="28" width="6.26953125" style="120" customWidth="1"/>
    <col min="29" max="29" width="8" style="120" customWidth="1"/>
    <col min="30" max="52" width="11.453125" style="120" customWidth="1"/>
    <col min="53" max="16384" width="11.453125" style="120"/>
  </cols>
  <sheetData>
    <row r="1" spans="1:59" ht="15" customHeight="1" x14ac:dyDescent="0.3">
      <c r="A1" s="1275"/>
      <c r="B1" s="1276"/>
      <c r="C1" s="1281" t="s">
        <v>265</v>
      </c>
      <c r="D1" s="1282"/>
      <c r="E1" s="1282"/>
      <c r="F1" s="1282"/>
      <c r="G1" s="1282"/>
      <c r="H1" s="1282"/>
      <c r="I1" s="1282"/>
      <c r="J1" s="1282"/>
      <c r="K1" s="1282"/>
      <c r="L1" s="1282"/>
      <c r="M1" s="1282"/>
      <c r="N1" s="1282"/>
      <c r="O1" s="1283"/>
      <c r="P1" s="809"/>
      <c r="Q1" s="809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810"/>
      <c r="AH1" s="810"/>
      <c r="AI1" s="810"/>
      <c r="AJ1" s="810"/>
      <c r="AK1" s="810"/>
      <c r="AL1" s="810"/>
      <c r="AM1" s="810"/>
      <c r="AN1" s="810"/>
      <c r="AO1" s="810"/>
      <c r="AP1" s="810"/>
      <c r="AQ1" s="810"/>
      <c r="AR1" s="810"/>
      <c r="AS1" s="810"/>
      <c r="AT1" s="810"/>
      <c r="AU1" s="810"/>
      <c r="AV1" s="810"/>
      <c r="AW1" s="810"/>
      <c r="AX1" s="810"/>
      <c r="AY1" s="810"/>
      <c r="AZ1" s="34"/>
      <c r="BA1" s="34"/>
      <c r="BB1" s="34"/>
      <c r="BC1" s="34"/>
      <c r="BD1" s="34"/>
      <c r="BE1" s="34"/>
      <c r="BF1" s="34"/>
      <c r="BG1" s="34"/>
    </row>
    <row r="2" spans="1:59" ht="15" customHeight="1" x14ac:dyDescent="0.3">
      <c r="A2" s="1277"/>
      <c r="B2" s="1278"/>
      <c r="C2" s="1284"/>
      <c r="D2" s="1285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6"/>
      <c r="P2" s="811"/>
      <c r="Q2" s="811"/>
      <c r="R2" s="810"/>
      <c r="S2" s="810"/>
      <c r="T2" s="810"/>
      <c r="U2" s="810"/>
      <c r="V2" s="810"/>
      <c r="W2" s="810"/>
      <c r="X2" s="810"/>
      <c r="Y2" s="810"/>
      <c r="Z2" s="810"/>
      <c r="AA2" s="810"/>
      <c r="AB2" s="810"/>
      <c r="AC2" s="810"/>
      <c r="AD2" s="810"/>
      <c r="AE2" s="810"/>
      <c r="AF2" s="810"/>
      <c r="AG2" s="810"/>
      <c r="AH2" s="810"/>
      <c r="AI2" s="810"/>
      <c r="AJ2" s="810"/>
      <c r="AK2" s="810"/>
      <c r="AL2" s="810"/>
      <c r="AM2" s="810"/>
      <c r="AN2" s="810"/>
      <c r="AO2" s="810"/>
      <c r="AP2" s="810"/>
      <c r="AQ2" s="810"/>
      <c r="AR2" s="810"/>
      <c r="AS2" s="810"/>
      <c r="AT2" s="810"/>
      <c r="AU2" s="810"/>
      <c r="AV2" s="810"/>
      <c r="AW2" s="810"/>
      <c r="AX2" s="810"/>
      <c r="AY2" s="810"/>
      <c r="AZ2" s="34"/>
      <c r="BA2" s="34"/>
      <c r="BB2" s="34"/>
      <c r="BC2" s="34"/>
      <c r="BD2" s="34"/>
      <c r="BE2" s="34"/>
      <c r="BF2" s="34"/>
      <c r="BG2" s="34"/>
    </row>
    <row r="3" spans="1:59" ht="15" customHeight="1" x14ac:dyDescent="0.3">
      <c r="A3" s="1277"/>
      <c r="B3" s="1278"/>
      <c r="C3" s="1284"/>
      <c r="D3" s="1285"/>
      <c r="E3" s="1285"/>
      <c r="F3" s="1285"/>
      <c r="G3" s="1285"/>
      <c r="H3" s="1285"/>
      <c r="I3" s="1285"/>
      <c r="J3" s="1285"/>
      <c r="K3" s="1285"/>
      <c r="L3" s="1285"/>
      <c r="M3" s="1285"/>
      <c r="N3" s="1285"/>
      <c r="O3" s="1286"/>
      <c r="P3" s="811"/>
      <c r="Q3" s="811"/>
      <c r="R3" s="810"/>
      <c r="S3" s="810"/>
      <c r="T3" s="810"/>
      <c r="U3" s="810"/>
      <c r="V3" s="810"/>
      <c r="W3" s="810"/>
      <c r="X3" s="810"/>
      <c r="Y3" s="810"/>
      <c r="Z3" s="812"/>
      <c r="AA3" s="812"/>
      <c r="AB3" s="812"/>
      <c r="AC3" s="812"/>
      <c r="AD3" s="812"/>
      <c r="AE3" s="812"/>
      <c r="AF3" s="812"/>
      <c r="AG3" s="812"/>
      <c r="AH3" s="812"/>
      <c r="AI3" s="812"/>
      <c r="AJ3" s="812"/>
      <c r="AK3" s="812"/>
      <c r="AL3" s="812"/>
      <c r="AM3" s="812"/>
      <c r="AN3" s="812"/>
      <c r="AO3" s="812"/>
      <c r="AP3" s="812"/>
      <c r="AQ3" s="810"/>
      <c r="AR3" s="810"/>
      <c r="AS3" s="810"/>
      <c r="AT3" s="810"/>
      <c r="AU3" s="810"/>
      <c r="AV3" s="810"/>
      <c r="AW3" s="810"/>
      <c r="AX3" s="810"/>
      <c r="AY3" s="810"/>
      <c r="AZ3" s="34"/>
      <c r="BA3" s="34"/>
      <c r="BB3" s="34"/>
      <c r="BC3" s="34"/>
      <c r="BD3" s="34"/>
      <c r="BE3" s="34"/>
      <c r="BF3" s="34"/>
      <c r="BG3" s="34"/>
    </row>
    <row r="4" spans="1:59" ht="15" customHeight="1" x14ac:dyDescent="0.3">
      <c r="A4" s="1277"/>
      <c r="B4" s="1278"/>
      <c r="C4" s="1287" t="s">
        <v>163</v>
      </c>
      <c r="D4" s="1287"/>
      <c r="E4" s="1287"/>
      <c r="F4" s="1287"/>
      <c r="G4" s="1287"/>
      <c r="H4" s="1287"/>
      <c r="I4" s="1287"/>
      <c r="J4" s="1287"/>
      <c r="K4" s="1287"/>
      <c r="L4" s="1287"/>
      <c r="M4" s="1287" t="s">
        <v>469</v>
      </c>
      <c r="N4" s="1287"/>
      <c r="O4" s="1287"/>
      <c r="P4" s="235"/>
      <c r="Q4" s="235"/>
      <c r="R4" s="234"/>
      <c r="S4" s="234"/>
      <c r="T4" s="234"/>
      <c r="U4" s="234"/>
      <c r="V4" s="234"/>
      <c r="W4" s="234"/>
      <c r="X4" s="321"/>
      <c r="Y4" s="321"/>
      <c r="Z4" s="321"/>
      <c r="AA4" s="321"/>
      <c r="AB4" s="321"/>
      <c r="AC4" s="321"/>
      <c r="AD4" s="321"/>
      <c r="AE4" s="321"/>
      <c r="AF4" s="321"/>
      <c r="AG4" s="321"/>
      <c r="AH4" s="234"/>
      <c r="AI4" s="234"/>
      <c r="AJ4" s="234"/>
      <c r="AK4" s="190"/>
      <c r="AM4" s="344"/>
      <c r="AN4" s="344"/>
      <c r="AO4" s="825"/>
      <c r="AR4" s="234"/>
      <c r="AS4" s="234"/>
      <c r="AT4" s="234"/>
      <c r="AU4" s="234"/>
      <c r="AV4" s="234"/>
      <c r="AW4" s="234"/>
      <c r="AX4" s="234"/>
      <c r="AY4" s="234"/>
      <c r="AZ4" s="34"/>
      <c r="BA4" s="34"/>
      <c r="BB4" s="34"/>
      <c r="BC4" s="34"/>
      <c r="BD4" s="34"/>
      <c r="BE4" s="34"/>
      <c r="BF4" s="34"/>
      <c r="BG4" s="34"/>
    </row>
    <row r="5" spans="1:59" ht="15" customHeight="1" x14ac:dyDescent="0.3">
      <c r="A5" s="1279"/>
      <c r="B5" s="1280"/>
      <c r="C5" s="1287" t="s">
        <v>468</v>
      </c>
      <c r="D5" s="1287"/>
      <c r="E5" s="1287"/>
      <c r="F5" s="1287"/>
      <c r="G5" s="1287"/>
      <c r="H5" s="1287"/>
      <c r="I5" s="1287"/>
      <c r="J5" s="1287"/>
      <c r="K5" s="1287"/>
      <c r="L5" s="1287"/>
      <c r="M5" s="1287"/>
      <c r="N5" s="1287"/>
      <c r="O5" s="1287"/>
      <c r="P5" s="235"/>
      <c r="Q5" s="235"/>
      <c r="R5" s="234"/>
      <c r="S5" s="234"/>
      <c r="T5" s="190"/>
      <c r="U5" s="190"/>
      <c r="V5" s="234"/>
      <c r="W5" s="234"/>
      <c r="X5" s="234"/>
      <c r="Y5" s="234"/>
      <c r="Z5" s="234"/>
      <c r="AA5" s="234"/>
      <c r="AB5" s="234"/>
      <c r="AC5" s="234"/>
      <c r="AD5" s="234"/>
      <c r="AE5" s="234"/>
      <c r="AF5" s="234"/>
      <c r="AG5" s="234"/>
      <c r="AH5" s="234"/>
      <c r="AI5" s="234"/>
      <c r="AJ5" s="234"/>
      <c r="AK5" s="238"/>
      <c r="AM5" s="190"/>
      <c r="AN5" s="190"/>
      <c r="AO5" s="237"/>
      <c r="AR5" s="234"/>
      <c r="AS5" s="234"/>
      <c r="AT5" s="234"/>
      <c r="AU5" s="234"/>
      <c r="AV5" s="234"/>
      <c r="AW5" s="234"/>
      <c r="AX5" s="234"/>
      <c r="AY5" s="234"/>
      <c r="AZ5" s="34"/>
      <c r="BA5" s="34"/>
      <c r="BB5" s="34"/>
      <c r="BC5" s="34"/>
      <c r="BD5" s="34"/>
      <c r="BE5" s="34"/>
      <c r="BF5" s="34"/>
      <c r="BG5" s="34"/>
    </row>
    <row r="6" spans="1:59" ht="14.15" customHeight="1" x14ac:dyDescent="0.3">
      <c r="A6" s="813"/>
      <c r="B6" s="814"/>
      <c r="C6" s="814"/>
      <c r="D6" s="814"/>
      <c r="E6" s="653"/>
      <c r="F6" s="653"/>
      <c r="G6" s="653"/>
      <c r="H6" s="653"/>
      <c r="I6" s="653"/>
      <c r="J6" s="653"/>
      <c r="K6" s="814"/>
      <c r="L6" s="814"/>
      <c r="M6" s="653"/>
      <c r="N6" s="653"/>
      <c r="O6" s="654"/>
      <c r="P6" s="539" t="s">
        <v>305</v>
      </c>
      <c r="Q6" s="939"/>
      <c r="R6" s="234"/>
      <c r="S6" s="1315" t="s">
        <v>222</v>
      </c>
      <c r="T6" s="1316"/>
      <c r="U6" s="1316"/>
      <c r="V6" s="1316"/>
      <c r="W6" s="1316"/>
      <c r="X6" s="1316"/>
      <c r="Y6" s="1317"/>
      <c r="Z6" s="234"/>
      <c r="AA6" s="234"/>
      <c r="AB6" s="234"/>
      <c r="AC6" s="234"/>
      <c r="AD6" s="234"/>
      <c r="AE6" s="234"/>
      <c r="AF6" s="234"/>
      <c r="AG6" s="234"/>
      <c r="AH6" s="234"/>
      <c r="AI6" s="234"/>
      <c r="AJ6" s="234"/>
      <c r="AK6" s="241"/>
      <c r="AM6" s="239"/>
      <c r="AN6" s="239"/>
      <c r="AO6" s="240"/>
      <c r="AR6" s="234"/>
      <c r="AS6" s="234"/>
      <c r="AT6" s="234"/>
      <c r="AU6" s="234"/>
      <c r="AV6" s="234"/>
      <c r="AW6" s="234"/>
      <c r="AX6" s="234"/>
      <c r="AY6" s="234"/>
      <c r="AZ6" s="34"/>
      <c r="BA6" s="34"/>
      <c r="BB6" s="34"/>
      <c r="BC6" s="34"/>
      <c r="BD6" s="34"/>
      <c r="BE6" s="34"/>
      <c r="BF6" s="34"/>
      <c r="BG6" s="34"/>
    </row>
    <row r="7" spans="1:59" ht="14.15" customHeight="1" x14ac:dyDescent="0.3">
      <c r="A7" s="815"/>
      <c r="B7" s="816"/>
      <c r="C7" s="816"/>
      <c r="D7" s="816"/>
      <c r="F7" s="566"/>
      <c r="G7" s="566"/>
      <c r="I7" s="1334" t="s">
        <v>55</v>
      </c>
      <c r="J7" s="1334"/>
      <c r="K7" s="1335" t="str">
        <f>IF('1. Encabezado'!S7="","",'1. Encabezado'!S7)</f>
        <v/>
      </c>
      <c r="L7" s="1335"/>
      <c r="M7" s="1335"/>
      <c r="N7" s="1335"/>
      <c r="O7" s="656"/>
      <c r="P7" s="542" t="s">
        <v>306</v>
      </c>
      <c r="Q7" s="864"/>
      <c r="R7" s="234"/>
      <c r="S7" s="1318" t="s">
        <v>437</v>
      </c>
      <c r="T7" s="1319"/>
      <c r="U7" s="1320"/>
      <c r="V7" s="1320"/>
      <c r="W7" s="1320"/>
      <c r="X7" s="1320"/>
      <c r="Y7" s="1321"/>
      <c r="Z7" s="234"/>
      <c r="AA7" s="234"/>
      <c r="AB7" s="234"/>
      <c r="AC7" s="234"/>
      <c r="AD7" s="234"/>
      <c r="AE7" s="234"/>
      <c r="AF7" s="234"/>
      <c r="AG7" s="234"/>
      <c r="AK7" s="190"/>
      <c r="AN7" s="190"/>
      <c r="AO7" s="190"/>
      <c r="AP7" s="190"/>
      <c r="AQ7" s="234"/>
      <c r="AR7" s="234"/>
      <c r="AS7" s="234"/>
      <c r="AT7" s="234"/>
      <c r="AU7" s="234"/>
      <c r="AV7" s="234"/>
      <c r="AW7" s="234"/>
      <c r="AX7" s="234"/>
      <c r="AY7" s="234"/>
      <c r="AZ7" s="34"/>
      <c r="BA7" s="34"/>
      <c r="BB7" s="34"/>
      <c r="BC7" s="34"/>
      <c r="BD7" s="34"/>
      <c r="BE7" s="34"/>
      <c r="BF7" s="34"/>
      <c r="BG7" s="34"/>
    </row>
    <row r="8" spans="1:59" ht="14.15" customHeight="1" x14ac:dyDescent="0.3">
      <c r="A8" s="342"/>
      <c r="E8" s="835"/>
      <c r="F8" s="835"/>
      <c r="G8" s="548"/>
      <c r="I8" s="677"/>
      <c r="J8" s="677"/>
      <c r="K8" s="1336" t="str">
        <f>IF(K7="",P11,CONCATENATE(P7," ",P8," ",P9," ", P10))</f>
        <v>Pagina xx de xx</v>
      </c>
      <c r="L8" s="1336"/>
      <c r="M8" s="1336"/>
      <c r="N8" s="1336"/>
      <c r="O8" s="657"/>
      <c r="P8" s="546" t="str">
        <f>IF(K7="","",2)</f>
        <v/>
      </c>
      <c r="Q8" s="867"/>
      <c r="R8" s="234"/>
      <c r="S8" s="1322" t="s">
        <v>438</v>
      </c>
      <c r="T8" s="1323"/>
      <c r="U8" s="1324"/>
      <c r="V8" s="1324"/>
      <c r="W8" s="1324"/>
      <c r="X8" s="1324"/>
      <c r="Y8" s="1325"/>
      <c r="Z8" s="234"/>
      <c r="AA8" s="234"/>
      <c r="AB8" s="234"/>
      <c r="AH8" s="943"/>
      <c r="AI8" s="943"/>
      <c r="AJ8" s="943"/>
      <c r="AK8" s="190"/>
      <c r="AL8" s="190"/>
      <c r="AM8" s="190"/>
      <c r="AN8" s="190"/>
      <c r="AO8" s="190"/>
      <c r="AP8" s="190"/>
      <c r="AQ8" s="234"/>
      <c r="AR8" s="234"/>
      <c r="AS8" s="234"/>
      <c r="AT8" s="234"/>
      <c r="AU8" s="234"/>
      <c r="AV8" s="234"/>
      <c r="AW8" s="234"/>
      <c r="AX8" s="234"/>
      <c r="AY8" s="234"/>
      <c r="AZ8" s="34"/>
      <c r="BA8" s="34"/>
      <c r="BB8" s="34"/>
      <c r="BC8" s="34"/>
      <c r="BD8" s="34"/>
      <c r="BE8" s="34"/>
      <c r="BF8" s="34"/>
      <c r="BG8" s="34"/>
    </row>
    <row r="9" spans="1:59" ht="14.15" customHeight="1" x14ac:dyDescent="0.3">
      <c r="A9" s="817"/>
      <c r="B9" s="818"/>
      <c r="C9" s="818"/>
      <c r="D9" s="818"/>
      <c r="E9" s="655"/>
      <c r="F9" s="655"/>
      <c r="G9" s="655"/>
      <c r="H9" s="655"/>
      <c r="I9" s="655"/>
      <c r="J9" s="655"/>
      <c r="K9" s="818"/>
      <c r="L9" s="818"/>
      <c r="M9" s="658"/>
      <c r="N9" s="658"/>
      <c r="O9" s="657"/>
      <c r="P9" s="550" t="s">
        <v>307</v>
      </c>
      <c r="Q9" s="566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943"/>
      <c r="AD9" s="234"/>
      <c r="AE9" s="234"/>
      <c r="AF9" s="234"/>
      <c r="AG9" s="234"/>
      <c r="AJ9" s="234"/>
      <c r="AK9" s="190"/>
      <c r="AL9" s="234"/>
      <c r="AM9" s="234"/>
      <c r="AN9" s="234"/>
      <c r="AO9" s="234"/>
      <c r="AP9" s="234"/>
      <c r="AQ9" s="234"/>
      <c r="AR9" s="234"/>
      <c r="AS9" s="234"/>
      <c r="AT9" s="234"/>
      <c r="AU9" s="234"/>
      <c r="AV9" s="234"/>
      <c r="AW9" s="234"/>
      <c r="AX9" s="234"/>
      <c r="AY9" s="234"/>
      <c r="AZ9" s="34"/>
      <c r="BA9" s="34"/>
      <c r="BB9" s="34"/>
      <c r="BC9" s="34"/>
      <c r="BD9" s="34"/>
      <c r="BE9" s="34"/>
      <c r="BF9" s="34"/>
      <c r="BG9" s="34"/>
    </row>
    <row r="10" spans="1:59" ht="14.15" customHeight="1" x14ac:dyDescent="0.3">
      <c r="A10" s="955"/>
      <c r="B10" s="956"/>
      <c r="C10" s="956"/>
      <c r="D10" s="956"/>
      <c r="E10" s="661"/>
      <c r="F10" s="661"/>
      <c r="G10" s="661"/>
      <c r="H10" s="661"/>
      <c r="I10" s="661"/>
      <c r="J10" s="661"/>
      <c r="K10" s="956"/>
      <c r="L10" s="956"/>
      <c r="M10" s="662"/>
      <c r="N10" s="662"/>
      <c r="O10" s="663"/>
      <c r="P10" s="550" t="str">
        <f>IF(K7="","",'1. Encabezado'!AB10)</f>
        <v/>
      </c>
      <c r="Q10" s="566"/>
      <c r="R10" s="234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943"/>
      <c r="AD10" s="234"/>
      <c r="AE10" s="234"/>
      <c r="AF10" s="234"/>
      <c r="AG10" s="234"/>
      <c r="AJ10" s="234"/>
      <c r="AK10" s="234"/>
      <c r="AL10" s="234"/>
      <c r="AM10" s="234"/>
      <c r="AN10" s="234"/>
      <c r="AO10" s="234"/>
      <c r="AP10" s="234"/>
      <c r="AQ10" s="234"/>
      <c r="AR10" s="234"/>
      <c r="AS10" s="234"/>
      <c r="AT10" s="234"/>
      <c r="AU10" s="234"/>
      <c r="AV10" s="234"/>
      <c r="AW10" s="234"/>
      <c r="AX10" s="234"/>
      <c r="AY10" s="234"/>
      <c r="AZ10" s="34"/>
      <c r="BA10" s="34"/>
      <c r="BB10" s="34"/>
      <c r="BC10" s="34"/>
      <c r="BD10" s="34"/>
      <c r="BE10" s="34"/>
      <c r="BF10" s="34"/>
      <c r="BG10" s="34"/>
    </row>
    <row r="11" spans="1:59" ht="25" customHeight="1" x14ac:dyDescent="0.3">
      <c r="A11" s="1337" t="s">
        <v>264</v>
      </c>
      <c r="B11" s="1338"/>
      <c r="C11" s="1338"/>
      <c r="D11" s="819"/>
      <c r="E11" s="1339" t="str">
        <f>IF(P12="","",+IF(P12=Y16,S8,S7))</f>
        <v/>
      </c>
      <c r="F11" s="1339"/>
      <c r="G11" s="1339"/>
      <c r="H11" s="1339"/>
      <c r="I11" s="1339"/>
      <c r="J11" s="1339"/>
      <c r="K11" s="1339"/>
      <c r="L11" s="1339"/>
      <c r="M11" s="1339"/>
      <c r="N11" s="1339"/>
      <c r="O11" s="1340"/>
      <c r="P11" s="552" t="s">
        <v>308</v>
      </c>
      <c r="Q11" s="88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4"/>
      <c r="AK11" s="234"/>
      <c r="AL11" s="234"/>
      <c r="AM11" s="234"/>
      <c r="AN11" s="234"/>
      <c r="AO11" s="234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34"/>
      <c r="BA11" s="34"/>
      <c r="BB11" s="34"/>
      <c r="BC11" s="34"/>
      <c r="BD11" s="34"/>
      <c r="BE11" s="34"/>
      <c r="BF11" s="34"/>
      <c r="BG11" s="34"/>
    </row>
    <row r="12" spans="1:59" ht="23.25" customHeight="1" x14ac:dyDescent="0.3">
      <c r="A12" s="1341" t="s">
        <v>79</v>
      </c>
      <c r="B12" s="1342"/>
      <c r="C12" s="1342"/>
      <c r="D12" s="1342"/>
      <c r="E12" s="1342"/>
      <c r="F12" s="1345" t="s">
        <v>62</v>
      </c>
      <c r="G12" s="1345"/>
      <c r="H12" s="1347" t="s">
        <v>75</v>
      </c>
      <c r="I12" s="1288" t="s">
        <v>74</v>
      </c>
      <c r="J12" s="1290"/>
      <c r="K12" s="1288" t="s">
        <v>181</v>
      </c>
      <c r="L12" s="1289"/>
      <c r="M12" s="1290"/>
      <c r="N12" s="1297" t="s">
        <v>7</v>
      </c>
      <c r="O12" s="1298"/>
      <c r="P12" s="242" t="str">
        <f>IF('1. Encabezado'!I11="","",'1. Encabezado'!I11)</f>
        <v/>
      </c>
      <c r="Q12" s="120">
        <f>IF('1. Encabezado'!AA19="",'1. Encabezado'!I11,'1. Encabezado'!AA19)</f>
        <v>0</v>
      </c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4"/>
      <c r="AK12" s="234"/>
      <c r="AL12" s="234"/>
      <c r="AM12" s="234"/>
      <c r="AN12" s="234"/>
      <c r="AO12" s="234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34"/>
      <c r="BA12" s="34"/>
      <c r="BB12" s="34"/>
      <c r="BC12" s="34"/>
      <c r="BD12" s="34"/>
      <c r="BE12" s="34"/>
      <c r="BF12" s="34"/>
      <c r="BG12" s="34"/>
    </row>
    <row r="13" spans="1:59" ht="30.75" customHeight="1" x14ac:dyDescent="0.3">
      <c r="A13" s="1343"/>
      <c r="B13" s="1344"/>
      <c r="C13" s="1344"/>
      <c r="D13" s="1344"/>
      <c r="E13" s="1344"/>
      <c r="F13" s="1346"/>
      <c r="G13" s="1346"/>
      <c r="H13" s="1348"/>
      <c r="I13" s="1349"/>
      <c r="J13" s="1350"/>
      <c r="K13" s="17" t="s">
        <v>43</v>
      </c>
      <c r="L13" s="18" t="s">
        <v>412</v>
      </c>
      <c r="M13" s="19" t="s">
        <v>413</v>
      </c>
      <c r="N13" s="836" t="s">
        <v>412</v>
      </c>
      <c r="O13" s="837" t="s">
        <v>182</v>
      </c>
      <c r="P13" s="1299" t="s">
        <v>164</v>
      </c>
      <c r="Q13" s="940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4"/>
      <c r="AK13" s="234"/>
      <c r="AL13" s="234"/>
      <c r="AM13" s="234"/>
      <c r="AN13" s="234"/>
      <c r="AO13" s="234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34"/>
      <c r="BA13" s="34"/>
      <c r="BB13" s="34"/>
      <c r="BC13" s="34"/>
      <c r="BD13" s="34"/>
      <c r="BE13" s="34"/>
      <c r="BF13" s="34"/>
      <c r="BG13" s="34"/>
    </row>
    <row r="14" spans="1:59" ht="25" customHeight="1" x14ac:dyDescent="0.3">
      <c r="A14" s="1330" t="s">
        <v>101</v>
      </c>
      <c r="B14" s="1331"/>
      <c r="C14" s="1331"/>
      <c r="D14" s="1331"/>
      <c r="E14" s="1331"/>
      <c r="F14" s="1331"/>
      <c r="G14" s="1331"/>
      <c r="H14" s="1332"/>
      <c r="I14" s="1332"/>
      <c r="J14" s="1332"/>
      <c r="K14" s="1332"/>
      <c r="L14" s="1332"/>
      <c r="M14" s="1332"/>
      <c r="N14" s="1332"/>
      <c r="O14" s="1333"/>
      <c r="P14" s="1300"/>
      <c r="Q14" s="940"/>
      <c r="R14" s="234"/>
      <c r="S14" s="1294" t="s">
        <v>27</v>
      </c>
      <c r="T14" s="1295"/>
      <c r="U14" s="1295"/>
      <c r="V14" s="1295"/>
      <c r="W14" s="1295"/>
      <c r="X14" s="1295"/>
      <c r="Y14" s="1295"/>
      <c r="Z14" s="1295"/>
      <c r="AA14" s="1295"/>
      <c r="AB14" s="1295"/>
      <c r="AC14" s="1295"/>
      <c r="AD14" s="1295"/>
      <c r="AE14" s="1295"/>
      <c r="AF14" s="1295"/>
      <c r="AG14" s="1295"/>
      <c r="AH14" s="1295"/>
      <c r="AI14" s="1295"/>
      <c r="AJ14" s="1295"/>
      <c r="AK14" s="1295"/>
      <c r="AL14" s="1295"/>
      <c r="AM14" s="1296"/>
      <c r="AN14" s="1291" t="s">
        <v>222</v>
      </c>
      <c r="AO14" s="1292"/>
      <c r="AP14" s="1292"/>
      <c r="AQ14" s="1292"/>
      <c r="AR14" s="1292"/>
      <c r="AS14" s="1292"/>
      <c r="AT14" s="1292"/>
      <c r="AU14" s="1292"/>
      <c r="AV14" s="1292"/>
      <c r="AW14" s="1292"/>
      <c r="AX14" s="1292"/>
      <c r="AY14" s="1293"/>
      <c r="AZ14" s="34"/>
      <c r="BA14" s="34"/>
      <c r="BB14" s="34"/>
      <c r="BC14" s="34"/>
      <c r="BD14" s="34"/>
      <c r="BE14" s="34"/>
      <c r="BF14" s="34"/>
      <c r="BG14" s="34"/>
    </row>
    <row r="15" spans="1:59" ht="30" customHeight="1" x14ac:dyDescent="0.3">
      <c r="A15" s="1265" t="s">
        <v>59</v>
      </c>
      <c r="B15" s="1266"/>
      <c r="C15" s="1266"/>
      <c r="D15" s="1266"/>
      <c r="E15" s="838" t="s">
        <v>36</v>
      </c>
      <c r="F15" s="1268" t="s">
        <v>64</v>
      </c>
      <c r="G15" s="1264"/>
      <c r="H15" s="20" t="str">
        <f>IF('3. Extracción'!M16="","",'3. Extracción'!M16)</f>
        <v/>
      </c>
      <c r="I15" s="1306" t="s">
        <v>414</v>
      </c>
      <c r="J15" s="1307"/>
      <c r="K15" s="976" t="e">
        <f>IF(Q12="","",HLOOKUP(Q12,$S$16:$Y$32,R17,0))</f>
        <v>#N/A</v>
      </c>
      <c r="L15" s="976" t="e">
        <f>IF(OR(K15="",K15="--"),"",K15-0.3)</f>
        <v>#N/A</v>
      </c>
      <c r="M15" s="977" t="e">
        <f>IF(OR(K15="",K15="--"),"",K15+0.3)</f>
        <v>#N/A</v>
      </c>
      <c r="N15" s="1270"/>
      <c r="O15" s="1308"/>
      <c r="P15" s="844" t="str">
        <f>+IF(H15="","",(IF(AND(H15&gt;L15,H15&lt;M15),"","No cumple")))</f>
        <v/>
      </c>
      <c r="Q15" s="941"/>
      <c r="R15" s="234"/>
      <c r="S15" s="1301" t="s">
        <v>43</v>
      </c>
      <c r="T15" s="1302"/>
      <c r="U15" s="1302"/>
      <c r="V15" s="1302"/>
      <c r="W15" s="1302"/>
      <c r="X15" s="1302"/>
      <c r="Y15" s="1302"/>
      <c r="Z15" s="1303" t="s">
        <v>40</v>
      </c>
      <c r="AA15" s="1304"/>
      <c r="AB15" s="1304"/>
      <c r="AC15" s="1304"/>
      <c r="AD15" s="1304"/>
      <c r="AE15" s="1304"/>
      <c r="AF15" s="1305"/>
      <c r="AG15" s="1304" t="s">
        <v>53</v>
      </c>
      <c r="AH15" s="1304"/>
      <c r="AI15" s="1304"/>
      <c r="AJ15" s="1304"/>
      <c r="AK15" s="1304"/>
      <c r="AL15" s="1304"/>
      <c r="AM15" s="1305"/>
      <c r="AN15" s="1294" t="s">
        <v>40</v>
      </c>
      <c r="AO15" s="1295"/>
      <c r="AP15" s="1295"/>
      <c r="AQ15" s="1295"/>
      <c r="AR15" s="1295"/>
      <c r="AS15" s="1295"/>
      <c r="AT15" s="1294" t="s">
        <v>54</v>
      </c>
      <c r="AU15" s="1295"/>
      <c r="AV15" s="1295"/>
      <c r="AW15" s="1295"/>
      <c r="AX15" s="1295"/>
      <c r="AY15" s="1296"/>
      <c r="AZ15" s="34"/>
      <c r="BA15" s="34"/>
      <c r="BB15" s="34"/>
      <c r="BC15" s="34"/>
      <c r="BD15" s="34"/>
      <c r="BE15" s="34"/>
      <c r="BF15" s="34"/>
      <c r="BG15" s="34"/>
    </row>
    <row r="16" spans="1:59" ht="30" customHeight="1" x14ac:dyDescent="0.3">
      <c r="A16" s="92" t="s">
        <v>279</v>
      </c>
      <c r="B16" s="93"/>
      <c r="C16" s="93"/>
      <c r="D16" s="93"/>
      <c r="E16" s="839" t="s">
        <v>36</v>
      </c>
      <c r="F16" s="840"/>
      <c r="G16" s="841"/>
      <c r="H16" s="21" t="str">
        <f>+IF(P12="","",IF(P12=Y16,H15/(1-(Q31/100)),"N.A"))</f>
        <v/>
      </c>
      <c r="I16" s="1351" t="s">
        <v>106</v>
      </c>
      <c r="J16" s="1352"/>
      <c r="K16" s="978" t="e">
        <f>IF(Q12="","",HLOOKUP(Q12,$S$16:$Y$32,R18,0))</f>
        <v>#N/A</v>
      </c>
      <c r="L16" s="974" t="e">
        <f>IF(OR(K16="",K16="--"),"",K16-0.3)</f>
        <v>#N/A</v>
      </c>
      <c r="M16" s="975" t="e">
        <f>IF(OR(K16="",K16="--"),"",K16+0.3)</f>
        <v>#N/A</v>
      </c>
      <c r="N16" s="842"/>
      <c r="O16" s="843"/>
      <c r="P16" s="844" t="str">
        <f>+IF(H16="","",(IF(AND(H16&gt;L16,H16&lt;M16),"","No cumple")))</f>
        <v/>
      </c>
      <c r="Q16" s="942"/>
      <c r="R16" s="234">
        <v>1</v>
      </c>
      <c r="S16" s="947" t="s">
        <v>110</v>
      </c>
      <c r="T16" s="948" t="s">
        <v>32</v>
      </c>
      <c r="U16" s="948" t="s">
        <v>454</v>
      </c>
      <c r="V16" s="949" t="s">
        <v>431</v>
      </c>
      <c r="W16" s="948" t="s">
        <v>112</v>
      </c>
      <c r="X16" s="949" t="s">
        <v>432</v>
      </c>
      <c r="Y16" s="950" t="s">
        <v>288</v>
      </c>
      <c r="Z16" s="951" t="s">
        <v>110</v>
      </c>
      <c r="AA16" s="948" t="s">
        <v>453</v>
      </c>
      <c r="AB16" s="948" t="s">
        <v>454</v>
      </c>
      <c r="AC16" s="949" t="s">
        <v>431</v>
      </c>
      <c r="AD16" s="948" t="s">
        <v>112</v>
      </c>
      <c r="AE16" s="949" t="s">
        <v>432</v>
      </c>
      <c r="AF16" s="952" t="s">
        <v>288</v>
      </c>
      <c r="AG16" s="948" t="s">
        <v>110</v>
      </c>
      <c r="AH16" s="948" t="s">
        <v>453</v>
      </c>
      <c r="AI16" s="948" t="s">
        <v>454</v>
      </c>
      <c r="AJ16" s="949" t="s">
        <v>431</v>
      </c>
      <c r="AK16" s="948" t="s">
        <v>112</v>
      </c>
      <c r="AL16" s="949" t="s">
        <v>432</v>
      </c>
      <c r="AM16" s="953" t="s">
        <v>110</v>
      </c>
      <c r="AN16" s="951" t="s">
        <v>110</v>
      </c>
      <c r="AO16" s="948" t="s">
        <v>32</v>
      </c>
      <c r="AP16" s="954" t="s">
        <v>431</v>
      </c>
      <c r="AQ16" s="948" t="s">
        <v>112</v>
      </c>
      <c r="AR16" s="954" t="s">
        <v>432</v>
      </c>
      <c r="AS16" s="952" t="s">
        <v>288</v>
      </c>
      <c r="AT16" s="951" t="s">
        <v>110</v>
      </c>
      <c r="AU16" s="948" t="s">
        <v>32</v>
      </c>
      <c r="AV16" s="949" t="s">
        <v>431</v>
      </c>
      <c r="AW16" s="948" t="s">
        <v>112</v>
      </c>
      <c r="AX16" s="954" t="s">
        <v>432</v>
      </c>
      <c r="AY16" s="913" t="s">
        <v>288</v>
      </c>
      <c r="AZ16" s="824"/>
      <c r="BA16" s="34"/>
      <c r="BB16" s="34"/>
      <c r="BC16" s="34"/>
      <c r="BD16" s="34"/>
      <c r="BE16" s="34"/>
      <c r="BF16" s="34"/>
      <c r="BG16" s="34"/>
    </row>
    <row r="17" spans="1:59" ht="25" customHeight="1" x14ac:dyDescent="0.3">
      <c r="A17" s="1353" t="s">
        <v>102</v>
      </c>
      <c r="B17" s="1354"/>
      <c r="C17" s="1354"/>
      <c r="D17" s="1354"/>
      <c r="E17" s="845"/>
      <c r="F17" s="1355" t="s">
        <v>88</v>
      </c>
      <c r="G17" s="1356"/>
      <c r="H17" s="1357" t="e">
        <f>IF(Q12="","",HLOOKUP(Q12,$S$16:$Y$31,R19,0))</f>
        <v>#N/A</v>
      </c>
      <c r="I17" s="1358"/>
      <c r="J17" s="1358"/>
      <c r="K17" s="1359"/>
      <c r="L17" s="1358"/>
      <c r="M17" s="1358"/>
      <c r="N17" s="1358"/>
      <c r="O17" s="1360"/>
      <c r="P17" s="844"/>
      <c r="Q17" s="942"/>
      <c r="R17" s="234">
        <v>2</v>
      </c>
      <c r="S17" s="345">
        <v>6.7</v>
      </c>
      <c r="T17" s="346">
        <v>6</v>
      </c>
      <c r="U17" s="346">
        <v>5.7</v>
      </c>
      <c r="V17" s="346">
        <v>6.3</v>
      </c>
      <c r="W17" s="346">
        <v>5.4</v>
      </c>
      <c r="X17" s="346">
        <v>6.8</v>
      </c>
      <c r="Y17" s="444" t="s">
        <v>121</v>
      </c>
      <c r="Z17" s="347"/>
      <c r="AA17" s="348"/>
      <c r="AB17" s="348"/>
      <c r="AC17" s="348"/>
      <c r="AD17" s="348"/>
      <c r="AE17" s="348"/>
      <c r="AF17" s="376"/>
      <c r="AG17" s="348"/>
      <c r="AH17" s="348"/>
      <c r="AI17" s="348"/>
      <c r="AJ17" s="348"/>
      <c r="AK17" s="348"/>
      <c r="AL17" s="348"/>
      <c r="AM17" s="349"/>
      <c r="AN17" s="236"/>
      <c r="AO17" s="234"/>
      <c r="AP17" s="234"/>
      <c r="AQ17" s="234"/>
      <c r="AR17" s="234"/>
      <c r="AS17" s="451">
        <v>6</v>
      </c>
      <c r="AT17" s="452"/>
      <c r="AU17" s="453"/>
      <c r="AV17" s="453"/>
      <c r="AW17" s="453"/>
      <c r="AX17" s="453"/>
      <c r="AY17" s="454">
        <v>9</v>
      </c>
      <c r="AZ17" s="824"/>
      <c r="BA17" s="34"/>
      <c r="BB17" s="34"/>
      <c r="BC17" s="34"/>
      <c r="BD17" s="34"/>
      <c r="BE17" s="34"/>
      <c r="BF17" s="34"/>
      <c r="BG17" s="34"/>
    </row>
    <row r="18" spans="1:59" ht="25" customHeight="1" x14ac:dyDescent="0.3">
      <c r="A18" s="1361" t="s">
        <v>87</v>
      </c>
      <c r="B18" s="1362"/>
      <c r="C18" s="1362"/>
      <c r="D18" s="1362"/>
      <c r="E18" s="1362"/>
      <c r="F18" s="1362"/>
      <c r="G18" s="1362"/>
      <c r="H18" s="1363"/>
      <c r="I18" s="1363"/>
      <c r="J18" s="1363"/>
      <c r="K18" s="1363"/>
      <c r="L18" s="1363"/>
      <c r="M18" s="1363"/>
      <c r="N18" s="1363"/>
      <c r="O18" s="1364"/>
      <c r="P18" s="844"/>
      <c r="Q18" s="942"/>
      <c r="R18" s="234">
        <v>3</v>
      </c>
      <c r="S18" s="972" t="str">
        <f>""</f>
        <v/>
      </c>
      <c r="T18" s="973" t="str">
        <f>""</f>
        <v/>
      </c>
      <c r="U18" s="973" t="str">
        <f>""</f>
        <v/>
      </c>
      <c r="V18" s="973" t="str">
        <f>""</f>
        <v/>
      </c>
      <c r="W18" s="973" t="str">
        <f>""</f>
        <v/>
      </c>
      <c r="X18" s="973" t="str">
        <f>""</f>
        <v/>
      </c>
      <c r="Y18" s="367">
        <v>7.5</v>
      </c>
      <c r="Z18" s="347"/>
      <c r="AA18" s="348"/>
      <c r="AB18" s="348"/>
      <c r="AC18" s="348"/>
      <c r="AD18" s="348"/>
      <c r="AE18" s="348"/>
      <c r="AF18" s="376"/>
      <c r="AG18" s="348"/>
      <c r="AH18" s="348"/>
      <c r="AI18" s="348"/>
      <c r="AJ18" s="348"/>
      <c r="AK18" s="348"/>
      <c r="AL18" s="348"/>
      <c r="AM18" s="349"/>
      <c r="AN18" s="236"/>
      <c r="AO18" s="234"/>
      <c r="AP18" s="234"/>
      <c r="AQ18" s="234"/>
      <c r="AR18" s="234"/>
      <c r="AS18" s="34"/>
      <c r="AT18" s="236"/>
      <c r="AU18" s="234"/>
      <c r="AV18" s="234"/>
      <c r="AW18" s="234"/>
      <c r="AX18" s="234"/>
      <c r="AY18" s="237"/>
      <c r="AZ18" s="824"/>
      <c r="BA18" s="34"/>
      <c r="BB18" s="34"/>
      <c r="BC18" s="34"/>
      <c r="BD18" s="34"/>
      <c r="BE18" s="34"/>
      <c r="BF18" s="34"/>
      <c r="BG18" s="34"/>
    </row>
    <row r="19" spans="1:59" ht="25" customHeight="1" x14ac:dyDescent="0.3">
      <c r="A19" s="1265" t="s">
        <v>76</v>
      </c>
      <c r="B19" s="1266"/>
      <c r="C19" s="1266"/>
      <c r="D19" s="1267" t="s">
        <v>436</v>
      </c>
      <c r="E19" s="1267"/>
      <c r="F19" s="1268" t="s">
        <v>63</v>
      </c>
      <c r="G19" s="1269"/>
      <c r="H19" s="22" t="str">
        <f>IF(K19="","",K19)</f>
        <v/>
      </c>
      <c r="I19" s="1270"/>
      <c r="J19" s="1271"/>
      <c r="K19" s="1272" t="str">
        <f>IF(P12="","",HLOOKUP(P12,$S$16:$AT$31,R21,0))</f>
        <v/>
      </c>
      <c r="L19" s="1273"/>
      <c r="M19" s="1274"/>
      <c r="N19" s="1263" t="str">
        <f>IF(P12="","",HLOOKUP(P12,$AN$16:$AS$31,R21,0))</f>
        <v/>
      </c>
      <c r="O19" s="1264"/>
      <c r="P19" s="844"/>
      <c r="Q19" s="942"/>
      <c r="R19" s="234">
        <v>4</v>
      </c>
      <c r="S19" s="345" t="s">
        <v>89</v>
      </c>
      <c r="T19" s="346" t="s">
        <v>89</v>
      </c>
      <c r="U19" s="346" t="s">
        <v>89</v>
      </c>
      <c r="V19" s="346" t="s">
        <v>89</v>
      </c>
      <c r="W19" s="346" t="s">
        <v>89</v>
      </c>
      <c r="X19" s="346" t="s">
        <v>89</v>
      </c>
      <c r="Y19" s="367" t="s">
        <v>89</v>
      </c>
      <c r="Z19" s="347"/>
      <c r="AA19" s="348"/>
      <c r="AB19" s="348"/>
      <c r="AC19" s="348"/>
      <c r="AD19" s="348"/>
      <c r="AE19" s="348"/>
      <c r="AF19" s="367" t="s">
        <v>89</v>
      </c>
      <c r="AG19" s="348"/>
      <c r="AH19" s="348"/>
      <c r="AI19" s="348"/>
      <c r="AJ19" s="348"/>
      <c r="AK19" s="348"/>
      <c r="AL19" s="348"/>
      <c r="AM19" s="367" t="s">
        <v>89</v>
      </c>
      <c r="AN19" s="236"/>
      <c r="AO19" s="234"/>
      <c r="AP19" s="234"/>
      <c r="AQ19" s="234"/>
      <c r="AR19" s="234"/>
      <c r="AS19" s="237"/>
      <c r="AT19" s="236"/>
      <c r="AU19" s="234"/>
      <c r="AV19" s="234"/>
      <c r="AW19" s="234"/>
      <c r="AX19" s="234"/>
      <c r="AY19" s="237"/>
      <c r="AZ19" s="824"/>
      <c r="BA19" s="34"/>
      <c r="BB19" s="34"/>
      <c r="BC19" s="34"/>
      <c r="BD19" s="34"/>
      <c r="BE19" s="34"/>
      <c r="BF19" s="34"/>
      <c r="BG19" s="34"/>
    </row>
    <row r="20" spans="1:59" ht="25" customHeight="1" x14ac:dyDescent="0.3">
      <c r="A20" s="1254" t="s">
        <v>41</v>
      </c>
      <c r="B20" s="1255"/>
      <c r="C20" s="1255"/>
      <c r="D20" s="1255"/>
      <c r="E20" s="846" t="s">
        <v>58</v>
      </c>
      <c r="F20" s="1236" t="s">
        <v>63</v>
      </c>
      <c r="G20" s="1236"/>
      <c r="H20" s="23" t="str">
        <f>IF('6. Estabilidad y flujo'!O20="","",'6. Estabilidad y flujo'!O20)</f>
        <v/>
      </c>
      <c r="I20" s="1256" t="s">
        <v>415</v>
      </c>
      <c r="J20" s="1257"/>
      <c r="K20" s="43" t="e">
        <f>IF(Q12="","",HLOOKUP(Q12,$S$16:$Y$31,R22,0))</f>
        <v>#N/A</v>
      </c>
      <c r="L20" s="45" t="e">
        <f>IF(K20="","",K20*0.9)</f>
        <v>#N/A</v>
      </c>
      <c r="M20" s="24"/>
      <c r="N20" s="847" t="str">
        <f>IF(P12="","",HLOOKUP(P12,$AN$16:$AS$31,R22,0))</f>
        <v/>
      </c>
      <c r="O20" s="848" t="str">
        <f>IF(P12="","",HLOOKUP(P12,$AT$16:$AY$31,R22,0))</f>
        <v/>
      </c>
      <c r="P20" s="844" t="str">
        <f>+IF(H20="","",(IF(H20&gt;N20,"","No cumple")))</f>
        <v/>
      </c>
      <c r="Q20" s="942"/>
      <c r="R20" s="234">
        <v>5</v>
      </c>
      <c r="S20" s="345"/>
      <c r="T20" s="348"/>
      <c r="U20" s="348"/>
      <c r="V20" s="348"/>
      <c r="W20" s="348"/>
      <c r="X20" s="348"/>
      <c r="Y20" s="367"/>
      <c r="Z20" s="350"/>
      <c r="AA20" s="346"/>
      <c r="AB20" s="346"/>
      <c r="AC20" s="346"/>
      <c r="AD20" s="346"/>
      <c r="AE20" s="346"/>
      <c r="AF20" s="367"/>
      <c r="AG20" s="346"/>
      <c r="AH20" s="346"/>
      <c r="AI20" s="346"/>
      <c r="AJ20" s="346"/>
      <c r="AK20" s="346"/>
      <c r="AL20" s="346"/>
      <c r="AM20" s="367"/>
      <c r="AN20" s="244"/>
      <c r="AO20" s="243"/>
      <c r="AP20" s="243"/>
      <c r="AQ20" s="243"/>
      <c r="AR20" s="243"/>
      <c r="AS20" s="378"/>
      <c r="AT20" s="244"/>
      <c r="AU20" s="243"/>
      <c r="AV20" s="243"/>
      <c r="AW20" s="243"/>
      <c r="AX20" s="243"/>
      <c r="AY20" s="378"/>
      <c r="AZ20" s="824"/>
      <c r="BA20" s="34"/>
      <c r="BB20" s="34"/>
      <c r="BC20" s="34"/>
      <c r="BD20" s="34"/>
      <c r="BE20" s="34"/>
      <c r="BF20" s="34"/>
      <c r="BG20" s="34"/>
    </row>
    <row r="21" spans="1:59" ht="25" customHeight="1" x14ac:dyDescent="0.3">
      <c r="A21" s="1254" t="s">
        <v>42</v>
      </c>
      <c r="B21" s="1255"/>
      <c r="C21" s="1255"/>
      <c r="D21" s="1255"/>
      <c r="E21" s="846" t="s">
        <v>10</v>
      </c>
      <c r="F21" s="1236" t="s">
        <v>63</v>
      </c>
      <c r="G21" s="1236"/>
      <c r="H21" s="25" t="str">
        <f>IF('6. Estabilidad y flujo'!O23="","",'6. Estabilidad y flujo'!O23)</f>
        <v/>
      </c>
      <c r="I21" s="1256" t="s">
        <v>416</v>
      </c>
      <c r="J21" s="1257"/>
      <c r="K21" s="44" t="e">
        <f>IF(Q12="","",HLOOKUP(Q12,$S$16:$Y$32,R24,0))</f>
        <v>#N/A</v>
      </c>
      <c r="L21" s="44" t="e">
        <f>IF(K21="","",K21*0.8)</f>
        <v>#N/A</v>
      </c>
      <c r="M21" s="26" t="e">
        <f>IF(K21="","",IF(K21*1.19&gt;O21,O21,K21*1.19))</f>
        <v>#N/A</v>
      </c>
      <c r="N21" s="849" t="str">
        <f>IF(P12="","",HLOOKUP(P12,$AN$16:$AS$31,R24,0))</f>
        <v/>
      </c>
      <c r="O21" s="841" t="str">
        <f>IF(P12="","",HLOOKUP(P12,$AT$16:$AY$31,R24,0))</f>
        <v/>
      </c>
      <c r="P21" s="844" t="str">
        <f>+IF(H21="","",(IF(AND(H21&gt;N21,H21&lt;O21),"","No cumple")))</f>
        <v/>
      </c>
      <c r="Q21" s="942"/>
      <c r="R21" s="234">
        <v>6</v>
      </c>
      <c r="S21" s="351">
        <v>75</v>
      </c>
      <c r="T21" s="352">
        <v>75</v>
      </c>
      <c r="U21" s="352">
        <v>75</v>
      </c>
      <c r="V21" s="352">
        <v>75</v>
      </c>
      <c r="W21" s="352">
        <v>75</v>
      </c>
      <c r="X21" s="352">
        <v>75</v>
      </c>
      <c r="Y21" s="368">
        <v>75</v>
      </c>
      <c r="Z21" s="351"/>
      <c r="AA21" s="352"/>
      <c r="AB21" s="352"/>
      <c r="AC21" s="352"/>
      <c r="AD21" s="352"/>
      <c r="AE21" s="352"/>
      <c r="AF21" s="368"/>
      <c r="AG21" s="352"/>
      <c r="AH21" s="352"/>
      <c r="AI21" s="352"/>
      <c r="AJ21" s="352"/>
      <c r="AK21" s="352"/>
      <c r="AL21" s="352"/>
      <c r="AM21" s="368"/>
      <c r="AN21" s="246">
        <v>75</v>
      </c>
      <c r="AO21" s="247">
        <v>75</v>
      </c>
      <c r="AP21" s="247">
        <v>75</v>
      </c>
      <c r="AQ21" s="247">
        <v>75</v>
      </c>
      <c r="AR21" s="247">
        <v>75</v>
      </c>
      <c r="AS21" s="455">
        <v>75</v>
      </c>
      <c r="AT21" s="246"/>
      <c r="AU21" s="247"/>
      <c r="AV21" s="247"/>
      <c r="AW21" s="247"/>
      <c r="AX21" s="247"/>
      <c r="AY21" s="379"/>
      <c r="AZ21" s="824"/>
      <c r="BA21" s="34"/>
      <c r="BB21" s="34"/>
      <c r="BC21" s="34"/>
      <c r="BD21" s="34"/>
      <c r="BE21" s="34"/>
      <c r="BF21" s="34"/>
      <c r="BG21" s="34"/>
    </row>
    <row r="22" spans="1:59" ht="25" customHeight="1" x14ac:dyDescent="0.3">
      <c r="A22" s="1254" t="s">
        <v>47</v>
      </c>
      <c r="B22" s="1255"/>
      <c r="C22" s="1255"/>
      <c r="D22" s="1255"/>
      <c r="E22" s="27" t="s">
        <v>49</v>
      </c>
      <c r="F22" s="1236" t="s">
        <v>63</v>
      </c>
      <c r="G22" s="1236"/>
      <c r="H22" s="23" t="str">
        <f>+IF(H20="","",H20/H21)</f>
        <v/>
      </c>
      <c r="I22" s="850"/>
      <c r="J22" s="851"/>
      <c r="K22" s="45" t="e">
        <f>IF(Q12="","",HLOOKUP(Q12,$S$16:$Y$31,R25,0))</f>
        <v>#N/A</v>
      </c>
      <c r="L22" s="852"/>
      <c r="M22" s="853"/>
      <c r="N22" s="849" t="str">
        <f>IF(P12="","",HLOOKUP(P12,$AN$16:$AS$31,R25,0))</f>
        <v/>
      </c>
      <c r="O22" s="841" t="str">
        <f>IF(P12="","",HLOOKUP(P12,$AT$16:$AY$31,R25,0))</f>
        <v/>
      </c>
      <c r="P22" s="844" t="str">
        <f>+IF(H22="","",(IF(AND(H22&gt;N22,H22&lt;O22),"","No cumple")))</f>
        <v/>
      </c>
      <c r="Q22" s="942"/>
      <c r="R22" s="234">
        <v>7</v>
      </c>
      <c r="S22" s="351">
        <v>1490</v>
      </c>
      <c r="T22" s="352">
        <v>1310</v>
      </c>
      <c r="U22" s="352">
        <v>1497</v>
      </c>
      <c r="V22" s="352">
        <v>1648</v>
      </c>
      <c r="W22" s="352">
        <v>1390</v>
      </c>
      <c r="X22" s="352">
        <v>1370</v>
      </c>
      <c r="Y22" s="368">
        <v>1457</v>
      </c>
      <c r="Z22" s="353">
        <f>IF(S22="","",S22*0.9)</f>
        <v>1341</v>
      </c>
      <c r="AA22" s="354">
        <f>IF(S22="","",S22*0.9)</f>
        <v>1341</v>
      </c>
      <c r="AB22" s="354">
        <f>IF(U22="","",U22*0.9)</f>
        <v>1347.3</v>
      </c>
      <c r="AC22" s="354">
        <f>IF(V22="","",V22*0.9)</f>
        <v>1483.2</v>
      </c>
      <c r="AD22" s="354">
        <f>IF(W22="","",W22*0.9)</f>
        <v>1251</v>
      </c>
      <c r="AE22" s="354">
        <f>IF(X22="","",X22*0.9)</f>
        <v>1233</v>
      </c>
      <c r="AF22" s="371" t="s">
        <v>111</v>
      </c>
      <c r="AG22" s="354" t="s">
        <v>46</v>
      </c>
      <c r="AH22" s="354" t="s">
        <v>46</v>
      </c>
      <c r="AI22" s="354" t="s">
        <v>46</v>
      </c>
      <c r="AJ22" s="354" t="s">
        <v>46</v>
      </c>
      <c r="AK22" s="354" t="s">
        <v>46</v>
      </c>
      <c r="AL22" s="354" t="s">
        <v>46</v>
      </c>
      <c r="AM22" s="371" t="s">
        <v>127</v>
      </c>
      <c r="AN22" s="248">
        <v>900</v>
      </c>
      <c r="AO22" s="249">
        <v>900</v>
      </c>
      <c r="AP22" s="249">
        <v>900</v>
      </c>
      <c r="AQ22" s="249">
        <v>750</v>
      </c>
      <c r="AR22" s="249">
        <v>750</v>
      </c>
      <c r="AS22" s="455">
        <v>842</v>
      </c>
      <c r="AT22" s="248" t="s">
        <v>46</v>
      </c>
      <c r="AU22" s="249" t="s">
        <v>46</v>
      </c>
      <c r="AV22" s="249" t="s">
        <v>46</v>
      </c>
      <c r="AW22" s="249" t="s">
        <v>46</v>
      </c>
      <c r="AX22" s="249" t="s">
        <v>46</v>
      </c>
      <c r="AY22" s="455" t="s">
        <v>46</v>
      </c>
      <c r="AZ22" s="824"/>
      <c r="BA22" s="34"/>
      <c r="BB22" s="34"/>
      <c r="BC22" s="34"/>
      <c r="BD22" s="34"/>
      <c r="BE22" s="34"/>
      <c r="BF22" s="34"/>
      <c r="BG22" s="34"/>
    </row>
    <row r="23" spans="1:59" ht="25" customHeight="1" x14ac:dyDescent="0.3">
      <c r="A23" s="1258" t="s">
        <v>61</v>
      </c>
      <c r="B23" s="1259"/>
      <c r="C23" s="1259"/>
      <c r="D23" s="1259"/>
      <c r="E23" s="854" t="s">
        <v>36</v>
      </c>
      <c r="F23" s="1236" t="s">
        <v>93</v>
      </c>
      <c r="G23" s="1236"/>
      <c r="H23" s="25" t="str">
        <f>+IF('6. Estabilidad y flujo'!O25="","",'6. Estabilidad y flujo'!O25)</f>
        <v/>
      </c>
      <c r="I23" s="1256" t="s">
        <v>417</v>
      </c>
      <c r="J23" s="1257"/>
      <c r="K23" s="44" t="e">
        <f>IF(Q12="","",HLOOKUP(Q12,$S$16:$Y$31,R26,0))</f>
        <v>#N/A</v>
      </c>
      <c r="L23" s="44" t="e">
        <f>IF(K23="","",K23-0.3)</f>
        <v>#N/A</v>
      </c>
      <c r="M23" s="26" t="e">
        <f>IF(K23="","",K23+0.3)</f>
        <v>#N/A</v>
      </c>
      <c r="N23" s="849" t="str">
        <f>IF(P12="","",HLOOKUP(P12,$AN$16:$AS$31,R26,0))</f>
        <v/>
      </c>
      <c r="O23" s="841" t="str">
        <f>IF(P12="","",HLOOKUP(P12,$AT$16:$AY$31,R26,0))</f>
        <v/>
      </c>
      <c r="P23" s="844" t="str">
        <f>+IF(H23="","",(IF(AND(H23&gt;N23,H23&lt;O23),"","No cumple")))</f>
        <v/>
      </c>
      <c r="Q23" s="942"/>
      <c r="R23" s="234">
        <v>8</v>
      </c>
      <c r="S23" s="355"/>
      <c r="T23" s="356"/>
      <c r="U23" s="356"/>
      <c r="V23" s="356"/>
      <c r="W23" s="356"/>
      <c r="X23" s="356"/>
      <c r="Y23" s="369"/>
      <c r="Z23" s="357"/>
      <c r="AA23" s="358"/>
      <c r="AB23" s="358"/>
      <c r="AC23" s="358"/>
      <c r="AD23" s="358"/>
      <c r="AE23" s="358"/>
      <c r="AF23" s="377"/>
      <c r="AG23" s="356"/>
      <c r="AH23" s="356"/>
      <c r="AI23" s="356"/>
      <c r="AJ23" s="356"/>
      <c r="AK23" s="356"/>
      <c r="AL23" s="356"/>
      <c r="AM23" s="369"/>
      <c r="AN23" s="250"/>
      <c r="AO23" s="251"/>
      <c r="AP23" s="251"/>
      <c r="AQ23" s="251"/>
      <c r="AR23" s="251"/>
      <c r="AS23" s="456"/>
      <c r="AT23" s="250"/>
      <c r="AU23" s="251"/>
      <c r="AV23" s="251"/>
      <c r="AW23" s="251"/>
      <c r="AX23" s="251"/>
      <c r="AY23" s="456"/>
      <c r="AZ23" s="824"/>
      <c r="BA23" s="34"/>
      <c r="BB23" s="34"/>
      <c r="BC23" s="34"/>
      <c r="BD23" s="34"/>
      <c r="BE23" s="34"/>
      <c r="BF23" s="34"/>
      <c r="BG23" s="34"/>
    </row>
    <row r="24" spans="1:59" ht="25" customHeight="1" x14ac:dyDescent="0.3">
      <c r="A24" s="1260" t="s">
        <v>45</v>
      </c>
      <c r="B24" s="1261"/>
      <c r="C24" s="1261"/>
      <c r="D24" s="1261"/>
      <c r="E24" s="855" t="s">
        <v>36</v>
      </c>
      <c r="F24" s="1236" t="s">
        <v>92</v>
      </c>
      <c r="G24" s="1236"/>
      <c r="H24" s="25" t="str">
        <f>+IF('6. Estabilidad y flujo'!O26="","",'6. Estabilidad y flujo'!O26)</f>
        <v/>
      </c>
      <c r="I24" s="856"/>
      <c r="J24" s="857"/>
      <c r="K24" s="44" t="e">
        <f>IF(Q12="","",HLOOKUP(Q12,$S$16:$Y$31,R27,0))</f>
        <v>#N/A</v>
      </c>
      <c r="L24" s="858"/>
      <c r="M24" s="859"/>
      <c r="N24" s="849" t="str">
        <f>IF(P12="","",HLOOKUP(P12,$AN$16:$AS$31,R27,0))</f>
        <v/>
      </c>
      <c r="O24" s="841" t="str">
        <f>IF(P12="","",HLOOKUP(P12,$AT$16:$AY$31,R27,0))</f>
        <v/>
      </c>
      <c r="P24" s="844" t="str">
        <f>+IF(H24="","",(IF(H24&gt;N24,"","No cumple")))</f>
        <v/>
      </c>
      <c r="Q24" s="942"/>
      <c r="R24" s="234">
        <v>9</v>
      </c>
      <c r="S24" s="359">
        <v>3.4</v>
      </c>
      <c r="T24" s="360">
        <v>3.4</v>
      </c>
      <c r="U24" s="360">
        <v>3.4</v>
      </c>
      <c r="V24" s="360">
        <v>3.3</v>
      </c>
      <c r="W24" s="360">
        <v>3.3</v>
      </c>
      <c r="X24" s="360">
        <v>3.2</v>
      </c>
      <c r="Y24" s="370">
        <v>4.5</v>
      </c>
      <c r="Z24" s="359">
        <f>IF(S24="","",S24*0.8)</f>
        <v>2.72</v>
      </c>
      <c r="AA24" s="360">
        <f>IF(S24="","",S24*0.8)</f>
        <v>2.72</v>
      </c>
      <c r="AB24" s="360">
        <f>IF(U24="","",U24*0.8)</f>
        <v>2.72</v>
      </c>
      <c r="AC24" s="360">
        <f>IF(V24="","",V24*0.8)</f>
        <v>2.64</v>
      </c>
      <c r="AD24" s="360">
        <f>IF(W24="","",W24*0.8)</f>
        <v>2.64</v>
      </c>
      <c r="AE24" s="360">
        <f>IF(X24="","",X24*0.8)</f>
        <v>2.5600000000000005</v>
      </c>
      <c r="AF24" s="370" t="s">
        <v>127</v>
      </c>
      <c r="AG24" s="360">
        <f t="shared" ref="AG24:AL24" si="0">IF(S24="","",S24*1.19)</f>
        <v>4.0459999999999994</v>
      </c>
      <c r="AH24" s="360">
        <f t="shared" si="0"/>
        <v>4.0459999999999994</v>
      </c>
      <c r="AI24" s="360">
        <f t="shared" si="0"/>
        <v>4.0459999999999994</v>
      </c>
      <c r="AJ24" s="360">
        <f t="shared" si="0"/>
        <v>3.9269999999999996</v>
      </c>
      <c r="AK24" s="360">
        <f t="shared" si="0"/>
        <v>3.9269999999999996</v>
      </c>
      <c r="AL24" s="360">
        <f t="shared" si="0"/>
        <v>3.8079999999999998</v>
      </c>
      <c r="AM24" s="370" t="s">
        <v>127</v>
      </c>
      <c r="AN24" s="248">
        <v>2</v>
      </c>
      <c r="AO24" s="249">
        <v>2</v>
      </c>
      <c r="AP24" s="249">
        <v>2</v>
      </c>
      <c r="AQ24" s="249">
        <v>2</v>
      </c>
      <c r="AR24" s="249">
        <v>2</v>
      </c>
      <c r="AS24" s="455">
        <v>2.5</v>
      </c>
      <c r="AT24" s="493">
        <v>3.5</v>
      </c>
      <c r="AU24" s="494">
        <v>3.5</v>
      </c>
      <c r="AV24" s="494">
        <v>3.5</v>
      </c>
      <c r="AW24" s="494">
        <v>3.5</v>
      </c>
      <c r="AX24" s="494">
        <v>3.5</v>
      </c>
      <c r="AY24" s="455">
        <v>5.5</v>
      </c>
      <c r="AZ24" s="824"/>
      <c r="BA24" s="34"/>
      <c r="BB24" s="34"/>
      <c r="BC24" s="34"/>
      <c r="BD24" s="34"/>
      <c r="BE24" s="34"/>
      <c r="BF24" s="34"/>
      <c r="BG24" s="34"/>
    </row>
    <row r="25" spans="1:59" ht="25" customHeight="1" x14ac:dyDescent="0.3">
      <c r="A25" s="1254" t="s">
        <v>48</v>
      </c>
      <c r="B25" s="1255"/>
      <c r="C25" s="1255"/>
      <c r="D25" s="1255"/>
      <c r="E25" s="855" t="s">
        <v>36</v>
      </c>
      <c r="F25" s="1236" t="s">
        <v>92</v>
      </c>
      <c r="G25" s="1236"/>
      <c r="H25" s="25" t="str">
        <f>+IF('6. Estabilidad y flujo'!O27="","",'6. Estabilidad y flujo'!O27)</f>
        <v/>
      </c>
      <c r="I25" s="856"/>
      <c r="J25" s="857"/>
      <c r="K25" s="44" t="e">
        <f>IF(Q12="","",HLOOKUP(Q12,$S$16:$Y$31,R28,0))</f>
        <v>#N/A</v>
      </c>
      <c r="L25" s="858"/>
      <c r="M25" s="859"/>
      <c r="N25" s="849" t="str">
        <f>IF(P12="","",HLOOKUP(P12,$AN$16:$AS$31,R28,0))</f>
        <v/>
      </c>
      <c r="O25" s="841" t="str">
        <f>IF(P12="","",HLOOKUP(P12,$AT$16:$AY$31,R28,0))</f>
        <v/>
      </c>
      <c r="P25" s="844" t="str">
        <f>+IF(H25="","",(IF(AND(H25&gt;N25,H25&lt;O25),"","No cumple")))</f>
        <v/>
      </c>
      <c r="Q25" s="942"/>
      <c r="R25" s="234">
        <v>10</v>
      </c>
      <c r="S25" s="351">
        <v>438</v>
      </c>
      <c r="T25" s="352">
        <v>382</v>
      </c>
      <c r="U25" s="352">
        <v>437</v>
      </c>
      <c r="V25" s="354">
        <v>507</v>
      </c>
      <c r="W25" s="352">
        <v>421</v>
      </c>
      <c r="X25" s="354">
        <f>+X22/X24</f>
        <v>428.125</v>
      </c>
      <c r="Y25" s="371">
        <v>324</v>
      </c>
      <c r="Z25" s="351"/>
      <c r="AA25" s="352"/>
      <c r="AB25" s="352"/>
      <c r="AC25" s="352"/>
      <c r="AD25" s="352"/>
      <c r="AE25" s="352"/>
      <c r="AF25" s="368"/>
      <c r="AG25" s="348"/>
      <c r="AH25" s="348"/>
      <c r="AI25" s="348"/>
      <c r="AJ25" s="348"/>
      <c r="AK25" s="348"/>
      <c r="AL25" s="348"/>
      <c r="AM25" s="376"/>
      <c r="AN25" s="245">
        <v>300</v>
      </c>
      <c r="AO25" s="282">
        <v>300</v>
      </c>
      <c r="AP25" s="282">
        <v>300</v>
      </c>
      <c r="AQ25" s="282">
        <v>300</v>
      </c>
      <c r="AR25" s="282">
        <v>300</v>
      </c>
      <c r="AS25" s="455" t="s">
        <v>127</v>
      </c>
      <c r="AT25" s="245">
        <v>600</v>
      </c>
      <c r="AU25" s="282">
        <v>600</v>
      </c>
      <c r="AV25" s="282">
        <v>600</v>
      </c>
      <c r="AW25" s="282">
        <v>500</v>
      </c>
      <c r="AX25" s="282">
        <v>500</v>
      </c>
      <c r="AY25" s="455" t="s">
        <v>127</v>
      </c>
      <c r="AZ25" s="34"/>
      <c r="BA25" s="34"/>
      <c r="BB25" s="34"/>
      <c r="BC25" s="34"/>
      <c r="BD25" s="34"/>
      <c r="BE25" s="34"/>
      <c r="BF25" s="34"/>
      <c r="BG25" s="34"/>
    </row>
    <row r="26" spans="1:59" ht="25" customHeight="1" x14ac:dyDescent="0.3">
      <c r="A26" s="1254" t="s">
        <v>91</v>
      </c>
      <c r="B26" s="1255"/>
      <c r="C26" s="1255"/>
      <c r="D26" s="1255"/>
      <c r="E26" s="1255"/>
      <c r="F26" s="1255"/>
      <c r="G26" s="1262"/>
      <c r="H26" s="28" t="str">
        <f>+IF(K7="","",('6. Estabilidad y flujo'!V36/'6. Estabilidad y flujo'!Z33))</f>
        <v/>
      </c>
      <c r="I26" s="856"/>
      <c r="J26" s="857"/>
      <c r="K26" s="44" t="e">
        <f>IF(Q12="","",HLOOKUP(Q12,$S$16:$Y$31,R29,0))</f>
        <v>#N/A</v>
      </c>
      <c r="L26" s="858"/>
      <c r="M26" s="859"/>
      <c r="N26" s="849" t="str">
        <f>IF(P12="","",HLOOKUP(P12,$AN$16:$AS$31,R29,0))</f>
        <v/>
      </c>
      <c r="O26" s="841" t="str">
        <f>IF(P12="","",HLOOKUP(P12,$AT$16:$AY$31,R29,0))</f>
        <v/>
      </c>
      <c r="P26" s="844" t="str">
        <f>+IF(H26="","",(IF(AND(H26&gt;N26,H26&lt;O26),"","No cumple")))</f>
        <v/>
      </c>
      <c r="Q26" s="942"/>
      <c r="R26" s="234">
        <v>11</v>
      </c>
      <c r="S26" s="359">
        <v>5.2</v>
      </c>
      <c r="T26" s="360">
        <v>4.5</v>
      </c>
      <c r="U26" s="360">
        <v>4.4000000000000004</v>
      </c>
      <c r="V26" s="360">
        <v>4.3</v>
      </c>
      <c r="W26" s="360">
        <v>4.5</v>
      </c>
      <c r="X26" s="360">
        <v>4.8</v>
      </c>
      <c r="Y26" s="370">
        <v>3.9</v>
      </c>
      <c r="Z26" s="359">
        <f>IF(S26="","",3-0.3)</f>
        <v>2.7</v>
      </c>
      <c r="AA26" s="360">
        <f>IF(S26="","",3-0.3)</f>
        <v>2.7</v>
      </c>
      <c r="AB26" s="360">
        <f>IF(U26="","",3-0.3)</f>
        <v>2.7</v>
      </c>
      <c r="AC26" s="360">
        <f>IF(V26="","",V26-0.3)</f>
        <v>4</v>
      </c>
      <c r="AD26" s="360">
        <f>IF(W26="","",3-0.3)</f>
        <v>2.7</v>
      </c>
      <c r="AE26" s="360">
        <f>IF(X26="","",3-0.3)</f>
        <v>2.7</v>
      </c>
      <c r="AF26" s="370" t="s">
        <v>127</v>
      </c>
      <c r="AG26" s="360">
        <f t="shared" ref="AG26:AL26" si="1">IF(S26="","",S26+0.3)</f>
        <v>5.5</v>
      </c>
      <c r="AH26" s="360">
        <f t="shared" si="1"/>
        <v>4.8</v>
      </c>
      <c r="AI26" s="360">
        <f t="shared" si="1"/>
        <v>4.7</v>
      </c>
      <c r="AJ26" s="360">
        <f t="shared" si="1"/>
        <v>4.5999999999999996</v>
      </c>
      <c r="AK26" s="360">
        <f t="shared" si="1"/>
        <v>4.8</v>
      </c>
      <c r="AL26" s="360">
        <f t="shared" si="1"/>
        <v>5.0999999999999996</v>
      </c>
      <c r="AM26" s="370" t="s">
        <v>127</v>
      </c>
      <c r="AN26" s="248">
        <v>3</v>
      </c>
      <c r="AO26" s="249">
        <v>4</v>
      </c>
      <c r="AP26" s="249">
        <v>4</v>
      </c>
      <c r="AQ26" s="249">
        <v>4</v>
      </c>
      <c r="AR26" s="249">
        <v>4</v>
      </c>
      <c r="AS26" s="455">
        <v>3</v>
      </c>
      <c r="AT26" s="248">
        <v>6</v>
      </c>
      <c r="AU26" s="249">
        <v>6</v>
      </c>
      <c r="AV26" s="249">
        <v>6</v>
      </c>
      <c r="AW26" s="249">
        <v>6</v>
      </c>
      <c r="AX26" s="249">
        <v>5</v>
      </c>
      <c r="AY26" s="455">
        <v>5</v>
      </c>
      <c r="AZ26" s="34"/>
      <c r="BA26" s="34"/>
      <c r="BB26" s="34"/>
      <c r="BC26" s="34"/>
      <c r="BD26" s="34"/>
      <c r="BE26" s="34"/>
      <c r="BF26" s="34"/>
      <c r="BG26" s="34"/>
    </row>
    <row r="27" spans="1:59" ht="25" customHeight="1" x14ac:dyDescent="0.3">
      <c r="A27" s="822" t="s">
        <v>103</v>
      </c>
      <c r="B27" s="823"/>
      <c r="C27" s="823"/>
      <c r="D27" s="823"/>
      <c r="E27" s="29" t="s">
        <v>418</v>
      </c>
      <c r="F27" s="1236" t="s">
        <v>94</v>
      </c>
      <c r="G27" s="1236"/>
      <c r="H27" s="28" t="str">
        <f>IF(P12="","",'6. Estabilidad y flujo'!Z38)</f>
        <v/>
      </c>
      <c r="I27" s="856"/>
      <c r="J27" s="857"/>
      <c r="K27" s="44" t="e">
        <f>IF(Q12="","",HLOOKUP(Q12,$S$16:$Y$31,R30,0))</f>
        <v>#N/A</v>
      </c>
      <c r="L27" s="858"/>
      <c r="M27" s="859"/>
      <c r="N27" s="849" t="str">
        <f>IF(P12="","",HLOOKUP(P12,$AN$16:$AS$31,R30,0))</f>
        <v/>
      </c>
      <c r="O27" s="841" t="str">
        <f>IF(P12="","",HLOOKUP(P12,$AT$16:$AY$31,R30,0))</f>
        <v/>
      </c>
      <c r="P27" s="844" t="str">
        <f>+IF(H27="","",(IF(H27&gt;N27,"","No cumple")))</f>
        <v/>
      </c>
      <c r="Q27" s="942"/>
      <c r="R27" s="234">
        <v>12</v>
      </c>
      <c r="S27" s="361">
        <v>19.399999999999999</v>
      </c>
      <c r="T27" s="362">
        <v>17.8</v>
      </c>
      <c r="U27" s="362">
        <v>18.600000000000001</v>
      </c>
      <c r="V27" s="362">
        <v>17.2</v>
      </c>
      <c r="W27" s="362">
        <v>14.4</v>
      </c>
      <c r="X27" s="362">
        <v>16.899999999999999</v>
      </c>
      <c r="Y27" s="372">
        <v>19.3</v>
      </c>
      <c r="Z27" s="363"/>
      <c r="AA27" s="364"/>
      <c r="AB27" s="364"/>
      <c r="AC27" s="364"/>
      <c r="AD27" s="364"/>
      <c r="AE27" s="364"/>
      <c r="AF27" s="373"/>
      <c r="AG27" s="348"/>
      <c r="AH27" s="348"/>
      <c r="AI27" s="348"/>
      <c r="AJ27" s="348"/>
      <c r="AK27" s="348"/>
      <c r="AL27" s="348"/>
      <c r="AM27" s="376"/>
      <c r="AN27" s="254">
        <v>16</v>
      </c>
      <c r="AO27" s="255">
        <v>15</v>
      </c>
      <c r="AP27" s="255">
        <v>15</v>
      </c>
      <c r="AQ27" s="255">
        <v>14</v>
      </c>
      <c r="AR27" s="255">
        <v>14</v>
      </c>
      <c r="AS27" s="455">
        <v>15</v>
      </c>
      <c r="AT27" s="248" t="s">
        <v>46</v>
      </c>
      <c r="AU27" s="249" t="s">
        <v>46</v>
      </c>
      <c r="AV27" s="249" t="s">
        <v>46</v>
      </c>
      <c r="AW27" s="249" t="s">
        <v>46</v>
      </c>
      <c r="AX27" s="249" t="s">
        <v>46</v>
      </c>
      <c r="AY27" s="455" t="s">
        <v>46</v>
      </c>
      <c r="AZ27" s="34"/>
      <c r="BA27" s="34"/>
      <c r="BB27" s="34"/>
      <c r="BC27" s="34"/>
      <c r="BD27" s="34"/>
      <c r="BE27" s="34"/>
      <c r="BF27" s="34"/>
      <c r="BG27" s="34"/>
    </row>
    <row r="28" spans="1:59" ht="25" customHeight="1" x14ac:dyDescent="0.3">
      <c r="A28" s="232" t="s">
        <v>260</v>
      </c>
      <c r="B28" s="233"/>
      <c r="C28" s="233"/>
      <c r="D28" s="233"/>
      <c r="E28" s="839"/>
      <c r="F28" s="1236" t="s">
        <v>90</v>
      </c>
      <c r="G28" s="1236"/>
      <c r="H28" s="30" t="str">
        <f>IF(P12="","",'6. Estabilidad y flujo'!U24)</f>
        <v/>
      </c>
      <c r="I28" s="1237"/>
      <c r="J28" s="1238"/>
      <c r="K28" s="43" t="e">
        <f>IF(Q12="","",HLOOKUP(Q12,$S$16:$Y$31,R31,0))</f>
        <v>#N/A</v>
      </c>
      <c r="L28" s="45"/>
      <c r="M28" s="31" t="e">
        <f>K28</f>
        <v>#N/A</v>
      </c>
      <c r="N28" s="1237" t="str">
        <f>IF(P12="","",HLOOKUP(P12,$AN$16:$AS$32,R31,0))</f>
        <v/>
      </c>
      <c r="O28" s="1241"/>
      <c r="P28" s="844" t="str">
        <f>+IF(H28="","",(IF(H28&lt;M28,"","No cumple")))</f>
        <v/>
      </c>
      <c r="Q28" s="942"/>
      <c r="R28" s="234">
        <v>13</v>
      </c>
      <c r="S28" s="363">
        <v>73</v>
      </c>
      <c r="T28" s="362">
        <v>74.8</v>
      </c>
      <c r="U28" s="362">
        <v>76.5</v>
      </c>
      <c r="V28" s="364">
        <v>74.599999999999994</v>
      </c>
      <c r="W28" s="364">
        <v>69.099999999999994</v>
      </c>
      <c r="X28" s="364">
        <v>72.5</v>
      </c>
      <c r="Y28" s="373">
        <v>79.7</v>
      </c>
      <c r="Z28" s="363"/>
      <c r="AA28" s="364"/>
      <c r="AB28" s="364"/>
      <c r="AC28" s="364"/>
      <c r="AD28" s="364"/>
      <c r="AE28" s="364"/>
      <c r="AF28" s="373"/>
      <c r="AG28" s="348"/>
      <c r="AH28" s="348"/>
      <c r="AI28" s="348"/>
      <c r="AJ28" s="348"/>
      <c r="AK28" s="348"/>
      <c r="AL28" s="348"/>
      <c r="AM28" s="376"/>
      <c r="AN28" s="248">
        <v>65</v>
      </c>
      <c r="AO28" s="249">
        <v>65</v>
      </c>
      <c r="AP28" s="249">
        <v>65</v>
      </c>
      <c r="AQ28" s="249">
        <v>65</v>
      </c>
      <c r="AR28" s="249">
        <v>65</v>
      </c>
      <c r="AS28" s="455" t="s">
        <v>127</v>
      </c>
      <c r="AT28" s="248">
        <v>75</v>
      </c>
      <c r="AU28" s="249">
        <v>75</v>
      </c>
      <c r="AV28" s="249">
        <v>75</v>
      </c>
      <c r="AW28" s="249">
        <v>78</v>
      </c>
      <c r="AX28" s="249">
        <v>78</v>
      </c>
      <c r="AY28" s="455" t="s">
        <v>127</v>
      </c>
      <c r="AZ28" s="824"/>
      <c r="BA28" s="34"/>
      <c r="BB28" s="34"/>
      <c r="BC28" s="34"/>
      <c r="BD28" s="34"/>
      <c r="BE28" s="34"/>
      <c r="BF28" s="34"/>
      <c r="BG28" s="34"/>
    </row>
    <row r="29" spans="1:59" ht="25" customHeight="1" x14ac:dyDescent="0.3">
      <c r="A29" s="1242" t="s">
        <v>104</v>
      </c>
      <c r="B29" s="1243"/>
      <c r="C29" s="1243"/>
      <c r="D29" s="1243"/>
      <c r="E29" s="1243"/>
      <c r="F29" s="1244" t="s">
        <v>82</v>
      </c>
      <c r="G29" s="1244"/>
      <c r="H29" s="55" t="str">
        <f>+IF('5. Bulk y Rice'!G27="","",'5. Bulk y Rice'!G27)</f>
        <v/>
      </c>
      <c r="I29" s="1072"/>
      <c r="J29" s="1073"/>
      <c r="K29" s="1073" t="e">
        <f>IF(Q12="","",HLOOKUP(Q12,$S$16:$Y$32,R32,0))</f>
        <v>#N/A</v>
      </c>
      <c r="L29" s="1073"/>
      <c r="M29" s="1074"/>
      <c r="N29" s="1245" t="str">
        <f>IF(P12="","",HLOOKUP(P12,$AN$16:$AS$32,R32,0))</f>
        <v/>
      </c>
      <c r="O29" s="1246"/>
      <c r="P29" s="860"/>
      <c r="Q29" s="942"/>
      <c r="R29" s="234">
        <v>14</v>
      </c>
      <c r="S29" s="363">
        <v>1.1000000000000001</v>
      </c>
      <c r="T29" s="364">
        <v>0.8</v>
      </c>
      <c r="U29" s="364">
        <v>0.9</v>
      </c>
      <c r="V29" s="364">
        <v>1</v>
      </c>
      <c r="W29" s="364">
        <v>1.2</v>
      </c>
      <c r="X29" s="364">
        <v>1.04</v>
      </c>
      <c r="Y29" s="373">
        <v>1.1000000000000001</v>
      </c>
      <c r="Z29" s="363"/>
      <c r="AA29" s="364"/>
      <c r="AB29" s="364"/>
      <c r="AC29" s="364"/>
      <c r="AD29" s="364"/>
      <c r="AE29" s="364"/>
      <c r="AF29" s="373"/>
      <c r="AG29" s="348"/>
      <c r="AH29" s="348"/>
      <c r="AI29" s="348"/>
      <c r="AJ29" s="348"/>
      <c r="AK29" s="348"/>
      <c r="AL29" s="348"/>
      <c r="AM29" s="376"/>
      <c r="AN29" s="252">
        <v>0.8</v>
      </c>
      <c r="AO29" s="253">
        <v>0.8</v>
      </c>
      <c r="AP29" s="253">
        <v>0.8</v>
      </c>
      <c r="AQ29" s="253">
        <v>0.8</v>
      </c>
      <c r="AR29" s="253">
        <v>0.8</v>
      </c>
      <c r="AS29" s="455" t="s">
        <v>127</v>
      </c>
      <c r="AT29" s="248">
        <v>1.2</v>
      </c>
      <c r="AU29" s="249">
        <v>1.2</v>
      </c>
      <c r="AV29" s="249">
        <v>1.2</v>
      </c>
      <c r="AW29" s="249">
        <v>1.2</v>
      </c>
      <c r="AX29" s="249">
        <v>1.2</v>
      </c>
      <c r="AY29" s="455" t="s">
        <v>127</v>
      </c>
      <c r="AZ29" s="824"/>
      <c r="BA29" s="34"/>
      <c r="BB29" s="34"/>
      <c r="BC29" s="34"/>
      <c r="BD29" s="34"/>
      <c r="BE29" s="34"/>
      <c r="BF29" s="34"/>
      <c r="BG29" s="34"/>
    </row>
    <row r="30" spans="1:59" ht="20.149999999999999" customHeight="1" x14ac:dyDescent="0.3">
      <c r="A30" s="1247" t="s">
        <v>3</v>
      </c>
      <c r="B30" s="1248"/>
      <c r="C30" s="1326" t="str">
        <f>+IF(P12=Y16,CONCATENATE(P30,Q31,P31,", ",P32,Q32),"")</f>
        <v/>
      </c>
      <c r="D30" s="1326"/>
      <c r="E30" s="1326"/>
      <c r="F30" s="1326"/>
      <c r="G30" s="1326"/>
      <c r="H30" s="1326"/>
      <c r="I30" s="1326"/>
      <c r="J30" s="1326"/>
      <c r="K30" s="1326"/>
      <c r="L30" s="1326"/>
      <c r="M30" s="1326"/>
      <c r="N30" s="1326"/>
      <c r="O30" s="1327"/>
      <c r="P30" s="1311" t="s">
        <v>280</v>
      </c>
      <c r="Q30" s="1312"/>
      <c r="R30" s="234">
        <v>15</v>
      </c>
      <c r="S30" s="448" t="s">
        <v>121</v>
      </c>
      <c r="T30" s="449">
        <v>9</v>
      </c>
      <c r="U30" s="449">
        <v>14.4</v>
      </c>
      <c r="V30" s="364">
        <v>11.03</v>
      </c>
      <c r="W30" s="364">
        <v>8.8800000000000008</v>
      </c>
      <c r="X30" s="364">
        <v>10.94</v>
      </c>
      <c r="Y30" s="450" t="s">
        <v>285</v>
      </c>
      <c r="Z30" s="363"/>
      <c r="AA30" s="364"/>
      <c r="AB30" s="364"/>
      <c r="AC30" s="364"/>
      <c r="AD30" s="364"/>
      <c r="AE30" s="364"/>
      <c r="AF30" s="373"/>
      <c r="AG30" s="348"/>
      <c r="AH30" s="348"/>
      <c r="AI30" s="348"/>
      <c r="AJ30" s="348"/>
      <c r="AK30" s="348"/>
      <c r="AL30" s="348"/>
      <c r="AM30" s="376"/>
      <c r="AN30" s="248">
        <v>7.5</v>
      </c>
      <c r="AO30" s="249">
        <v>7.5</v>
      </c>
      <c r="AP30" s="249">
        <v>7.5</v>
      </c>
      <c r="AQ30" s="249">
        <v>7.5</v>
      </c>
      <c r="AR30" s="249">
        <v>7.5</v>
      </c>
      <c r="AS30" s="455">
        <v>7.5</v>
      </c>
      <c r="AT30" s="248" t="s">
        <v>46</v>
      </c>
      <c r="AU30" s="249" t="s">
        <v>46</v>
      </c>
      <c r="AV30" s="249" t="s">
        <v>46</v>
      </c>
      <c r="AW30" s="249" t="s">
        <v>46</v>
      </c>
      <c r="AX30" s="249" t="s">
        <v>46</v>
      </c>
      <c r="AY30" s="455" t="s">
        <v>46</v>
      </c>
      <c r="AZ30" s="824"/>
      <c r="BA30" s="34"/>
      <c r="BB30" s="34"/>
      <c r="BC30" s="34"/>
      <c r="BD30" s="34"/>
      <c r="BE30" s="34"/>
      <c r="BF30" s="34"/>
      <c r="BG30" s="34"/>
    </row>
    <row r="31" spans="1:59" ht="15" customHeight="1" x14ac:dyDescent="0.3">
      <c r="A31" s="649"/>
      <c r="B31" s="650"/>
      <c r="C31" s="1328"/>
      <c r="D31" s="1328"/>
      <c r="E31" s="1328"/>
      <c r="F31" s="1328"/>
      <c r="G31" s="1328"/>
      <c r="H31" s="1328"/>
      <c r="I31" s="1328"/>
      <c r="J31" s="1328"/>
      <c r="K31" s="1328"/>
      <c r="L31" s="1328"/>
      <c r="M31" s="1328"/>
      <c r="N31" s="1328"/>
      <c r="O31" s="1329"/>
      <c r="P31" s="945" t="s">
        <v>281</v>
      </c>
      <c r="Q31" s="957"/>
      <c r="R31" s="234">
        <v>16</v>
      </c>
      <c r="S31" s="351">
        <v>8.8000000000000007</v>
      </c>
      <c r="T31" s="442" t="s">
        <v>121</v>
      </c>
      <c r="U31" s="442">
        <v>0.25</v>
      </c>
      <c r="V31" s="352" t="s">
        <v>212</v>
      </c>
      <c r="W31" s="352">
        <v>0.27</v>
      </c>
      <c r="X31" s="352" t="s">
        <v>212</v>
      </c>
      <c r="Y31" s="374">
        <v>8.8000000000000007</v>
      </c>
      <c r="Z31" s="353" t="s">
        <v>46</v>
      </c>
      <c r="AA31" s="354" t="s">
        <v>46</v>
      </c>
      <c r="AB31" s="354" t="s">
        <v>46</v>
      </c>
      <c r="AC31" s="354" t="s">
        <v>46</v>
      </c>
      <c r="AD31" s="354" t="s">
        <v>46</v>
      </c>
      <c r="AE31" s="354" t="s">
        <v>46</v>
      </c>
      <c r="AF31" s="371" t="s">
        <v>127</v>
      </c>
      <c r="AG31" s="352">
        <f t="shared" ref="AG31:AL31" si="2">S31</f>
        <v>8.8000000000000007</v>
      </c>
      <c r="AH31" s="352" t="str">
        <f t="shared" si="2"/>
        <v>--</v>
      </c>
      <c r="AI31" s="352">
        <f t="shared" si="2"/>
        <v>0.25</v>
      </c>
      <c r="AJ31" s="352" t="str">
        <f t="shared" si="2"/>
        <v>-</v>
      </c>
      <c r="AK31" s="352">
        <f t="shared" si="2"/>
        <v>0.27</v>
      </c>
      <c r="AL31" s="352" t="str">
        <f t="shared" si="2"/>
        <v>-</v>
      </c>
      <c r="AM31" s="368" t="s">
        <v>127</v>
      </c>
      <c r="AN31" s="1057" t="s">
        <v>46</v>
      </c>
      <c r="AO31" s="1057" t="s">
        <v>46</v>
      </c>
      <c r="AP31" s="1057" t="s">
        <v>46</v>
      </c>
      <c r="AQ31" s="1057" t="s">
        <v>46</v>
      </c>
      <c r="AR31" s="1057" t="s">
        <v>46</v>
      </c>
      <c r="AS31" s="456" t="s">
        <v>46</v>
      </c>
      <c r="AT31" s="1057" t="s">
        <v>46</v>
      </c>
      <c r="AU31" s="1057" t="s">
        <v>46</v>
      </c>
      <c r="AV31" s="1057" t="s">
        <v>46</v>
      </c>
      <c r="AW31" s="1057" t="s">
        <v>46</v>
      </c>
      <c r="AX31" s="1057" t="s">
        <v>46</v>
      </c>
      <c r="AY31" s="456" t="s">
        <v>46</v>
      </c>
      <c r="AZ31" s="34"/>
      <c r="BA31" s="34"/>
      <c r="BB31" s="34"/>
      <c r="BC31" s="34"/>
      <c r="BD31" s="34"/>
      <c r="BE31" s="34"/>
      <c r="BF31" s="34"/>
      <c r="BG31" s="34"/>
    </row>
    <row r="32" spans="1:59" ht="15" customHeight="1" x14ac:dyDescent="0.3">
      <c r="A32" s="649"/>
      <c r="B32" s="1239"/>
      <c r="C32" s="1239"/>
      <c r="D32" s="1239"/>
      <c r="E32" s="1239"/>
      <c r="F32" s="1239"/>
      <c r="G32" s="1239"/>
      <c r="H32" s="1239"/>
      <c r="I32" s="1239"/>
      <c r="J32" s="1239"/>
      <c r="K32" s="1239"/>
      <c r="L32" s="1239"/>
      <c r="M32" s="1239"/>
      <c r="N32" s="1239"/>
      <c r="O32" s="1240"/>
      <c r="P32" s="1309" t="s">
        <v>282</v>
      </c>
      <c r="Q32" s="1313"/>
      <c r="R32" s="234">
        <v>17</v>
      </c>
      <c r="S32" s="365">
        <v>2.2890000000000001</v>
      </c>
      <c r="T32" s="366">
        <v>2.387</v>
      </c>
      <c r="U32" s="366">
        <v>2.3250000000000002</v>
      </c>
      <c r="V32" s="366" t="s">
        <v>127</v>
      </c>
      <c r="W32" s="366" t="s">
        <v>111</v>
      </c>
      <c r="X32" s="366" t="s">
        <v>111</v>
      </c>
      <c r="Y32" s="375">
        <v>2.363</v>
      </c>
      <c r="Z32" s="365"/>
      <c r="AA32" s="366"/>
      <c r="AB32" s="366"/>
      <c r="AC32" s="366"/>
      <c r="AD32" s="366"/>
      <c r="AE32" s="366"/>
      <c r="AF32" s="375"/>
      <c r="AG32" s="366"/>
      <c r="AH32" s="366"/>
      <c r="AI32" s="366"/>
      <c r="AJ32" s="366"/>
      <c r="AK32" s="366"/>
      <c r="AL32" s="366"/>
      <c r="AM32" s="375"/>
      <c r="AN32" s="256" t="s">
        <v>127</v>
      </c>
      <c r="AO32" s="257" t="s">
        <v>127</v>
      </c>
      <c r="AP32" s="257" t="s">
        <v>127</v>
      </c>
      <c r="AQ32" s="257" t="s">
        <v>127</v>
      </c>
      <c r="AR32" s="257" t="s">
        <v>127</v>
      </c>
      <c r="AS32" s="1058" t="s">
        <v>46</v>
      </c>
      <c r="AT32" s="256" t="s">
        <v>127</v>
      </c>
      <c r="AU32" s="257" t="s">
        <v>127</v>
      </c>
      <c r="AV32" s="257" t="s">
        <v>127</v>
      </c>
      <c r="AW32" s="257" t="s">
        <v>127</v>
      </c>
      <c r="AX32" s="257" t="s">
        <v>127</v>
      </c>
      <c r="AY32" s="1058" t="s">
        <v>46</v>
      </c>
      <c r="AZ32" s="34"/>
      <c r="BA32" s="34"/>
      <c r="BB32" s="34"/>
      <c r="BC32" s="34"/>
      <c r="BD32" s="34"/>
      <c r="BE32" s="34"/>
      <c r="BF32" s="34"/>
      <c r="BG32" s="34"/>
    </row>
    <row r="33" spans="1:59" ht="9.75" customHeight="1" x14ac:dyDescent="0.3">
      <c r="A33" s="649"/>
      <c r="B33" s="1239"/>
      <c r="C33" s="1239"/>
      <c r="D33" s="1239"/>
      <c r="E33" s="1239"/>
      <c r="F33" s="1239"/>
      <c r="G33" s="1239"/>
      <c r="H33" s="1239"/>
      <c r="I33" s="1239"/>
      <c r="J33" s="1239"/>
      <c r="K33" s="1239"/>
      <c r="L33" s="1239"/>
      <c r="M33" s="1239"/>
      <c r="N33" s="1239"/>
      <c r="O33" s="1240"/>
      <c r="P33" s="1310"/>
      <c r="Q33" s="1314"/>
      <c r="R33" s="946"/>
      <c r="S33" s="234"/>
      <c r="T33" s="234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34"/>
      <c r="BA33" s="34"/>
      <c r="BB33" s="34"/>
      <c r="BC33" s="34"/>
      <c r="BD33" s="34"/>
      <c r="BE33" s="34"/>
      <c r="BF33" s="34"/>
      <c r="BG33" s="34"/>
    </row>
    <row r="34" spans="1:59" ht="15" customHeight="1" x14ac:dyDescent="0.3">
      <c r="A34" s="1249"/>
      <c r="B34" s="1250"/>
      <c r="C34" s="1250"/>
      <c r="D34" s="1250"/>
      <c r="E34" s="1250"/>
      <c r="F34" s="1250"/>
      <c r="G34" s="1250"/>
      <c r="H34" s="1250"/>
      <c r="I34" s="1250"/>
      <c r="J34" s="1250"/>
      <c r="K34" s="1250"/>
      <c r="L34" s="1250"/>
      <c r="M34" s="1250"/>
      <c r="N34" s="1250"/>
      <c r="O34" s="1251"/>
      <c r="P34" s="82"/>
      <c r="Q34" s="944"/>
      <c r="R34" s="321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34"/>
      <c r="BA34" s="34"/>
      <c r="BB34" s="34"/>
      <c r="BC34" s="34"/>
      <c r="BD34" s="34"/>
      <c r="BE34" s="34"/>
      <c r="BF34" s="34"/>
      <c r="BG34" s="34"/>
    </row>
    <row r="35" spans="1:59" ht="15" customHeight="1" x14ac:dyDescent="0.3">
      <c r="A35" s="1252"/>
      <c r="B35" s="1252"/>
      <c r="C35" s="1252"/>
      <c r="D35" s="1252"/>
      <c r="E35" s="1252"/>
      <c r="F35" s="1252"/>
      <c r="G35" s="1252"/>
      <c r="H35" s="1252"/>
      <c r="I35" s="1252"/>
      <c r="J35" s="1252"/>
      <c r="K35" s="1252"/>
      <c r="L35" s="1252"/>
      <c r="M35" s="1252"/>
      <c r="N35" s="1252"/>
      <c r="O35" s="1252"/>
      <c r="P35" s="513"/>
      <c r="Q35" s="82"/>
      <c r="R35" s="283"/>
      <c r="S35" s="234"/>
      <c r="T35" s="234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34"/>
      <c r="BA35" s="34"/>
      <c r="BB35" s="34"/>
      <c r="BC35" s="34"/>
      <c r="BD35" s="34"/>
      <c r="BE35" s="34"/>
      <c r="BF35" s="34"/>
      <c r="BG35" s="34"/>
    </row>
    <row r="36" spans="1:59" ht="15" customHeight="1" x14ac:dyDescent="0.3">
      <c r="A36" s="1253" t="s">
        <v>204</v>
      </c>
      <c r="B36" s="1253"/>
      <c r="C36" s="1253"/>
      <c r="D36" s="1253"/>
      <c r="E36" s="1253"/>
      <c r="F36" s="1253"/>
      <c r="G36" s="1253"/>
      <c r="H36" s="1253"/>
      <c r="I36" s="1253"/>
      <c r="J36" s="1253"/>
      <c r="K36" s="1253"/>
      <c r="L36" s="1253"/>
      <c r="M36" s="1253"/>
      <c r="N36" s="1253"/>
      <c r="O36" s="1253"/>
      <c r="Q36" s="82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</row>
    <row r="37" spans="1:59" ht="15" customHeight="1" x14ac:dyDescent="0.3">
      <c r="A37" s="1253"/>
      <c r="B37" s="1253"/>
      <c r="C37" s="1253"/>
      <c r="D37" s="1253"/>
      <c r="E37" s="1253"/>
      <c r="F37" s="1253"/>
      <c r="G37" s="1253"/>
      <c r="H37" s="1253"/>
      <c r="I37" s="1253"/>
      <c r="J37" s="1253"/>
      <c r="K37" s="1253"/>
      <c r="L37" s="1253"/>
      <c r="M37" s="1253"/>
      <c r="N37" s="1253"/>
      <c r="O37" s="1253"/>
      <c r="Q37" s="513"/>
      <c r="R37" s="34"/>
      <c r="S37" s="34"/>
      <c r="T37" s="83"/>
      <c r="U37" s="83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</row>
    <row r="38" spans="1:59" ht="14.15" customHeight="1" x14ac:dyDescent="0.3">
      <c r="A38" s="52"/>
      <c r="B38" s="52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</row>
    <row r="39" spans="1:59" ht="28" customHeight="1" x14ac:dyDescent="0.3">
      <c r="A39" s="1234"/>
      <c r="B39" s="1235"/>
      <c r="C39" s="1235"/>
      <c r="D39" s="40"/>
      <c r="S39" s="34"/>
      <c r="T39" s="34"/>
      <c r="U39" s="34"/>
      <c r="V39" s="3"/>
      <c r="W39" s="4"/>
      <c r="X39" s="4"/>
      <c r="Y39" s="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155"/>
      <c r="AR39" s="74"/>
      <c r="AS39" s="74"/>
      <c r="AT39" s="40"/>
      <c r="AU39" s="40"/>
      <c r="AV39" s="40"/>
      <c r="AW39" s="40"/>
      <c r="AX39" s="34"/>
      <c r="AY39" s="34"/>
      <c r="AZ39" s="34"/>
      <c r="BA39" s="34"/>
      <c r="BB39" s="34"/>
      <c r="BC39" s="34"/>
      <c r="BD39" s="34"/>
      <c r="BE39" s="34"/>
      <c r="BF39" s="34"/>
      <c r="BG39" s="34"/>
    </row>
    <row r="40" spans="1:59" ht="28" customHeight="1" x14ac:dyDescent="0.3">
      <c r="A40" s="1234"/>
      <c r="B40" s="1235"/>
      <c r="C40" s="1235"/>
      <c r="D40" s="40"/>
      <c r="S40" s="34"/>
      <c r="T40" s="34"/>
      <c r="U40" s="34"/>
      <c r="V40" s="3"/>
      <c r="W40" s="4"/>
      <c r="X40" s="4"/>
      <c r="Y40" s="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155"/>
      <c r="AR40" s="74"/>
      <c r="AS40" s="74"/>
      <c r="AT40" s="40"/>
      <c r="AU40" s="40"/>
      <c r="AV40" s="40"/>
      <c r="AW40" s="40"/>
      <c r="AX40" s="34"/>
      <c r="AY40" s="34"/>
      <c r="AZ40" s="74"/>
      <c r="BA40" s="40"/>
      <c r="BB40" s="40"/>
      <c r="BC40" s="40"/>
      <c r="BD40" s="40"/>
      <c r="BE40" s="40"/>
      <c r="BF40" s="34"/>
      <c r="BG40" s="34"/>
    </row>
    <row r="41" spans="1:59" ht="28" customHeight="1" x14ac:dyDescent="0.3">
      <c r="A41" s="1234"/>
      <c r="B41" s="1235"/>
      <c r="C41" s="1235"/>
      <c r="D41" s="40"/>
      <c r="P41" s="34"/>
      <c r="S41" s="34"/>
      <c r="T41" s="34"/>
      <c r="U41" s="34"/>
      <c r="V41" s="5"/>
      <c r="W41" s="6"/>
      <c r="X41" s="6"/>
      <c r="Y41" s="6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155"/>
      <c r="AR41" s="74"/>
      <c r="AS41" s="74"/>
      <c r="AT41" s="74"/>
      <c r="AU41" s="74"/>
      <c r="AV41" s="74"/>
      <c r="AW41" s="74"/>
      <c r="AX41" s="34"/>
      <c r="AY41" s="34"/>
      <c r="AZ41" s="74"/>
      <c r="BA41" s="156"/>
      <c r="BB41" s="156"/>
      <c r="BC41" s="156"/>
      <c r="BD41" s="156"/>
      <c r="BE41" s="156"/>
      <c r="BF41" s="34"/>
      <c r="BG41" s="34"/>
    </row>
    <row r="42" spans="1:59" ht="13" customHeight="1" x14ac:dyDescent="0.3">
      <c r="A42" s="1234"/>
      <c r="B42" s="1235"/>
      <c r="C42" s="1235"/>
      <c r="D42" s="40"/>
      <c r="P42" s="34"/>
      <c r="S42" s="34"/>
      <c r="T42" s="34"/>
      <c r="U42" s="34"/>
      <c r="V42" s="3"/>
      <c r="W42" s="4"/>
      <c r="X42" s="4"/>
      <c r="Y42" s="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155"/>
      <c r="AR42" s="34"/>
      <c r="AS42" s="34"/>
      <c r="AT42" s="34"/>
      <c r="AU42" s="34"/>
      <c r="AV42" s="34"/>
      <c r="AW42" s="34"/>
      <c r="AX42" s="34"/>
      <c r="AY42" s="34"/>
      <c r="AZ42" s="74"/>
      <c r="BA42" s="124"/>
      <c r="BB42" s="74"/>
      <c r="BC42" s="74"/>
      <c r="BD42" s="74"/>
      <c r="BE42" s="34"/>
      <c r="BF42" s="34"/>
      <c r="BG42" s="34"/>
    </row>
    <row r="43" spans="1:59" ht="12" customHeight="1" x14ac:dyDescent="0.3">
      <c r="A43" s="1234"/>
      <c r="B43" s="1235"/>
      <c r="C43" s="1235"/>
      <c r="D43" s="40"/>
      <c r="P43" s="34"/>
      <c r="Q43" s="34"/>
      <c r="S43" s="34"/>
      <c r="T43" s="34"/>
      <c r="U43" s="34"/>
      <c r="V43" s="3"/>
      <c r="W43" s="4"/>
      <c r="X43" s="4"/>
      <c r="Y43" s="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155"/>
      <c r="AR43" s="34"/>
      <c r="AS43" s="34"/>
      <c r="AT43" s="34"/>
      <c r="AU43" s="34"/>
      <c r="AV43" s="34"/>
      <c r="AW43" s="34"/>
      <c r="AX43" s="34"/>
      <c r="AY43" s="34"/>
      <c r="AZ43" s="34"/>
      <c r="BA43" s="40"/>
      <c r="BB43" s="34"/>
      <c r="BC43" s="34"/>
      <c r="BD43" s="34"/>
      <c r="BE43" s="34"/>
      <c r="BF43" s="34"/>
      <c r="BG43" s="34"/>
    </row>
    <row r="44" spans="1:59" ht="15.5" x14ac:dyDescent="0.3">
      <c r="A44" s="1234"/>
      <c r="B44" s="1235"/>
      <c r="C44" s="1235"/>
      <c r="D44" s="40"/>
      <c r="P44" s="34"/>
      <c r="Q44" s="34"/>
      <c r="R44" s="34"/>
      <c r="S44" s="34"/>
      <c r="T44" s="34"/>
      <c r="U44" s="34"/>
      <c r="V44" s="3"/>
      <c r="W44" s="4"/>
      <c r="X44" s="4"/>
      <c r="Y44" s="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40"/>
      <c r="BB44" s="34"/>
      <c r="BC44" s="34"/>
      <c r="BD44" s="34"/>
      <c r="BE44" s="34"/>
      <c r="BF44" s="34"/>
      <c r="BG44" s="34"/>
    </row>
    <row r="45" spans="1:59" ht="15.5" x14ac:dyDescent="0.3">
      <c r="A45" s="1234"/>
      <c r="B45" s="1235"/>
      <c r="C45" s="1235"/>
      <c r="D45" s="40"/>
      <c r="P45" s="34"/>
      <c r="Q45" s="34"/>
      <c r="R45" s="34"/>
      <c r="S45" s="34"/>
      <c r="T45" s="34"/>
      <c r="U45" s="34"/>
      <c r="V45" s="3"/>
      <c r="W45" s="4"/>
      <c r="X45" s="4"/>
      <c r="Y45" s="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</row>
    <row r="46" spans="1:59" ht="15.5" x14ac:dyDescent="0.3">
      <c r="A46" s="1234"/>
      <c r="B46" s="1235"/>
      <c r="C46" s="1235"/>
      <c r="D46" s="40"/>
      <c r="P46" s="34"/>
      <c r="Q46" s="34"/>
      <c r="R46" s="34"/>
      <c r="S46" s="34"/>
      <c r="T46" s="34"/>
      <c r="U46" s="34"/>
      <c r="V46" s="3"/>
      <c r="W46" s="4"/>
      <c r="X46" s="4"/>
      <c r="Y46" s="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</row>
    <row r="47" spans="1:59" ht="15.5" x14ac:dyDescent="0.3">
      <c r="A47" s="1234"/>
      <c r="B47" s="1235"/>
      <c r="C47" s="1235"/>
      <c r="D47" s="40"/>
      <c r="P47" s="34"/>
      <c r="Q47" s="34"/>
      <c r="R47" s="34"/>
      <c r="S47" s="34"/>
      <c r="T47" s="34"/>
      <c r="U47" s="34"/>
      <c r="V47" s="3"/>
      <c r="W47" s="4"/>
      <c r="X47" s="4"/>
      <c r="Y47" s="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</row>
    <row r="48" spans="1:59" ht="15.5" x14ac:dyDescent="0.3">
      <c r="A48" s="1234"/>
      <c r="B48" s="1235"/>
      <c r="C48" s="1235"/>
      <c r="D48" s="40"/>
      <c r="P48" s="34"/>
      <c r="Q48" s="34"/>
      <c r="R48" s="34"/>
      <c r="S48" s="34"/>
      <c r="T48" s="34"/>
      <c r="U48" s="34"/>
      <c r="V48" s="3"/>
      <c r="W48" s="4"/>
      <c r="X48" s="4"/>
      <c r="Y48" s="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</row>
    <row r="49" spans="1:59" ht="15.5" x14ac:dyDescent="0.3">
      <c r="A49" s="1234"/>
      <c r="B49" s="1235"/>
      <c r="C49" s="1235"/>
      <c r="D49" s="40"/>
      <c r="P49" s="34"/>
      <c r="Q49" s="34"/>
      <c r="R49" s="34"/>
      <c r="S49" s="34"/>
      <c r="T49" s="34"/>
      <c r="U49" s="34"/>
      <c r="V49" s="3"/>
      <c r="W49" s="4"/>
      <c r="X49" s="4"/>
      <c r="Y49" s="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</row>
    <row r="50" spans="1:59" ht="15.5" x14ac:dyDescent="0.3">
      <c r="A50" s="1234"/>
      <c r="B50" s="1235"/>
      <c r="C50" s="1235"/>
      <c r="D50" s="40"/>
      <c r="P50" s="34"/>
      <c r="Q50" s="34"/>
      <c r="R50" s="34"/>
      <c r="S50" s="34"/>
      <c r="T50" s="34"/>
      <c r="U50" s="34"/>
      <c r="V50" s="3"/>
      <c r="W50" s="4"/>
      <c r="X50" s="4"/>
      <c r="Y50" s="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</row>
    <row r="51" spans="1:59" ht="15.5" x14ac:dyDescent="0.3">
      <c r="A51" s="1234"/>
      <c r="B51" s="1235"/>
      <c r="C51" s="1235"/>
      <c r="D51" s="40"/>
      <c r="P51" s="34"/>
      <c r="Q51" s="34"/>
      <c r="R51" s="34"/>
      <c r="S51" s="34"/>
      <c r="T51" s="34"/>
      <c r="U51" s="34"/>
      <c r="V51" s="3"/>
      <c r="W51" s="4"/>
      <c r="X51" s="4"/>
      <c r="Y51" s="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</row>
    <row r="52" spans="1:59" ht="15.5" x14ac:dyDescent="0.3">
      <c r="A52" s="1234"/>
      <c r="B52" s="1235"/>
      <c r="C52" s="1235"/>
      <c r="D52" s="40"/>
      <c r="P52" s="34"/>
      <c r="Q52" s="34"/>
      <c r="R52" s="34"/>
      <c r="S52" s="34"/>
      <c r="T52" s="34"/>
      <c r="U52" s="34"/>
      <c r="V52" s="3"/>
      <c r="W52" s="4"/>
      <c r="X52" s="4"/>
      <c r="Y52" s="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</row>
    <row r="53" spans="1:59" ht="15.5" x14ac:dyDescent="0.3">
      <c r="A53" s="1234"/>
      <c r="B53" s="1235"/>
      <c r="C53" s="1235"/>
      <c r="D53" s="40"/>
      <c r="P53" s="34"/>
      <c r="Q53" s="34"/>
      <c r="R53" s="34"/>
      <c r="S53" s="34"/>
      <c r="T53" s="34"/>
      <c r="U53" s="34"/>
      <c r="V53" s="3"/>
      <c r="W53" s="4"/>
      <c r="X53" s="4"/>
      <c r="Y53" s="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</row>
    <row r="54" spans="1:59" ht="15.5" x14ac:dyDescent="0.3">
      <c r="A54" s="1234"/>
      <c r="B54" s="1235"/>
      <c r="C54" s="1235"/>
      <c r="D54" s="40"/>
      <c r="P54" s="34"/>
      <c r="Q54" s="34"/>
      <c r="R54" s="34"/>
      <c r="S54" s="34"/>
      <c r="T54" s="34"/>
      <c r="U54" s="34"/>
      <c r="V54" s="3"/>
      <c r="W54" s="4"/>
      <c r="X54" s="4"/>
      <c r="Y54" s="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</row>
    <row r="55" spans="1:59" ht="15.5" x14ac:dyDescent="0.3">
      <c r="A55" s="1234"/>
      <c r="B55" s="1235"/>
      <c r="C55" s="1235"/>
      <c r="D55" s="40"/>
      <c r="P55" s="34"/>
      <c r="Q55" s="34"/>
      <c r="R55" s="34"/>
      <c r="S55" s="34"/>
      <c r="T55" s="34"/>
      <c r="U55" s="34"/>
      <c r="V55" s="3"/>
      <c r="W55" s="4"/>
      <c r="X55" s="4"/>
      <c r="Y55" s="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</row>
    <row r="56" spans="1:59" ht="15.5" x14ac:dyDescent="0.3">
      <c r="A56" s="1234"/>
      <c r="B56" s="1235"/>
      <c r="C56" s="1235"/>
      <c r="D56" s="40"/>
      <c r="P56" s="34"/>
      <c r="Q56" s="34"/>
      <c r="R56" s="34"/>
      <c r="S56" s="34"/>
      <c r="T56" s="34"/>
      <c r="U56" s="34"/>
      <c r="V56" s="3"/>
      <c r="W56" s="4"/>
      <c r="X56" s="4"/>
      <c r="Y56" s="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</row>
    <row r="57" spans="1:59" ht="15.5" x14ac:dyDescent="0.3">
      <c r="A57" s="1234"/>
      <c r="B57" s="1235"/>
      <c r="C57" s="1235"/>
      <c r="D57" s="40"/>
      <c r="P57" s="34"/>
      <c r="Q57" s="34"/>
      <c r="R57" s="34"/>
      <c r="S57" s="34"/>
      <c r="T57" s="34"/>
      <c r="U57" s="34"/>
      <c r="V57" s="5"/>
      <c r="W57" s="6"/>
      <c r="X57" s="6"/>
      <c r="Y57" s="6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</row>
    <row r="58" spans="1:59" ht="15.5" x14ac:dyDescent="0.3">
      <c r="A58" s="1234"/>
      <c r="B58" s="1235"/>
      <c r="C58" s="1235"/>
      <c r="D58" s="40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</row>
    <row r="59" spans="1:59" ht="15.5" x14ac:dyDescent="0.3">
      <c r="A59" s="1234"/>
      <c r="B59" s="1235"/>
      <c r="C59" s="1235"/>
      <c r="D59" s="40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</row>
    <row r="60" spans="1:59" ht="15.5" x14ac:dyDescent="0.3">
      <c r="A60" s="1234"/>
      <c r="B60" s="1235"/>
      <c r="C60" s="1235"/>
      <c r="D60" s="40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</row>
    <row r="61" spans="1:59" ht="15.5" x14ac:dyDescent="0.3">
      <c r="A61" s="1234"/>
      <c r="B61" s="1235"/>
      <c r="C61" s="1235"/>
      <c r="D61" s="40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</row>
    <row r="62" spans="1:59" ht="15.5" x14ac:dyDescent="0.3">
      <c r="A62" s="1234"/>
      <c r="B62" s="1235"/>
      <c r="C62" s="1235"/>
      <c r="D62" s="40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</row>
    <row r="63" spans="1:59" x14ac:dyDescent="0.3"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</row>
    <row r="64" spans="1:59" x14ac:dyDescent="0.3"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</row>
    <row r="65" spans="17:59" x14ac:dyDescent="0.3"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</row>
    <row r="66" spans="17:59" x14ac:dyDescent="0.3"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</row>
    <row r="67" spans="17:59" x14ac:dyDescent="0.3">
      <c r="AZ67" s="34"/>
      <c r="BA67" s="34"/>
      <c r="BB67" s="34"/>
      <c r="BC67" s="34"/>
      <c r="BD67" s="34"/>
      <c r="BE67" s="34"/>
      <c r="BF67" s="34"/>
      <c r="BG67" s="34"/>
    </row>
  </sheetData>
  <sheetProtection password="B39D" sheet="1" formatCells="0" formatColumns="0" formatRows="0"/>
  <protectedRanges>
    <protectedRange sqref="M2:N4" name="Rango1_1_1_1"/>
  </protectedRanges>
  <mergeCells count="101">
    <mergeCell ref="P32:P33"/>
    <mergeCell ref="P30:Q30"/>
    <mergeCell ref="Q32:Q33"/>
    <mergeCell ref="S6:Y6"/>
    <mergeCell ref="S7:Y7"/>
    <mergeCell ref="S8:Y8"/>
    <mergeCell ref="C30:O31"/>
    <mergeCell ref="A14:G14"/>
    <mergeCell ref="H14:O14"/>
    <mergeCell ref="I7:J7"/>
    <mergeCell ref="K7:N7"/>
    <mergeCell ref="K8:N8"/>
    <mergeCell ref="A11:C11"/>
    <mergeCell ref="E11:O11"/>
    <mergeCell ref="A12:E13"/>
    <mergeCell ref="F12:G13"/>
    <mergeCell ref="H12:H13"/>
    <mergeCell ref="I12:J13"/>
    <mergeCell ref="I16:J16"/>
    <mergeCell ref="A17:D17"/>
    <mergeCell ref="F17:G17"/>
    <mergeCell ref="H17:O17"/>
    <mergeCell ref="A18:G18"/>
    <mergeCell ref="H18:O18"/>
    <mergeCell ref="A1:B5"/>
    <mergeCell ref="C1:O3"/>
    <mergeCell ref="C4:L4"/>
    <mergeCell ref="M4:O4"/>
    <mergeCell ref="C5:O5"/>
    <mergeCell ref="K12:M12"/>
    <mergeCell ref="AN14:AY14"/>
    <mergeCell ref="AN15:AS15"/>
    <mergeCell ref="AT15:AY15"/>
    <mergeCell ref="N12:O12"/>
    <mergeCell ref="P13:P14"/>
    <mergeCell ref="S14:AM14"/>
    <mergeCell ref="S15:Y15"/>
    <mergeCell ref="Z15:AF15"/>
    <mergeCell ref="AG15:AM15"/>
    <mergeCell ref="A15:D15"/>
    <mergeCell ref="F15:G15"/>
    <mergeCell ref="I15:J15"/>
    <mergeCell ref="N15:O15"/>
    <mergeCell ref="N19:O19"/>
    <mergeCell ref="A20:D20"/>
    <mergeCell ref="F20:G20"/>
    <mergeCell ref="I20:J20"/>
    <mergeCell ref="A19:C19"/>
    <mergeCell ref="D19:E19"/>
    <mergeCell ref="F19:G19"/>
    <mergeCell ref="I19:J19"/>
    <mergeCell ref="K19:M19"/>
    <mergeCell ref="A44:C44"/>
    <mergeCell ref="F27:G27"/>
    <mergeCell ref="A21:D21"/>
    <mergeCell ref="F21:G21"/>
    <mergeCell ref="I21:J21"/>
    <mergeCell ref="A22:D22"/>
    <mergeCell ref="F22:G22"/>
    <mergeCell ref="A23:D23"/>
    <mergeCell ref="F23:G23"/>
    <mergeCell ref="I23:J23"/>
    <mergeCell ref="A24:D24"/>
    <mergeCell ref="F24:G24"/>
    <mergeCell ref="A25:D25"/>
    <mergeCell ref="F25:G25"/>
    <mergeCell ref="A26:G26"/>
    <mergeCell ref="A52:C52"/>
    <mergeCell ref="A46:C46"/>
    <mergeCell ref="A47:C47"/>
    <mergeCell ref="A48:C48"/>
    <mergeCell ref="A49:C49"/>
    <mergeCell ref="A50:C50"/>
    <mergeCell ref="A51:C51"/>
    <mergeCell ref="F28:G28"/>
    <mergeCell ref="I28:J28"/>
    <mergeCell ref="B32:O33"/>
    <mergeCell ref="N28:O28"/>
    <mergeCell ref="A29:E29"/>
    <mergeCell ref="F29:G29"/>
    <mergeCell ref="N29:O29"/>
    <mergeCell ref="A45:C45"/>
    <mergeCell ref="A30:B30"/>
    <mergeCell ref="A34:O34"/>
    <mergeCell ref="A35:O35"/>
    <mergeCell ref="A36:O37"/>
    <mergeCell ref="A39:C39"/>
    <mergeCell ref="A40:C40"/>
    <mergeCell ref="A41:C41"/>
    <mergeCell ref="A42:C42"/>
    <mergeCell ref="A43:C43"/>
    <mergeCell ref="A58:C58"/>
    <mergeCell ref="A59:C59"/>
    <mergeCell ref="A60:C60"/>
    <mergeCell ref="A61:C61"/>
    <mergeCell ref="A62:C62"/>
    <mergeCell ref="A53:C53"/>
    <mergeCell ref="A54:C54"/>
    <mergeCell ref="A55:C55"/>
    <mergeCell ref="A56:C56"/>
    <mergeCell ref="A57:C57"/>
  </mergeCells>
  <dataValidations count="2">
    <dataValidation type="list" allowBlank="1" showInputMessage="1" showErrorMessage="1" sqref="O7" xr:uid="{00000000-0002-0000-0100-000000000000}">
      <formula1>$AK$5:$AK$6</formula1>
    </dataValidation>
    <dataValidation type="list" allowBlank="1" showInputMessage="1" showErrorMessage="1" sqref="Q35" xr:uid="{00000000-0002-0000-0100-000001000000}">
      <formula1>aprobonombres</formula1>
    </dataValidation>
  </dataValidations>
  <printOptions horizontalCentered="1"/>
  <pageMargins left="0.59055118110236227" right="0.39370078740157483" top="0.59055118110236227" bottom="0.59055118110236227" header="0" footer="0.19685039370078741"/>
  <pageSetup paperSize="9" pageOrder="overThenDown" orientation="portrait" r:id="rId1"/>
  <headerFooter scaleWithDoc="0">
    <oddFooter>&amp;L&amp;6Calle 26 No.69-76 Edificio Elemento Torre 1, Piso 3 – C.P. 111071
PBX: 3779555 – Información: Línea 195
Sede Operativa - Atención al Ciudadano: Calle 22D No. 120-40
www.umv.gov.co&amp;C&amp;6Página 1 de 1</oddFooter>
  </headerFooter>
  <ignoredErrors>
    <ignoredError sqref="P8 E11" unlockedFormula="1"/>
    <ignoredError sqref="P24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0"/>
  </sheetPr>
  <dimension ref="A1:BH33"/>
  <sheetViews>
    <sheetView showGridLines="0" view="pageBreakPreview" zoomScaleSheetLayoutView="100" workbookViewId="0">
      <selection activeCell="C16" sqref="C16:D16"/>
    </sheetView>
  </sheetViews>
  <sheetFormatPr baseColWidth="10" defaultColWidth="11.453125" defaultRowHeight="13" x14ac:dyDescent="0.3"/>
  <cols>
    <col min="1" max="1" width="6.453125" style="120" customWidth="1"/>
    <col min="2" max="2" width="7" style="120" customWidth="1"/>
    <col min="3" max="3" width="6" style="120" customWidth="1"/>
    <col min="4" max="4" width="5.1796875" style="120" customWidth="1"/>
    <col min="5" max="5" width="6.1796875" style="120" customWidth="1"/>
    <col min="6" max="6" width="4.1796875" style="120" customWidth="1"/>
    <col min="7" max="7" width="5" style="120" customWidth="1"/>
    <col min="8" max="8" width="7.1796875" style="120" customWidth="1"/>
    <col min="9" max="9" width="4.7265625" style="120" customWidth="1"/>
    <col min="10" max="10" width="6.7265625" style="120" customWidth="1"/>
    <col min="11" max="12" width="8.26953125" style="120" customWidth="1"/>
    <col min="13" max="13" width="7.7265625" style="120" customWidth="1"/>
    <col min="14" max="14" width="5" style="120" customWidth="1"/>
    <col min="15" max="15" width="6" style="120" customWidth="1"/>
    <col min="16" max="16" width="15" style="120" customWidth="1"/>
    <col min="17" max="17" width="8" style="120" customWidth="1"/>
    <col min="18" max="18" width="6" style="120" customWidth="1"/>
    <col min="19" max="19" width="11" style="120" customWidth="1"/>
    <col min="20" max="20" width="22.1796875" style="120" customWidth="1"/>
    <col min="21" max="21" width="17.1796875" style="120" customWidth="1"/>
    <col min="22" max="22" width="11.453125" style="120" customWidth="1"/>
    <col min="23" max="26" width="11.453125" style="120"/>
    <col min="27" max="27" width="6.26953125" style="120" customWidth="1"/>
    <col min="28" max="28" width="18.81640625" style="120" customWidth="1"/>
    <col min="29" max="16384" width="11.453125" style="120"/>
  </cols>
  <sheetData>
    <row r="1" spans="1:60" ht="15" customHeight="1" x14ac:dyDescent="0.3">
      <c r="A1" s="1424"/>
      <c r="B1" s="1425"/>
      <c r="C1" s="1426"/>
      <c r="D1" s="1281" t="s">
        <v>494</v>
      </c>
      <c r="E1" s="1282"/>
      <c r="F1" s="1282"/>
      <c r="G1" s="1282"/>
      <c r="H1" s="1282"/>
      <c r="I1" s="1282"/>
      <c r="J1" s="1282"/>
      <c r="K1" s="1282"/>
      <c r="L1" s="1282"/>
      <c r="M1" s="1282"/>
      <c r="N1" s="1282"/>
      <c r="O1" s="1283"/>
      <c r="P1" s="528"/>
      <c r="Q1" s="528"/>
      <c r="R1" s="528"/>
      <c r="S1" s="157"/>
      <c r="Z1" s="82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</row>
    <row r="2" spans="1:60" ht="15" customHeight="1" x14ac:dyDescent="0.3">
      <c r="A2" s="1427"/>
      <c r="B2" s="1428"/>
      <c r="C2" s="1429"/>
      <c r="D2" s="1284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6"/>
      <c r="P2" s="528"/>
      <c r="Q2" s="528"/>
      <c r="R2" s="528"/>
      <c r="S2" s="151"/>
      <c r="T2" s="190"/>
      <c r="U2" s="190"/>
      <c r="V2" s="190"/>
      <c r="Z2" s="82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</row>
    <row r="3" spans="1:60" ht="15" customHeight="1" x14ac:dyDescent="0.3">
      <c r="A3" s="1427"/>
      <c r="B3" s="1428"/>
      <c r="C3" s="1429"/>
      <c r="D3" s="1433"/>
      <c r="E3" s="1434"/>
      <c r="F3" s="1434"/>
      <c r="G3" s="1434"/>
      <c r="H3" s="1434"/>
      <c r="I3" s="1434"/>
      <c r="J3" s="1434"/>
      <c r="K3" s="1434"/>
      <c r="L3" s="1434"/>
      <c r="M3" s="1434"/>
      <c r="N3" s="1434"/>
      <c r="O3" s="1435"/>
      <c r="P3" s="528"/>
      <c r="Q3" s="528"/>
      <c r="R3" s="528"/>
      <c r="S3" s="151"/>
      <c r="T3" s="1093" t="str">
        <f>A17</f>
        <v>Solvente utilizado:</v>
      </c>
      <c r="U3" s="1436" t="s">
        <v>224</v>
      </c>
      <c r="V3" s="1437"/>
      <c r="Z3" s="82"/>
      <c r="AA3" s="34"/>
      <c r="AB3" s="34"/>
      <c r="AC3" s="83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</row>
    <row r="4" spans="1:60" ht="15" customHeight="1" x14ac:dyDescent="0.3">
      <c r="A4" s="1427"/>
      <c r="B4" s="1428"/>
      <c r="C4" s="1429"/>
      <c r="D4" s="1438" t="s">
        <v>202</v>
      </c>
      <c r="E4" s="1439"/>
      <c r="F4" s="1439"/>
      <c r="G4" s="1439"/>
      <c r="H4" s="1439"/>
      <c r="I4" s="1439"/>
      <c r="J4" s="1439"/>
      <c r="K4" s="1439"/>
      <c r="L4" s="1440"/>
      <c r="M4" s="1438" t="s">
        <v>495</v>
      </c>
      <c r="N4" s="1439"/>
      <c r="O4" s="1440"/>
      <c r="P4" s="557"/>
      <c r="Q4" s="557"/>
      <c r="R4" s="557"/>
      <c r="S4" s="158"/>
      <c r="T4" s="236" t="s">
        <v>19</v>
      </c>
      <c r="U4" s="1094">
        <v>1</v>
      </c>
      <c r="V4" s="258" t="str">
        <f>IF('3. Extracción'!P13="","",IF('3. Extracción'!P13="cumple",0,1))</f>
        <v/>
      </c>
      <c r="Z4" s="193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</row>
    <row r="5" spans="1:60" ht="15" customHeight="1" x14ac:dyDescent="0.3">
      <c r="A5" s="1430"/>
      <c r="B5" s="1431"/>
      <c r="C5" s="1432"/>
      <c r="D5" s="1438" t="s">
        <v>496</v>
      </c>
      <c r="E5" s="1439"/>
      <c r="F5" s="1439"/>
      <c r="G5" s="1439"/>
      <c r="H5" s="1439"/>
      <c r="I5" s="1439"/>
      <c r="J5" s="1439"/>
      <c r="K5" s="1439"/>
      <c r="L5" s="1439"/>
      <c r="M5" s="1439"/>
      <c r="N5" s="1439"/>
      <c r="O5" s="1440"/>
      <c r="P5" s="557"/>
      <c r="Q5" s="557"/>
      <c r="R5" s="557"/>
      <c r="S5" s="158"/>
      <c r="T5" s="236" t="s">
        <v>120</v>
      </c>
      <c r="U5" s="1095">
        <v>2</v>
      </c>
      <c r="V5" s="259" t="str">
        <f>IF('3. Extracción'!P14="","",IF('3. Extracción'!P14="cumple",0,1))</f>
        <v/>
      </c>
      <c r="Z5" s="513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</row>
    <row r="6" spans="1:60" ht="15" customHeight="1" x14ac:dyDescent="0.3">
      <c r="A6" s="631"/>
      <c r="B6" s="632"/>
      <c r="C6" s="632"/>
      <c r="D6" s="632"/>
      <c r="E6" s="653"/>
      <c r="F6" s="653"/>
      <c r="G6" s="653"/>
      <c r="H6" s="653"/>
      <c r="I6" s="653"/>
      <c r="J6" s="653"/>
      <c r="K6" s="632"/>
      <c r="L6" s="632"/>
      <c r="M6" s="653"/>
      <c r="N6" s="653"/>
      <c r="O6" s="654"/>
      <c r="P6" s="653"/>
      <c r="Q6" s="653"/>
      <c r="R6" s="1416" t="s">
        <v>305</v>
      </c>
      <c r="S6" s="1417"/>
      <c r="T6" s="236" t="s">
        <v>118</v>
      </c>
      <c r="U6" s="1095">
        <v>3</v>
      </c>
      <c r="V6" s="259" t="str">
        <f>IF('3. Extracción'!P15="","",IF('3. Extracción'!P15="cumple",0,1))</f>
        <v/>
      </c>
      <c r="Z6" s="72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</row>
    <row r="7" spans="1:60" ht="15" customHeight="1" x14ac:dyDescent="0.3">
      <c r="A7" s="635"/>
      <c r="B7" s="636"/>
      <c r="C7" s="636"/>
      <c r="D7" s="636"/>
      <c r="E7" s="655"/>
      <c r="F7" s="655"/>
      <c r="G7" s="655"/>
      <c r="H7" s="655"/>
      <c r="I7" s="1208" t="s">
        <v>55</v>
      </c>
      <c r="J7" s="1208"/>
      <c r="K7" s="1418" t="str">
        <f>+IF('1. Encabezado'!S7="","",'1. Encabezado'!S7)</f>
        <v/>
      </c>
      <c r="L7" s="1418"/>
      <c r="M7" s="1418"/>
      <c r="N7" s="1418"/>
      <c r="O7" s="656"/>
      <c r="P7" s="655"/>
      <c r="Q7" s="655"/>
      <c r="R7" s="1419" t="s">
        <v>306</v>
      </c>
      <c r="S7" s="1420"/>
      <c r="T7" s="1096" t="s">
        <v>119</v>
      </c>
      <c r="U7" s="1097" t="s">
        <v>225</v>
      </c>
      <c r="V7" s="260" t="str">
        <f>IF(V4="","",SUM(V4:V6))</f>
        <v/>
      </c>
      <c r="Z7" s="152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</row>
    <row r="8" spans="1:60" ht="15" customHeight="1" x14ac:dyDescent="0.3">
      <c r="A8" s="635"/>
      <c r="B8" s="636"/>
      <c r="C8" s="636"/>
      <c r="D8" s="636"/>
      <c r="E8" s="638"/>
      <c r="F8" s="638"/>
      <c r="G8" s="638"/>
      <c r="H8" s="638"/>
      <c r="I8" s="560"/>
      <c r="J8" s="1421" t="str">
        <f>IF(K7="",R11,CONCATENATE(R7," ",R8," ",R9," ", R10))</f>
        <v>Pagina xx de xx</v>
      </c>
      <c r="K8" s="1421"/>
      <c r="L8" s="1421"/>
      <c r="M8" s="1421"/>
      <c r="N8" s="1421"/>
      <c r="O8" s="657"/>
      <c r="P8" s="658"/>
      <c r="Q8" s="658"/>
      <c r="R8" s="1422" t="str">
        <f>+IF(K7="","",3)</f>
        <v/>
      </c>
      <c r="S8" s="1423"/>
      <c r="T8" s="34"/>
      <c r="U8" s="261"/>
      <c r="V8" s="261"/>
      <c r="Z8" s="7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</row>
    <row r="9" spans="1:60" ht="15" customHeight="1" x14ac:dyDescent="0.3">
      <c r="A9" s="635"/>
      <c r="B9" s="636"/>
      <c r="C9" s="636"/>
      <c r="D9" s="636"/>
      <c r="E9" s="638"/>
      <c r="F9" s="638"/>
      <c r="G9" s="638"/>
      <c r="H9" s="638"/>
      <c r="I9" s="638"/>
      <c r="J9" s="638"/>
      <c r="K9" s="641"/>
      <c r="L9" s="641"/>
      <c r="M9" s="658"/>
      <c r="N9" s="658"/>
      <c r="O9" s="657"/>
      <c r="P9" s="658"/>
      <c r="Q9" s="658"/>
      <c r="R9" s="1334" t="s">
        <v>307</v>
      </c>
      <c r="S9" s="1399"/>
      <c r="T9" s="34" t="s">
        <v>314</v>
      </c>
      <c r="U9" s="190"/>
      <c r="V9" s="190"/>
      <c r="Z9" s="73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</row>
    <row r="10" spans="1:60" ht="30" customHeight="1" x14ac:dyDescent="0.3">
      <c r="A10" s="659"/>
      <c r="B10" s="660"/>
      <c r="C10" s="660"/>
      <c r="D10" s="660"/>
      <c r="E10" s="661"/>
      <c r="F10" s="661"/>
      <c r="G10" s="661"/>
      <c r="H10" s="661"/>
      <c r="I10" s="661"/>
      <c r="J10" s="661"/>
      <c r="K10" s="660"/>
      <c r="L10" s="660"/>
      <c r="M10" s="662"/>
      <c r="N10" s="662"/>
      <c r="O10" s="663"/>
      <c r="P10" s="658"/>
      <c r="Q10" s="658"/>
      <c r="R10" s="566" t="str">
        <f>+'1. Encabezado'!AB10</f>
        <v/>
      </c>
      <c r="S10" s="958"/>
      <c r="T10" s="190" t="s">
        <v>315</v>
      </c>
      <c r="U10" s="190"/>
      <c r="V10" s="190"/>
      <c r="Z10" s="73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</row>
    <row r="11" spans="1:60" ht="30" customHeight="1" x14ac:dyDescent="0.3">
      <c r="A11" s="1400" t="s">
        <v>31</v>
      </c>
      <c r="B11" s="1402" t="s">
        <v>51</v>
      </c>
      <c r="C11" s="1404" t="s">
        <v>201</v>
      </c>
      <c r="D11" s="1405"/>
      <c r="E11" s="1405" t="s">
        <v>83</v>
      </c>
      <c r="F11" s="1405"/>
      <c r="G11" s="1405" t="s">
        <v>84</v>
      </c>
      <c r="H11" s="1405"/>
      <c r="I11" s="1405" t="s">
        <v>85</v>
      </c>
      <c r="J11" s="1405"/>
      <c r="K11" s="1408" t="s">
        <v>170</v>
      </c>
      <c r="L11" s="1408"/>
      <c r="M11" s="1409" t="s">
        <v>11</v>
      </c>
      <c r="N11" s="1409"/>
      <c r="O11" s="1409"/>
      <c r="P11" s="1408" t="s">
        <v>226</v>
      </c>
      <c r="Q11" s="1410"/>
      <c r="R11" s="1092" t="s">
        <v>308</v>
      </c>
      <c r="S11" s="959"/>
      <c r="T11" s="190"/>
      <c r="U11" s="190"/>
      <c r="V11" s="190"/>
      <c r="Z11" s="147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</row>
    <row r="12" spans="1:60" ht="30" customHeight="1" x14ac:dyDescent="0.3">
      <c r="A12" s="1401"/>
      <c r="B12" s="1403"/>
      <c r="C12" s="1406"/>
      <c r="D12" s="1407"/>
      <c r="E12" s="1407"/>
      <c r="F12" s="1407"/>
      <c r="G12" s="1407"/>
      <c r="H12" s="1407"/>
      <c r="I12" s="1407"/>
      <c r="J12" s="1407"/>
      <c r="K12" s="1080" t="s">
        <v>171</v>
      </c>
      <c r="L12" s="1098" t="s">
        <v>172</v>
      </c>
      <c r="M12" s="1409"/>
      <c r="N12" s="1409"/>
      <c r="O12" s="1409"/>
      <c r="P12" s="1411"/>
      <c r="Q12" s="1412"/>
      <c r="R12" s="875"/>
      <c r="S12" s="154"/>
      <c r="Z12" s="147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</row>
    <row r="13" spans="1:60" ht="30" customHeight="1" x14ac:dyDescent="0.3">
      <c r="A13" s="33">
        <v>1</v>
      </c>
      <c r="B13" s="9" t="s">
        <v>46</v>
      </c>
      <c r="C13" s="1393"/>
      <c r="D13" s="1394"/>
      <c r="E13" s="1394"/>
      <c r="F13" s="1394"/>
      <c r="G13" s="1394"/>
      <c r="H13" s="1394"/>
      <c r="I13" s="1395"/>
      <c r="J13" s="1395"/>
      <c r="K13" s="514"/>
      <c r="L13" s="10"/>
      <c r="M13" s="1413" t="str">
        <f>IF('3. Extracción'!C13="","",100*((('3. Extracción'!C13-'3. Extracción'!E13)-('3. Extracción'!G13+('3. Extracción'!L13-'3. Extracción'!K13)+'3. Extracción'!I13))/('3. Extracción'!C13-'3. Extracción'!E13)))</f>
        <v/>
      </c>
      <c r="N13" s="1414"/>
      <c r="O13" s="1415"/>
      <c r="P13" s="1391" t="str">
        <f>IF('3. Extracción'!M13="","",IF(OR('3. Extracción'!M13&lt;('3. Extracción'!$M$16-0.5),'3. Extracción'!M13&gt;('3. Extracción'!$M$16+0.5)),"No Cumple","cumple"))</f>
        <v/>
      </c>
      <c r="Q13" s="1392"/>
      <c r="R13" s="876"/>
      <c r="S13" s="1099"/>
      <c r="Z13" s="149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</row>
    <row r="14" spans="1:60" ht="30" customHeight="1" x14ac:dyDescent="0.3">
      <c r="A14" s="33">
        <v>2</v>
      </c>
      <c r="B14" s="9"/>
      <c r="C14" s="1393"/>
      <c r="D14" s="1394"/>
      <c r="E14" s="1394"/>
      <c r="F14" s="1394"/>
      <c r="G14" s="1394"/>
      <c r="H14" s="1394"/>
      <c r="I14" s="1395"/>
      <c r="J14" s="1395"/>
      <c r="K14" s="514"/>
      <c r="L14" s="10"/>
      <c r="M14" s="1396" t="str">
        <f>IF('3. Extracción'!C14="","",100*((('3. Extracción'!C14-'3. Extracción'!E14)-('3. Extracción'!G14+('3. Extracción'!L14-'3. Extracción'!K14)+'3. Extracción'!I14))/('3. Extracción'!C14-'3. Extracción'!E14)))</f>
        <v/>
      </c>
      <c r="N14" s="1397"/>
      <c r="O14" s="1398"/>
      <c r="P14" s="1391" t="str">
        <f>IF('3. Extracción'!M14="","",IF(OR('3. Extracción'!M14&lt;('3. Extracción'!$M$16-0.5),'3. Extracción'!M14&gt;('3. Extracción'!$M$16+0.5)),"No Cumple","cumple"))</f>
        <v/>
      </c>
      <c r="Q14" s="1392"/>
      <c r="R14" s="876"/>
      <c r="S14" s="1099"/>
      <c r="Z14" s="149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</row>
    <row r="15" spans="1:60" ht="30" customHeight="1" x14ac:dyDescent="0.3">
      <c r="A15" s="33">
        <v>3</v>
      </c>
      <c r="B15" s="9"/>
      <c r="C15" s="1393"/>
      <c r="D15" s="1394"/>
      <c r="E15" s="1394"/>
      <c r="F15" s="1394"/>
      <c r="G15" s="1394"/>
      <c r="H15" s="1394"/>
      <c r="I15" s="1395"/>
      <c r="J15" s="1395"/>
      <c r="K15" s="514"/>
      <c r="L15" s="10"/>
      <c r="M15" s="1396" t="str">
        <f>IF('3. Extracción'!C15="","",100*((('3. Extracción'!C15-'3. Extracción'!E15)-('3. Extracción'!G15+('3. Extracción'!L15-'3. Extracción'!K15)+'3. Extracción'!I15))/('3. Extracción'!C15-'3. Extracción'!E15)))</f>
        <v/>
      </c>
      <c r="N15" s="1397"/>
      <c r="O15" s="1398"/>
      <c r="P15" s="1391" t="str">
        <f>IF('3. Extracción'!M15="","",IF(OR('3. Extracción'!M15&lt;('3. Extracción'!$M$16-0.5),'3. Extracción'!M15&gt;('3. Extracción'!$M$16+0.5)),"No Cumple","cumple"))</f>
        <v/>
      </c>
      <c r="Q15" s="1392"/>
      <c r="R15" s="877"/>
      <c r="S15" s="1100"/>
      <c r="Z15" s="149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</row>
    <row r="16" spans="1:60" ht="30" customHeight="1" x14ac:dyDescent="0.3">
      <c r="A16" s="1384" t="s">
        <v>8</v>
      </c>
      <c r="B16" s="1385"/>
      <c r="C16" s="1386" t="str">
        <f>IF('3. Extracción'!C13="","",AVERAGE('3. Extracción'!C13:D15))</f>
        <v/>
      </c>
      <c r="D16" s="1387"/>
      <c r="E16" s="1387" t="str">
        <f>IF('3. Extracción'!E13="","",AVERAGE('3. Extracción'!E13:F15))</f>
        <v/>
      </c>
      <c r="F16" s="1387"/>
      <c r="G16" s="1387" t="str">
        <f>IF('3. Extracción'!G13="","",AVERAGE('3. Extracción'!G13:H15))</f>
        <v/>
      </c>
      <c r="H16" s="1387"/>
      <c r="I16" s="1387" t="str">
        <f>IF('3. Extracción'!I13="","",AVERAGE('3. Extracción'!I13:J15))</f>
        <v/>
      </c>
      <c r="J16" s="1387"/>
      <c r="K16" s="515" t="str">
        <f>IF('3. Extracción'!K13="","",AVERAGE('3. Extracción'!K13:K15))</f>
        <v/>
      </c>
      <c r="L16" s="32" t="str">
        <f>IF('3. Extracción'!L13="","",AVERAGE('3. Extracción'!L13:L15))</f>
        <v/>
      </c>
      <c r="M16" s="1388" t="str">
        <f>IF(M13="","",AVERAGE(M13:M15))</f>
        <v/>
      </c>
      <c r="N16" s="1389"/>
      <c r="O16" s="1390"/>
      <c r="P16" s="1370"/>
      <c r="Q16" s="1371"/>
      <c r="R16" s="878"/>
      <c r="S16" s="1101"/>
      <c r="Z16" s="15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</row>
    <row r="17" spans="1:60" ht="30" customHeight="1" x14ac:dyDescent="0.3">
      <c r="A17" s="1372" t="s">
        <v>18</v>
      </c>
      <c r="B17" s="1373"/>
      <c r="C17" s="1373"/>
      <c r="D17" s="1374"/>
      <c r="E17" s="1374"/>
      <c r="F17" s="1374"/>
      <c r="G17" s="1374"/>
      <c r="H17" s="1374"/>
      <c r="I17" s="1374"/>
      <c r="J17" s="1374"/>
      <c r="K17" s="1374"/>
      <c r="L17" s="1374"/>
      <c r="M17" s="1374"/>
      <c r="N17" s="1374"/>
      <c r="O17" s="1375"/>
      <c r="P17" s="1102" t="s">
        <v>128</v>
      </c>
      <c r="Q17" s="1103" t="str">
        <f>IF(V7="","",IF(V7&gt;1,"No cumple","Cumple"))</f>
        <v/>
      </c>
      <c r="R17" s="878"/>
      <c r="S17" s="1101"/>
      <c r="Z17" s="146"/>
      <c r="AA17" s="34"/>
      <c r="AB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</row>
    <row r="18" spans="1:60" ht="30" customHeight="1" x14ac:dyDescent="0.3">
      <c r="A18" s="1104"/>
      <c r="B18" s="1081"/>
      <c r="C18" s="1081"/>
      <c r="D18" s="1105"/>
      <c r="E18" s="1105"/>
      <c r="F18" s="1105"/>
      <c r="G18" s="1105"/>
      <c r="H18" s="1105"/>
      <c r="I18" s="1105"/>
      <c r="J18" s="1105"/>
      <c r="K18" s="1105"/>
      <c r="L18" s="1105"/>
      <c r="M18" s="1105"/>
      <c r="N18" s="1105"/>
      <c r="O18" s="1106"/>
      <c r="P18" s="1102"/>
      <c r="Q18" s="1107"/>
      <c r="R18" s="40"/>
      <c r="S18" s="1101"/>
      <c r="Z18" s="146"/>
      <c r="AA18" s="34"/>
      <c r="AB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</row>
    <row r="19" spans="1:60" ht="15" customHeight="1" x14ac:dyDescent="0.3">
      <c r="A19" s="1086"/>
      <c r="B19" s="1087"/>
      <c r="C19" s="1087"/>
      <c r="D19" s="1088"/>
      <c r="E19" s="1088"/>
      <c r="F19" s="1088"/>
      <c r="G19" s="1089"/>
      <c r="H19" s="1089"/>
      <c r="I19" s="1089"/>
      <c r="J19" s="1089"/>
      <c r="K19" s="1089"/>
      <c r="L19" s="1089"/>
      <c r="M19" s="1089"/>
      <c r="N19" s="1082"/>
      <c r="O19" s="1083"/>
      <c r="P19" s="177"/>
      <c r="Q19" s="177"/>
      <c r="R19" s="40"/>
      <c r="S19" s="1101"/>
      <c r="Z19" s="75"/>
      <c r="AA19" s="34"/>
      <c r="AB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</row>
    <row r="20" spans="1:60" ht="15" customHeight="1" x14ac:dyDescent="0.3">
      <c r="A20" s="1376" t="s">
        <v>312</v>
      </c>
      <c r="B20" s="1377"/>
      <c r="C20" s="1377"/>
      <c r="D20" s="1379"/>
      <c r="E20" s="1379"/>
      <c r="F20" s="1378"/>
      <c r="G20" s="1378"/>
      <c r="H20" s="1378"/>
      <c r="I20" s="664"/>
      <c r="J20" s="665"/>
      <c r="K20" s="665"/>
      <c r="L20" s="665"/>
      <c r="M20" s="665"/>
      <c r="N20" s="666"/>
      <c r="O20" s="667"/>
      <c r="P20" s="666"/>
      <c r="Q20" s="666"/>
      <c r="R20" s="40"/>
      <c r="S20" s="1101"/>
      <c r="Z20" s="75"/>
      <c r="AA20" s="34"/>
      <c r="AB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</row>
    <row r="21" spans="1:60" ht="15" customHeight="1" x14ac:dyDescent="0.3">
      <c r="A21" s="668"/>
      <c r="B21" s="669"/>
      <c r="C21" s="669"/>
      <c r="D21" s="670"/>
      <c r="E21" s="670"/>
      <c r="F21" s="670"/>
      <c r="G21" s="671"/>
      <c r="H21" s="671"/>
      <c r="I21" s="671"/>
      <c r="J21" s="671"/>
      <c r="K21" s="671"/>
      <c r="L21" s="671"/>
      <c r="M21" s="671"/>
      <c r="N21" s="672"/>
      <c r="O21" s="673"/>
      <c r="P21" s="666"/>
      <c r="Q21" s="666"/>
      <c r="R21" s="1108"/>
      <c r="S21" s="1101"/>
      <c r="Z21" s="17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</row>
    <row r="22" spans="1:60" ht="15" customHeight="1" x14ac:dyDescent="0.3">
      <c r="A22" s="1380" t="s">
        <v>3</v>
      </c>
      <c r="B22" s="1381"/>
      <c r="C22" s="1382"/>
      <c r="D22" s="1382"/>
      <c r="E22" s="1382"/>
      <c r="F22" s="1382"/>
      <c r="G22" s="1382"/>
      <c r="H22" s="1382"/>
      <c r="I22" s="1382"/>
      <c r="J22" s="1382"/>
      <c r="K22" s="1382"/>
      <c r="L22" s="1382"/>
      <c r="M22" s="1382"/>
      <c r="N22" s="1382"/>
      <c r="O22" s="1383"/>
      <c r="P22" s="1084"/>
      <c r="Q22" s="1084"/>
      <c r="R22" s="1108"/>
      <c r="S22" s="1101"/>
      <c r="Z22" s="17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</row>
    <row r="23" spans="1:60" ht="15" customHeight="1" x14ac:dyDescent="0.3">
      <c r="A23" s="674"/>
      <c r="B23" s="675"/>
      <c r="C23" s="1084"/>
      <c r="D23" s="1084"/>
      <c r="E23" s="1084"/>
      <c r="F23" s="1084"/>
      <c r="G23" s="1084"/>
      <c r="H23" s="1084"/>
      <c r="I23" s="1084"/>
      <c r="J23" s="1084"/>
      <c r="K23" s="1084"/>
      <c r="L23" s="1084"/>
      <c r="M23" s="1084"/>
      <c r="N23" s="1084"/>
      <c r="O23" s="1085"/>
      <c r="P23" s="1084"/>
      <c r="Q23" s="1084"/>
      <c r="R23" s="1108"/>
      <c r="S23" s="1101"/>
      <c r="Z23" s="17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</row>
    <row r="24" spans="1:60" ht="15" customHeight="1" x14ac:dyDescent="0.3">
      <c r="A24" s="674"/>
      <c r="B24" s="675"/>
      <c r="C24" s="1084"/>
      <c r="D24" s="1084"/>
      <c r="E24" s="1084"/>
      <c r="F24" s="1084"/>
      <c r="G24" s="1084"/>
      <c r="H24" s="1084"/>
      <c r="I24" s="1084"/>
      <c r="J24" s="1084"/>
      <c r="K24" s="1084"/>
      <c r="L24" s="1084"/>
      <c r="M24" s="1084"/>
      <c r="N24" s="1084"/>
      <c r="O24" s="1085"/>
      <c r="P24" s="1084"/>
      <c r="Q24" s="1084"/>
      <c r="R24" s="1108"/>
      <c r="S24" s="1101"/>
      <c r="Z24" s="76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</row>
    <row r="25" spans="1:60" ht="15" customHeight="1" x14ac:dyDescent="0.3">
      <c r="A25" s="674"/>
      <c r="B25" s="675"/>
      <c r="C25" s="1084"/>
      <c r="D25" s="1084"/>
      <c r="E25" s="1084"/>
      <c r="F25" s="1084"/>
      <c r="G25" s="1084"/>
      <c r="H25" s="1084"/>
      <c r="I25" s="1084"/>
      <c r="J25" s="1084"/>
      <c r="K25" s="1084"/>
      <c r="L25" s="1084"/>
      <c r="M25" s="1084"/>
      <c r="N25" s="1084"/>
      <c r="O25" s="1085"/>
      <c r="P25" s="1084"/>
      <c r="Q25" s="1084"/>
      <c r="R25" s="1108"/>
      <c r="S25" s="1101"/>
      <c r="Z25" s="17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</row>
    <row r="26" spans="1:60" ht="15" customHeight="1" x14ac:dyDescent="0.3">
      <c r="A26" s="674"/>
      <c r="B26" s="675"/>
      <c r="C26" s="1084"/>
      <c r="D26" s="1084"/>
      <c r="E26" s="1084"/>
      <c r="F26" s="1084"/>
      <c r="G26" s="1084"/>
      <c r="H26" s="1084"/>
      <c r="I26" s="1084"/>
      <c r="J26" s="1084"/>
      <c r="K26" s="1084"/>
      <c r="L26" s="1084"/>
      <c r="M26" s="1084"/>
      <c r="N26" s="1084"/>
      <c r="O26" s="1085"/>
      <c r="P26" s="1084"/>
      <c r="Q26" s="1084"/>
      <c r="R26" s="1091"/>
      <c r="S26" s="1101"/>
      <c r="Z26" s="146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</row>
    <row r="27" spans="1:60" ht="15" customHeight="1" thickBot="1" x14ac:dyDescent="0.35">
      <c r="A27" s="1365"/>
      <c r="B27" s="1366"/>
      <c r="C27" s="1366"/>
      <c r="D27" s="1366"/>
      <c r="E27" s="1366"/>
      <c r="F27" s="1366"/>
      <c r="G27" s="1366"/>
      <c r="H27" s="1366"/>
      <c r="I27" s="1366"/>
      <c r="J27" s="1366"/>
      <c r="K27" s="1366"/>
      <c r="L27" s="1366"/>
      <c r="M27" s="1366"/>
      <c r="N27" s="1366"/>
      <c r="O27" s="1367"/>
      <c r="P27" s="1109"/>
      <c r="Q27" s="1109"/>
      <c r="R27" s="1110"/>
      <c r="S27" s="1101"/>
      <c r="Z27" s="75"/>
      <c r="AA27" s="34"/>
      <c r="AB27" s="153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</row>
    <row r="28" spans="1:60" ht="15" customHeight="1" thickTop="1" thickBot="1" x14ac:dyDescent="0.35">
      <c r="A28" s="1368" t="s">
        <v>123</v>
      </c>
      <c r="B28" s="1368"/>
      <c r="C28" s="1368"/>
      <c r="D28" s="1368"/>
      <c r="E28" s="1368"/>
      <c r="F28" s="1368"/>
      <c r="G28" s="1368"/>
      <c r="H28" s="1368"/>
      <c r="I28" s="1368"/>
      <c r="J28" s="1368"/>
      <c r="K28" s="1368"/>
      <c r="L28" s="1368"/>
      <c r="M28" s="1368"/>
      <c r="N28" s="1368"/>
      <c r="O28" s="1368"/>
      <c r="P28" s="627"/>
      <c r="Q28" s="627"/>
      <c r="R28" s="513"/>
      <c r="S28" s="1101"/>
      <c r="Z28" s="1090"/>
      <c r="AA28" s="34"/>
      <c r="AB28" s="160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</row>
    <row r="29" spans="1:60" ht="15" customHeight="1" thickTop="1" x14ac:dyDescent="0.3">
      <c r="A29" s="1111"/>
      <c r="B29" s="1111"/>
      <c r="C29" s="1111"/>
      <c r="D29" s="1111"/>
      <c r="E29" s="1111"/>
      <c r="F29" s="1111"/>
      <c r="G29" s="1111"/>
      <c r="H29" s="1111"/>
      <c r="I29" s="1111"/>
      <c r="J29" s="1111"/>
      <c r="K29" s="1111"/>
      <c r="L29" s="1111"/>
      <c r="M29" s="1111"/>
      <c r="N29" s="1111"/>
      <c r="O29" s="1111"/>
      <c r="P29" s="627"/>
      <c r="Q29" s="627"/>
      <c r="R29" s="513"/>
      <c r="S29" s="1101"/>
      <c r="Z29" s="1090"/>
      <c r="AA29" s="34"/>
      <c r="AB29" s="160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</row>
    <row r="30" spans="1:60" ht="15" customHeight="1" x14ac:dyDescent="0.3">
      <c r="A30" s="1369" t="s">
        <v>204</v>
      </c>
      <c r="B30" s="1369"/>
      <c r="C30" s="1369"/>
      <c r="D30" s="1369"/>
      <c r="E30" s="1369"/>
      <c r="F30" s="1369"/>
      <c r="G30" s="1369"/>
      <c r="H30" s="1369"/>
      <c r="I30" s="1369"/>
      <c r="J30" s="1369"/>
      <c r="K30" s="1369"/>
      <c r="L30" s="1369"/>
      <c r="M30" s="1369"/>
      <c r="N30" s="1369"/>
      <c r="O30" s="1369"/>
      <c r="P30" s="513"/>
      <c r="Q30" s="513"/>
      <c r="R30" s="513"/>
      <c r="S30" s="1101"/>
      <c r="Z30" s="1090"/>
      <c r="AA30" s="34"/>
      <c r="AB30" s="160"/>
      <c r="AC30" s="34"/>
      <c r="AD30" s="34"/>
      <c r="AE30" s="34"/>
      <c r="AF30" s="34"/>
      <c r="AG30" s="34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</row>
    <row r="31" spans="1:60" ht="14.15" customHeight="1" x14ac:dyDescent="0.3">
      <c r="A31" s="1369"/>
      <c r="B31" s="1369"/>
      <c r="C31" s="1369"/>
      <c r="D31" s="1369"/>
      <c r="E31" s="1369"/>
      <c r="F31" s="1369"/>
      <c r="G31" s="1369"/>
      <c r="H31" s="1369"/>
      <c r="I31" s="1369"/>
      <c r="J31" s="1369"/>
      <c r="K31" s="1369"/>
      <c r="L31" s="1369"/>
      <c r="M31" s="1369"/>
      <c r="N31" s="1369"/>
      <c r="O31" s="1369"/>
      <c r="P31" s="513"/>
      <c r="Q31" s="513"/>
      <c r="S31" s="827"/>
      <c r="Z31" s="1090"/>
      <c r="AA31" s="34"/>
      <c r="AB31" s="160"/>
      <c r="AC31" s="34"/>
      <c r="AD31" s="34"/>
      <c r="AE31" s="34"/>
      <c r="AF31" s="34"/>
      <c r="AG31" s="34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</row>
    <row r="32" spans="1:60" ht="40" customHeight="1" x14ac:dyDescent="0.3">
      <c r="A32" s="1234"/>
      <c r="B32" s="1235"/>
      <c r="C32" s="1235"/>
      <c r="D32" s="40"/>
      <c r="Z32" s="77"/>
      <c r="AA32" s="34"/>
      <c r="AB32" s="160"/>
      <c r="AC32" s="3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34"/>
      <c r="AO32" s="34"/>
      <c r="AP32" s="34"/>
      <c r="AQ32" s="46"/>
      <c r="AR32" s="46"/>
      <c r="AS32" s="46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</row>
    <row r="33" spans="1:4" ht="15.5" x14ac:dyDescent="0.3">
      <c r="A33" s="1234"/>
      <c r="B33" s="1235"/>
      <c r="C33" s="1235"/>
      <c r="D33" s="40"/>
    </row>
  </sheetData>
  <sheetProtection formatCells="0" formatColumns="0" formatRows="0"/>
  <protectedRanges>
    <protectedRange sqref="M2:N4" name="Rango1_1_1"/>
  </protectedRanges>
  <mergeCells count="59">
    <mergeCell ref="A1:C5"/>
    <mergeCell ref="D1:O3"/>
    <mergeCell ref="U3:V3"/>
    <mergeCell ref="D4:L4"/>
    <mergeCell ref="M4:O4"/>
    <mergeCell ref="D5:O5"/>
    <mergeCell ref="R6:S6"/>
    <mergeCell ref="I7:J7"/>
    <mergeCell ref="K7:N7"/>
    <mergeCell ref="R7:S7"/>
    <mergeCell ref="J8:N8"/>
    <mergeCell ref="R8:S8"/>
    <mergeCell ref="P13:Q13"/>
    <mergeCell ref="R9:S9"/>
    <mergeCell ref="A11:A12"/>
    <mergeCell ref="B11:B12"/>
    <mergeCell ref="C11:D12"/>
    <mergeCell ref="E11:F12"/>
    <mergeCell ref="G11:H12"/>
    <mergeCell ref="I11:J12"/>
    <mergeCell ref="K11:L11"/>
    <mergeCell ref="M11:O12"/>
    <mergeCell ref="P11:Q12"/>
    <mergeCell ref="C13:D13"/>
    <mergeCell ref="E13:F13"/>
    <mergeCell ref="G13:H13"/>
    <mergeCell ref="I13:J13"/>
    <mergeCell ref="M13:O13"/>
    <mergeCell ref="P15:Q15"/>
    <mergeCell ref="C14:D14"/>
    <mergeCell ref="E14:F14"/>
    <mergeCell ref="G14:H14"/>
    <mergeCell ref="I14:J14"/>
    <mergeCell ref="M14:O14"/>
    <mergeCell ref="P14:Q14"/>
    <mergeCell ref="C15:D15"/>
    <mergeCell ref="E15:F15"/>
    <mergeCell ref="G15:H15"/>
    <mergeCell ref="I15:J15"/>
    <mergeCell ref="M15:O15"/>
    <mergeCell ref="A22:B22"/>
    <mergeCell ref="C22:O22"/>
    <mergeCell ref="A16:B16"/>
    <mergeCell ref="C16:D16"/>
    <mergeCell ref="E16:F16"/>
    <mergeCell ref="G16:H16"/>
    <mergeCell ref="I16:J16"/>
    <mergeCell ref="M16:O16"/>
    <mergeCell ref="P16:Q16"/>
    <mergeCell ref="A17:C17"/>
    <mergeCell ref="D17:O17"/>
    <mergeCell ref="A20:C20"/>
    <mergeCell ref="F20:H20"/>
    <mergeCell ref="D20:E20"/>
    <mergeCell ref="A27:O27"/>
    <mergeCell ref="A28:O28"/>
    <mergeCell ref="A30:O31"/>
    <mergeCell ref="A32:C32"/>
    <mergeCell ref="A33:C33"/>
  </mergeCells>
  <dataValidations count="3">
    <dataValidation type="list" allowBlank="1" showInputMessage="1" showErrorMessage="1" sqref="E19:F19 D17:D19 E21:F21" xr:uid="{00000000-0002-0000-0200-000000000000}">
      <formula1>$T$4:$T$7</formula1>
    </dataValidation>
    <dataValidation type="list" allowBlank="1" showInputMessage="1" showErrorMessage="1" sqref="Z2" xr:uid="{00000000-0002-0000-0200-000001000000}">
      <formula1>aprobonombres</formula1>
    </dataValidation>
    <dataValidation type="list" allowBlank="1" showInputMessage="1" showErrorMessage="1" sqref="E8:I9" xr:uid="{00000000-0002-0000-0200-000002000000}">
      <formula1>$T$8:$T$10</formula1>
    </dataValidation>
  </dataValidations>
  <printOptions horizontalCentered="1"/>
  <pageMargins left="0.59055118110236227" right="0.39370078740157483" top="0.59055118110236227" bottom="0.59055118110236227" header="0" footer="0.19685039370078741"/>
  <pageSetup paperSize="9" pageOrder="overThenDown"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de 1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0"/>
  </sheetPr>
  <dimension ref="A1:AP185"/>
  <sheetViews>
    <sheetView showGridLines="0" tabSelected="1" view="pageBreakPreview" zoomScaleSheetLayoutView="100" workbookViewId="0">
      <selection activeCell="B12" sqref="B12:D12"/>
    </sheetView>
  </sheetViews>
  <sheetFormatPr baseColWidth="10" defaultColWidth="11.453125" defaultRowHeight="13" x14ac:dyDescent="0.3"/>
  <cols>
    <col min="1" max="3" width="10.26953125" style="120" customWidth="1"/>
    <col min="4" max="4" width="5.7265625" style="120" customWidth="1"/>
    <col min="5" max="5" width="6.1796875" style="120" customWidth="1"/>
    <col min="6" max="6" width="5.54296875" style="120" customWidth="1"/>
    <col min="7" max="7" width="5" style="120" customWidth="1"/>
    <col min="8" max="8" width="5.453125" style="120" customWidth="1"/>
    <col min="9" max="9" width="4.7265625" style="120" customWidth="1"/>
    <col min="10" max="10" width="7.453125" style="120" customWidth="1"/>
    <col min="11" max="11" width="5.1796875" style="120" customWidth="1"/>
    <col min="12" max="12" width="4.81640625" style="120" customWidth="1"/>
    <col min="13" max="13" width="4.7265625" style="120" customWidth="1"/>
    <col min="14" max="14" width="4.81640625" style="120" customWidth="1"/>
    <col min="15" max="15" width="6" style="120" customWidth="1"/>
    <col min="16" max="16" width="16.1796875" style="120" hidden="1" customWidth="1"/>
    <col min="17" max="17" width="6" style="120" hidden="1" customWidth="1"/>
    <col min="18" max="18" width="8.1796875" style="120" hidden="1" customWidth="1"/>
    <col min="19" max="19" width="20" style="120" hidden="1" customWidth="1"/>
    <col min="20" max="20" width="21" style="120" hidden="1" customWidth="1"/>
    <col min="21" max="21" width="12.7265625" style="120" hidden="1" customWidth="1"/>
    <col min="22" max="22" width="13.54296875" style="120" hidden="1" customWidth="1"/>
    <col min="23" max="23" width="16" style="120" hidden="1" customWidth="1"/>
    <col min="24" max="27" width="11.453125" style="120" hidden="1" customWidth="1"/>
    <col min="28" max="28" width="17.7265625" style="120" hidden="1" customWidth="1"/>
    <col min="29" max="32" width="11.453125" style="120" hidden="1" customWidth="1"/>
    <col min="33" max="33" width="0" style="120" hidden="1" customWidth="1"/>
    <col min="34" max="35" width="11.453125" style="120"/>
    <col min="36" max="38" width="0" style="120" hidden="1" customWidth="1"/>
    <col min="39" max="16384" width="11.453125" style="120"/>
  </cols>
  <sheetData>
    <row r="1" spans="1:36" ht="15" customHeight="1" x14ac:dyDescent="0.3">
      <c r="A1" s="1424"/>
      <c r="B1" s="1425"/>
      <c r="C1" s="1426"/>
      <c r="D1" s="1281" t="s">
        <v>470</v>
      </c>
      <c r="E1" s="1282"/>
      <c r="F1" s="1282"/>
      <c r="G1" s="1282"/>
      <c r="H1" s="1282"/>
      <c r="I1" s="1282"/>
      <c r="J1" s="1282"/>
      <c r="K1" s="1282"/>
      <c r="L1" s="1282"/>
      <c r="M1" s="1282"/>
      <c r="N1" s="1282"/>
      <c r="O1" s="1283"/>
      <c r="P1" s="528"/>
      <c r="Q1" s="528"/>
      <c r="R1" s="528"/>
      <c r="S1" s="72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</row>
    <row r="2" spans="1:36" ht="15" customHeight="1" x14ac:dyDescent="0.3">
      <c r="A2" s="1427"/>
      <c r="B2" s="1428"/>
      <c r="C2" s="1429"/>
      <c r="D2" s="1284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6"/>
      <c r="P2" s="528"/>
      <c r="Q2" s="528"/>
      <c r="R2" s="528"/>
      <c r="S2" s="152"/>
      <c r="T2" s="34"/>
      <c r="U2" s="34"/>
      <c r="V2" s="34"/>
      <c r="AG2" s="34"/>
      <c r="AH2" s="34"/>
    </row>
    <row r="3" spans="1:36" ht="15" customHeight="1" thickBot="1" x14ac:dyDescent="0.35">
      <c r="A3" s="1427"/>
      <c r="B3" s="1428"/>
      <c r="C3" s="1429"/>
      <c r="D3" s="1433"/>
      <c r="E3" s="1434"/>
      <c r="F3" s="1434"/>
      <c r="G3" s="1434"/>
      <c r="H3" s="1434"/>
      <c r="I3" s="1434"/>
      <c r="J3" s="1434"/>
      <c r="K3" s="1434"/>
      <c r="L3" s="1434"/>
      <c r="M3" s="1434"/>
      <c r="N3" s="1434"/>
      <c r="O3" s="1435"/>
      <c r="P3" s="528"/>
      <c r="Q3" s="528"/>
      <c r="R3" s="528"/>
      <c r="S3" s="152"/>
      <c r="T3" s="517" t="str">
        <f>+IF(Q13="","",Q13)</f>
        <v/>
      </c>
      <c r="U3" s="517"/>
      <c r="V3" s="517"/>
      <c r="W3" s="517"/>
      <c r="X3" s="517"/>
      <c r="Y3" s="517"/>
      <c r="AG3" s="34"/>
      <c r="AH3" s="34"/>
    </row>
    <row r="4" spans="1:36" ht="15" customHeight="1" thickTop="1" x14ac:dyDescent="0.3">
      <c r="A4" s="1427"/>
      <c r="B4" s="1428"/>
      <c r="C4" s="1429"/>
      <c r="D4" s="1438" t="s">
        <v>203</v>
      </c>
      <c r="E4" s="1439"/>
      <c r="F4" s="1439"/>
      <c r="G4" s="1439"/>
      <c r="H4" s="1439"/>
      <c r="I4" s="1439"/>
      <c r="J4" s="1439"/>
      <c r="K4" s="1439"/>
      <c r="L4" s="1440"/>
      <c r="M4" s="1438" t="s">
        <v>473</v>
      </c>
      <c r="N4" s="1439"/>
      <c r="O4" s="1440"/>
      <c r="P4" s="557"/>
      <c r="Q4" s="557"/>
      <c r="R4" s="557"/>
      <c r="S4" s="73"/>
      <c r="T4" s="264" t="s">
        <v>86</v>
      </c>
      <c r="U4" s="865" t="s">
        <v>270</v>
      </c>
      <c r="V4" s="1447" t="s">
        <v>267</v>
      </c>
      <c r="W4" s="413" t="s">
        <v>268</v>
      </c>
      <c r="X4" s="393" t="s">
        <v>0</v>
      </c>
      <c r="Y4" s="393" t="s">
        <v>1</v>
      </c>
      <c r="Z4" s="394" t="s">
        <v>4</v>
      </c>
      <c r="AA4" s="394" t="s">
        <v>2</v>
      </c>
      <c r="AB4" s="394" t="s">
        <v>9</v>
      </c>
      <c r="AC4" s="394" t="s">
        <v>14</v>
      </c>
      <c r="AD4" s="394" t="s">
        <v>15</v>
      </c>
      <c r="AE4" s="394" t="s">
        <v>16</v>
      </c>
      <c r="AF4" s="395" t="s">
        <v>17</v>
      </c>
      <c r="AG4" s="34"/>
      <c r="AH4" s="34"/>
      <c r="AI4" s="34"/>
      <c r="AJ4" s="34"/>
    </row>
    <row r="5" spans="1:36" ht="15" customHeight="1" x14ac:dyDescent="0.3">
      <c r="A5" s="1430"/>
      <c r="B5" s="1431"/>
      <c r="C5" s="1432"/>
      <c r="D5" s="1438" t="s">
        <v>508</v>
      </c>
      <c r="E5" s="1439"/>
      <c r="F5" s="1439"/>
      <c r="G5" s="1439"/>
      <c r="H5" s="1439"/>
      <c r="I5" s="1439"/>
      <c r="J5" s="1439"/>
      <c r="K5" s="1439"/>
      <c r="L5" s="1439"/>
      <c r="M5" s="1439"/>
      <c r="N5" s="1439"/>
      <c r="O5" s="1440"/>
      <c r="P5" s="557"/>
      <c r="Q5" s="557"/>
      <c r="R5" s="557"/>
      <c r="S5" s="73"/>
      <c r="T5" s="265" t="str">
        <f>IF(N11="","",IF(N11&gt;0.2,"No cumple","cumple"))</f>
        <v/>
      </c>
      <c r="U5" s="866"/>
      <c r="V5" s="1448"/>
      <c r="W5" s="414"/>
      <c r="X5" s="396">
        <v>25</v>
      </c>
      <c r="Y5" s="397">
        <v>19</v>
      </c>
      <c r="Z5" s="397">
        <v>12.5</v>
      </c>
      <c r="AA5" s="397">
        <v>9.5</v>
      </c>
      <c r="AB5" s="397">
        <v>4.75</v>
      </c>
      <c r="AC5" s="397">
        <v>2</v>
      </c>
      <c r="AD5" s="397">
        <v>0.42499999999999999</v>
      </c>
      <c r="AE5" s="397">
        <v>0.18</v>
      </c>
      <c r="AF5" s="398">
        <v>7.4999999999999997E-2</v>
      </c>
      <c r="AG5" s="34"/>
      <c r="AH5" s="34"/>
      <c r="AI5" s="34"/>
      <c r="AJ5" s="34"/>
    </row>
    <row r="6" spans="1:36" ht="9" customHeight="1" x14ac:dyDescent="0.3">
      <c r="A6" s="631"/>
      <c r="B6" s="632"/>
      <c r="C6" s="632"/>
      <c r="D6" s="633"/>
      <c r="E6" s="633"/>
      <c r="F6" s="633"/>
      <c r="G6" s="633"/>
      <c r="H6" s="633"/>
      <c r="I6" s="633"/>
      <c r="J6" s="633"/>
      <c r="K6" s="632"/>
      <c r="L6" s="632"/>
      <c r="M6" s="633"/>
      <c r="N6" s="633"/>
      <c r="O6" s="634"/>
      <c r="P6" s="633" t="s">
        <v>507</v>
      </c>
      <c r="Q6" s="1416" t="s">
        <v>305</v>
      </c>
      <c r="R6" s="1417"/>
      <c r="S6" s="880" t="str">
        <f>IF(A25="","",CONCATENATE(A25," ",C25))</f>
        <v/>
      </c>
      <c r="T6" s="879" t="str">
        <f>IF(N12="","",IF(N12&gt;0.2,"No cumple","cumple"))</f>
        <v/>
      </c>
      <c r="U6" s="190" t="s">
        <v>28</v>
      </c>
      <c r="V6" s="1448"/>
      <c r="W6" s="415" t="s">
        <v>288</v>
      </c>
      <c r="X6" s="399" t="s">
        <v>0</v>
      </c>
      <c r="Y6" s="399" t="s">
        <v>1</v>
      </c>
      <c r="Z6" s="153" t="s">
        <v>4</v>
      </c>
      <c r="AA6" s="153" t="s">
        <v>2</v>
      </c>
      <c r="AB6" s="153" t="s">
        <v>9</v>
      </c>
      <c r="AC6" s="153" t="s">
        <v>266</v>
      </c>
      <c r="AD6" s="153" t="s">
        <v>17</v>
      </c>
      <c r="AE6" s="400"/>
      <c r="AF6" s="384"/>
      <c r="AG6" s="262"/>
      <c r="AH6" s="46"/>
      <c r="AI6" s="34"/>
      <c r="AJ6" s="34"/>
    </row>
    <row r="7" spans="1:36" ht="15" customHeight="1" thickBot="1" x14ac:dyDescent="0.35">
      <c r="A7" s="635"/>
      <c r="B7" s="636"/>
      <c r="C7" s="636"/>
      <c r="D7" s="188"/>
      <c r="E7" s="188"/>
      <c r="F7" s="188"/>
      <c r="G7" s="188"/>
      <c r="H7" s="188"/>
      <c r="I7" s="1208" t="s">
        <v>55</v>
      </c>
      <c r="J7" s="1208"/>
      <c r="K7" s="1418" t="str">
        <f>IF('1. Encabezado'!S7="","",'1. Encabezado'!S7)</f>
        <v/>
      </c>
      <c r="L7" s="1418"/>
      <c r="M7" s="1418"/>
      <c r="N7" s="1418"/>
      <c r="O7" s="637"/>
      <c r="P7" s="188" t="s">
        <v>27</v>
      </c>
      <c r="Q7" s="1419" t="s">
        <v>306</v>
      </c>
      <c r="R7" s="1420"/>
      <c r="S7" s="881" t="str">
        <f>IF(A25="","",CONCATENATE(A25," ",C26))</f>
        <v/>
      </c>
      <c r="T7" s="879" t="str">
        <f>IF(N13="","",IF(N13&gt;0.2,"No cumple","cumple"))</f>
        <v/>
      </c>
      <c r="U7" s="457" t="s">
        <v>289</v>
      </c>
      <c r="V7" s="1449"/>
      <c r="W7" s="414"/>
      <c r="X7" s="401">
        <v>25</v>
      </c>
      <c r="Y7" s="402">
        <v>19</v>
      </c>
      <c r="Z7" s="402">
        <v>12.5</v>
      </c>
      <c r="AA7" s="402">
        <v>9.5</v>
      </c>
      <c r="AB7" s="402">
        <v>4.75</v>
      </c>
      <c r="AC7" s="402">
        <v>2.36</v>
      </c>
      <c r="AD7" s="402">
        <v>7.4999999999999997E-2</v>
      </c>
      <c r="AE7" s="400"/>
      <c r="AF7" s="384"/>
      <c r="AG7" s="262"/>
      <c r="AH7" s="46"/>
      <c r="AI7" s="34"/>
      <c r="AJ7" s="34"/>
    </row>
    <row r="8" spans="1:36" ht="15" customHeight="1" thickTop="1" thickBot="1" x14ac:dyDescent="0.35">
      <c r="A8" s="635"/>
      <c r="B8" s="1441"/>
      <c r="C8" s="1441"/>
      <c r="E8" s="638"/>
      <c r="F8" s="638"/>
      <c r="G8" s="638"/>
      <c r="H8" s="638"/>
      <c r="I8" s="560"/>
      <c r="J8" s="1421" t="str">
        <f>IF(K7="",Q11,CONCATENATE(Q7," ",Q8," ",Q9," ", Q10))</f>
        <v>Pagina xx de xx</v>
      </c>
      <c r="K8" s="1421"/>
      <c r="L8" s="1421"/>
      <c r="M8" s="1421"/>
      <c r="N8" s="1421"/>
      <c r="O8" s="639"/>
      <c r="P8" s="642"/>
      <c r="Q8" s="1422" t="str">
        <f>IF(K7="","",4)</f>
        <v/>
      </c>
      <c r="R8" s="1423"/>
      <c r="S8" s="881" t="s">
        <v>43</v>
      </c>
      <c r="T8" s="879" t="str">
        <f>IF(N14="","",IF(N14&gt;0.2,"No cumple","cumple"))</f>
        <v/>
      </c>
      <c r="U8" s="190"/>
      <c r="V8" s="1444" t="s">
        <v>12</v>
      </c>
      <c r="W8" s="416">
        <v>1</v>
      </c>
      <c r="X8" s="403">
        <v>2</v>
      </c>
      <c r="Y8" s="403">
        <v>3</v>
      </c>
      <c r="Z8" s="403">
        <v>4</v>
      </c>
      <c r="AA8" s="403">
        <v>5</v>
      </c>
      <c r="AB8" s="403">
        <v>6</v>
      </c>
      <c r="AC8" s="403">
        <v>7</v>
      </c>
      <c r="AD8" s="403">
        <v>8</v>
      </c>
      <c r="AE8" s="403">
        <v>9</v>
      </c>
      <c r="AF8" s="404">
        <v>10</v>
      </c>
      <c r="AG8" s="190"/>
      <c r="AI8" s="34"/>
      <c r="AJ8" s="34"/>
    </row>
    <row r="9" spans="1:36" ht="9" customHeight="1" thickTop="1" x14ac:dyDescent="0.3">
      <c r="A9" s="640"/>
      <c r="B9" s="641"/>
      <c r="C9" s="641"/>
      <c r="D9" s="188"/>
      <c r="E9" s="188"/>
      <c r="F9" s="188"/>
      <c r="G9" s="188"/>
      <c r="H9" s="188"/>
      <c r="I9" s="188"/>
      <c r="J9" s="188"/>
      <c r="K9" s="641"/>
      <c r="L9" s="641"/>
      <c r="M9" s="642"/>
      <c r="N9" s="642"/>
      <c r="O9" s="639"/>
      <c r="P9" s="642"/>
      <c r="Q9" s="1334" t="s">
        <v>307</v>
      </c>
      <c r="R9" s="1399"/>
      <c r="S9" s="881" t="str">
        <f>CONCATENATE(S8," ",C28)</f>
        <v>FT % Pasa mín</v>
      </c>
      <c r="T9" s="1457" t="s">
        <v>227</v>
      </c>
      <c r="U9" s="1442" t="s">
        <v>228</v>
      </c>
      <c r="V9" s="1445"/>
      <c r="W9" s="417" t="s">
        <v>110</v>
      </c>
      <c r="X9" s="405">
        <v>100</v>
      </c>
      <c r="Y9" s="405">
        <v>100</v>
      </c>
      <c r="Z9" s="405">
        <v>100</v>
      </c>
      <c r="AA9" s="405">
        <v>80</v>
      </c>
      <c r="AB9" s="405">
        <v>59</v>
      </c>
      <c r="AC9" s="405">
        <v>36</v>
      </c>
      <c r="AD9" s="405">
        <v>15</v>
      </c>
      <c r="AE9" s="405">
        <v>9</v>
      </c>
      <c r="AF9" s="406">
        <v>5</v>
      </c>
      <c r="AG9" s="190"/>
      <c r="AI9" s="34"/>
      <c r="AJ9" s="34"/>
    </row>
    <row r="10" spans="1:36" ht="35.15" customHeight="1" x14ac:dyDescent="0.3">
      <c r="A10" s="459" t="s">
        <v>95</v>
      </c>
      <c r="B10" s="1456" t="s">
        <v>20</v>
      </c>
      <c r="C10" s="1456"/>
      <c r="D10" s="1456"/>
      <c r="E10" s="1531" t="s">
        <v>29</v>
      </c>
      <c r="F10" s="1531"/>
      <c r="G10" s="1531"/>
      <c r="H10" s="1531"/>
      <c r="I10" s="1456" t="s">
        <v>52</v>
      </c>
      <c r="J10" s="1456"/>
      <c r="K10" s="1456"/>
      <c r="L10" s="1456" t="s">
        <v>30</v>
      </c>
      <c r="M10" s="1456"/>
      <c r="N10" s="1456"/>
      <c r="O10" s="1532"/>
      <c r="P10" s="1127" t="s">
        <v>52</v>
      </c>
      <c r="Q10" s="1450" t="str">
        <f>IF(K7="","",'1. Encabezado'!AB10)</f>
        <v/>
      </c>
      <c r="R10" s="1451"/>
      <c r="S10" s="882" t="str">
        <f>CONCATENATE(S8," ",C29)</f>
        <v>FT % Pasa máx</v>
      </c>
      <c r="T10" s="1458"/>
      <c r="U10" s="1443"/>
      <c r="V10" s="1445"/>
      <c r="W10" s="418" t="s">
        <v>32</v>
      </c>
      <c r="X10" s="407">
        <v>100</v>
      </c>
      <c r="Y10" s="407">
        <v>100</v>
      </c>
      <c r="Z10" s="407">
        <v>80</v>
      </c>
      <c r="AA10" s="407">
        <v>71</v>
      </c>
      <c r="AB10" s="407">
        <v>49</v>
      </c>
      <c r="AC10" s="407">
        <v>30</v>
      </c>
      <c r="AD10" s="407">
        <v>14</v>
      </c>
      <c r="AE10" s="407">
        <v>8</v>
      </c>
      <c r="AF10" s="408">
        <v>4</v>
      </c>
      <c r="AG10" s="190"/>
      <c r="AI10" s="34"/>
      <c r="AJ10" s="34"/>
    </row>
    <row r="11" spans="1:36" ht="15" customHeight="1" x14ac:dyDescent="0.3">
      <c r="A11" s="33">
        <v>1</v>
      </c>
      <c r="B11" s="1459" t="str">
        <f>+IF('3. Extracción'!G13="","",ROUND(('3. Extracción'!G13*0.001),1)*ROUND(('3. Extracción'!G13/(ROUND(('3. Extracción'!G13*0.001),1))),0))</f>
        <v/>
      </c>
      <c r="C11" s="1459"/>
      <c r="D11" s="1459"/>
      <c r="E11" s="1459" t="str">
        <f>IF(B11="","",ROUND((B11+'3. Extracción'!L13-'3. Extracción'!K13),1))</f>
        <v/>
      </c>
      <c r="F11" s="1459"/>
      <c r="G11" s="1459"/>
      <c r="H11" s="1459"/>
      <c r="I11" s="1459" t="str">
        <f>+IF(P11="","",ROUND(('3. Extracción'!G13*0.001),1)*ROUND((P11/(ROUND(('3. Extracción'!G13*0.001),1))),0))</f>
        <v/>
      </c>
      <c r="J11" s="1459"/>
      <c r="K11" s="1459"/>
      <c r="L11" s="1533" t="str">
        <f>IF(B11="","",B11-I11)</f>
        <v/>
      </c>
      <c r="M11" s="1533"/>
      <c r="N11" s="1533"/>
      <c r="O11" s="1534"/>
      <c r="P11" s="1132"/>
      <c r="Q11" s="884" t="s">
        <v>308</v>
      </c>
      <c r="R11" s="885"/>
      <c r="S11" s="154"/>
      <c r="T11" s="266">
        <f>SUM(E17:N17)</f>
        <v>0</v>
      </c>
      <c r="U11" s="267" t="e">
        <f>I11-T11</f>
        <v>#VALUE!</v>
      </c>
      <c r="V11" s="1445"/>
      <c r="W11" s="833" t="s">
        <v>431</v>
      </c>
      <c r="X11" s="407">
        <v>100</v>
      </c>
      <c r="Y11" s="407">
        <v>100</v>
      </c>
      <c r="Z11" s="407">
        <v>80</v>
      </c>
      <c r="AA11" s="407">
        <v>71</v>
      </c>
      <c r="AB11" s="407">
        <v>49</v>
      </c>
      <c r="AC11" s="407">
        <v>30</v>
      </c>
      <c r="AD11" s="407">
        <v>14</v>
      </c>
      <c r="AE11" s="407">
        <v>8</v>
      </c>
      <c r="AF11" s="408">
        <v>4</v>
      </c>
      <c r="AG11" s="190"/>
      <c r="AI11" s="34"/>
      <c r="AJ11" s="34"/>
    </row>
    <row r="12" spans="1:36" ht="15" customHeight="1" x14ac:dyDescent="0.3">
      <c r="A12" s="33">
        <v>2</v>
      </c>
      <c r="B12" s="1459" t="str">
        <f>+IF('3. Extracción'!G14="","",ROUND(('3. Extracción'!G14*0.001),1)*ROUND(('3. Extracción'!G14/(ROUND(('3. Extracción'!G14*0.001),1))),0))</f>
        <v/>
      </c>
      <c r="C12" s="1459"/>
      <c r="D12" s="1459"/>
      <c r="E12" s="1459" t="str">
        <f>IF(B12="","",B12+'3. Extracción'!L14-'3. Extracción'!K14)</f>
        <v/>
      </c>
      <c r="F12" s="1459"/>
      <c r="G12" s="1459"/>
      <c r="H12" s="1459"/>
      <c r="I12" s="1459" t="str">
        <f>+IF(P12="","",ROUND(('3. Extracción'!G14*0.001),1)*ROUND((P12/(ROUND(('3. Extracción'!G14*0.001),1))),0))</f>
        <v/>
      </c>
      <c r="J12" s="1459"/>
      <c r="K12" s="1459"/>
      <c r="L12" s="1533" t="str">
        <f>IF(B12="","",B12-I12)</f>
        <v/>
      </c>
      <c r="M12" s="1533"/>
      <c r="N12" s="1533"/>
      <c r="O12" s="1534"/>
      <c r="P12" s="1133"/>
      <c r="Q12" s="1454" t="s">
        <v>423</v>
      </c>
      <c r="R12" s="1455"/>
      <c r="S12" s="154"/>
      <c r="T12" s="266">
        <f>SUM(E18:N18)</f>
        <v>0</v>
      </c>
      <c r="U12" s="267" t="e">
        <f>I12-T12</f>
        <v>#VALUE!</v>
      </c>
      <c r="V12" s="1445"/>
      <c r="W12" s="833" t="s">
        <v>432</v>
      </c>
      <c r="X12" s="405">
        <v>100</v>
      </c>
      <c r="Y12" s="405">
        <v>100</v>
      </c>
      <c r="Z12" s="405">
        <v>100</v>
      </c>
      <c r="AA12" s="405">
        <v>80</v>
      </c>
      <c r="AB12" s="405">
        <v>59</v>
      </c>
      <c r="AC12" s="405">
        <v>36</v>
      </c>
      <c r="AD12" s="405">
        <v>15</v>
      </c>
      <c r="AE12" s="405">
        <v>9</v>
      </c>
      <c r="AF12" s="406">
        <v>5</v>
      </c>
      <c r="AG12" s="190"/>
      <c r="AI12" s="34"/>
      <c r="AJ12" s="34"/>
    </row>
    <row r="13" spans="1:36" ht="15" customHeight="1" x14ac:dyDescent="0.3">
      <c r="A13" s="33">
        <v>3</v>
      </c>
      <c r="B13" s="1459" t="str">
        <f>+IF('3. Extracción'!G15="","",ROUND(('3. Extracción'!G15*0.001),1)*ROUND(('3. Extracción'!G15/(ROUND(('3. Extracción'!G15*0.001),1))),0))</f>
        <v/>
      </c>
      <c r="C13" s="1459"/>
      <c r="D13" s="1459"/>
      <c r="E13" s="1459" t="str">
        <f>IF(B13="","",B13+'3. Extracción'!L15-'3. Extracción'!K15)</f>
        <v/>
      </c>
      <c r="F13" s="1459"/>
      <c r="G13" s="1459"/>
      <c r="H13" s="1459"/>
      <c r="I13" s="1459" t="str">
        <f>+IF(P13="","",ROUND(('3. Extracción'!G15*0.001),1)*ROUND((P13/(ROUND(('3. Extracción'!G15*0.001),1))),0))</f>
        <v/>
      </c>
      <c r="J13" s="1459"/>
      <c r="K13" s="1459"/>
      <c r="L13" s="1533" t="str">
        <f>IF(B13="","",B13-I13)</f>
        <v/>
      </c>
      <c r="M13" s="1533"/>
      <c r="N13" s="1533"/>
      <c r="O13" s="1534"/>
      <c r="P13" s="1133"/>
      <c r="Q13" s="1452" t="str">
        <f>IF('1. Encabezado'!I11="","",'1. Encabezado'!I11)</f>
        <v/>
      </c>
      <c r="R13" s="1453"/>
      <c r="S13" s="883"/>
      <c r="T13" s="266">
        <f>SUM(E19:N19)</f>
        <v>0</v>
      </c>
      <c r="U13" s="267" t="e">
        <f>I13-T13</f>
        <v>#VALUE!</v>
      </c>
      <c r="V13" s="1445"/>
      <c r="W13" s="418" t="s">
        <v>112</v>
      </c>
      <c r="X13" s="407">
        <v>100</v>
      </c>
      <c r="Y13" s="407">
        <v>80</v>
      </c>
      <c r="Z13" s="407">
        <v>66</v>
      </c>
      <c r="AA13" s="407">
        <v>59</v>
      </c>
      <c r="AB13" s="407">
        <v>42</v>
      </c>
      <c r="AC13" s="407">
        <v>27</v>
      </c>
      <c r="AD13" s="407">
        <v>12</v>
      </c>
      <c r="AE13" s="407">
        <v>8</v>
      </c>
      <c r="AF13" s="408">
        <v>4</v>
      </c>
      <c r="AG13" s="190"/>
      <c r="AI13" s="34"/>
      <c r="AJ13" s="34"/>
    </row>
    <row r="14" spans="1:36" ht="15" customHeight="1" thickBot="1" x14ac:dyDescent="0.35">
      <c r="A14" s="1126" t="s">
        <v>8</v>
      </c>
      <c r="B14" s="1491" t="str">
        <f>IF(B11="","",AVERAGE(B11:C13))</f>
        <v/>
      </c>
      <c r="C14" s="1491"/>
      <c r="D14" s="1491"/>
      <c r="E14" s="1491" t="str">
        <f>IF(E11="","",AVERAGE(E11:E13))</f>
        <v/>
      </c>
      <c r="F14" s="1491"/>
      <c r="G14" s="1491"/>
      <c r="H14" s="1491"/>
      <c r="I14" s="1491" t="str">
        <f>IF(I11="","",AVERAGE(I11:I13))</f>
        <v/>
      </c>
      <c r="J14" s="1491"/>
      <c r="K14" s="1491"/>
      <c r="L14" s="1491" t="str">
        <f>IF(L11="","",AVERAGE(K11:M13))</f>
        <v/>
      </c>
      <c r="M14" s="1491"/>
      <c r="N14" s="1491"/>
      <c r="O14" s="1535"/>
      <c r="P14" s="1134"/>
      <c r="Q14" s="77"/>
      <c r="R14" s="77"/>
      <c r="S14" s="883"/>
      <c r="T14" s="268">
        <f>SUM(E20:N20)</f>
        <v>0</v>
      </c>
      <c r="U14" s="269" t="str">
        <f>IF(I14="","",I14-T14)</f>
        <v/>
      </c>
      <c r="V14" s="1446"/>
      <c r="W14" s="415" t="s">
        <v>288</v>
      </c>
      <c r="X14" s="407">
        <v>100</v>
      </c>
      <c r="Y14" s="407">
        <v>90</v>
      </c>
      <c r="Z14" s="407">
        <v>77</v>
      </c>
      <c r="AA14" s="407">
        <v>59</v>
      </c>
      <c r="AB14" s="407">
        <v>28</v>
      </c>
      <c r="AC14" s="407">
        <v>14</v>
      </c>
      <c r="AD14" s="422">
        <v>2</v>
      </c>
      <c r="AE14" s="422" t="s">
        <v>121</v>
      </c>
      <c r="AF14" s="498" t="s">
        <v>121</v>
      </c>
      <c r="AG14" s="190"/>
      <c r="AI14" s="34"/>
      <c r="AJ14" s="34"/>
    </row>
    <row r="15" spans="1:36" ht="15" customHeight="1" thickTop="1" x14ac:dyDescent="0.3">
      <c r="A15" s="1475" t="s">
        <v>22</v>
      </c>
      <c r="B15" s="1476"/>
      <c r="C15" s="1476" t="s">
        <v>35</v>
      </c>
      <c r="D15" s="1476"/>
      <c r="E15" s="132" t="str">
        <f t="shared" ref="E15:I16" si="0">+IF($Q$13="","",X4)</f>
        <v/>
      </c>
      <c r="F15" s="132" t="str">
        <f t="shared" si="0"/>
        <v/>
      </c>
      <c r="G15" s="132" t="str">
        <f t="shared" si="0"/>
        <v/>
      </c>
      <c r="H15" s="132" t="str">
        <f t="shared" si="0"/>
        <v/>
      </c>
      <c r="I15" s="132" t="str">
        <f t="shared" si="0"/>
        <v/>
      </c>
      <c r="J15" s="133" t="str">
        <f>+IF(Q13="","",IF(Q13=W14,AC6,AC4))</f>
        <v/>
      </c>
      <c r="K15" s="133" t="str">
        <f>+IF($Q$13="","",IF($Q$13=$W$6,AD29,AD4))</f>
        <v/>
      </c>
      <c r="L15" s="133" t="str">
        <f>+IF(OR($Q$13="",$Q$13=$W$6),"--",AE4)</f>
        <v>--</v>
      </c>
      <c r="M15" s="133" t="str">
        <f>+IF(OR($Q$13="",$Q$13=$W$6),"--",AD6)</f>
        <v>--</v>
      </c>
      <c r="N15" s="1479" t="s">
        <v>72</v>
      </c>
      <c r="O15" s="1480" t="s">
        <v>73</v>
      </c>
      <c r="P15" s="1488" t="s">
        <v>95</v>
      </c>
      <c r="Q15" s="1489" t="s">
        <v>173</v>
      </c>
      <c r="R15" s="1489"/>
      <c r="S15" s="1489" t="s">
        <v>86</v>
      </c>
      <c r="T15" s="1129"/>
      <c r="V15" s="1482" t="s">
        <v>13</v>
      </c>
      <c r="W15" s="417" t="s">
        <v>110</v>
      </c>
      <c r="X15" s="405">
        <v>100</v>
      </c>
      <c r="Y15" s="405">
        <v>100</v>
      </c>
      <c r="Z15" s="405">
        <v>100</v>
      </c>
      <c r="AA15" s="405">
        <v>95</v>
      </c>
      <c r="AB15" s="405">
        <v>76</v>
      </c>
      <c r="AC15" s="405">
        <v>51</v>
      </c>
      <c r="AD15" s="405">
        <v>25</v>
      </c>
      <c r="AE15" s="405">
        <v>18</v>
      </c>
      <c r="AF15" s="406">
        <v>10</v>
      </c>
      <c r="AG15" s="190"/>
      <c r="AI15" s="34"/>
      <c r="AJ15" s="34"/>
    </row>
    <row r="16" spans="1:36" ht="15" customHeight="1" x14ac:dyDescent="0.3">
      <c r="A16" s="1477"/>
      <c r="B16" s="1478"/>
      <c r="C16" s="1481" t="s">
        <v>10</v>
      </c>
      <c r="D16" s="1481"/>
      <c r="E16" s="383" t="str">
        <f t="shared" si="0"/>
        <v/>
      </c>
      <c r="F16" s="383" t="str">
        <f t="shared" si="0"/>
        <v/>
      </c>
      <c r="G16" s="383" t="str">
        <f t="shared" si="0"/>
        <v/>
      </c>
      <c r="H16" s="383" t="str">
        <f t="shared" si="0"/>
        <v/>
      </c>
      <c r="I16" s="383" t="str">
        <f t="shared" si="0"/>
        <v/>
      </c>
      <c r="J16" s="134" t="str">
        <f>+IF(Q13="","",IF(Q13=W14,AC7,AC5))</f>
        <v/>
      </c>
      <c r="K16" s="134" t="str">
        <f>+IF($Q$13="","",IF($Q$13=$W$6,AD7,AD5))</f>
        <v/>
      </c>
      <c r="L16" s="134" t="str">
        <f>+IF(OR($Q$13="",$Q$13=$W$6),"--",AE5)</f>
        <v>--</v>
      </c>
      <c r="M16" s="134" t="str">
        <f>+IF(OR($Q$13="",$Q$13=$W$6),"--",AD7)</f>
        <v>--</v>
      </c>
      <c r="N16" s="1411"/>
      <c r="O16" s="1480"/>
      <c r="P16" s="1488"/>
      <c r="Q16" s="1489"/>
      <c r="R16" s="1489"/>
      <c r="S16" s="1489"/>
      <c r="T16" s="1129"/>
      <c r="V16" s="1445"/>
      <c r="W16" s="418" t="s">
        <v>32</v>
      </c>
      <c r="X16" s="407">
        <v>100</v>
      </c>
      <c r="Y16" s="407">
        <v>100</v>
      </c>
      <c r="Z16" s="407">
        <v>95</v>
      </c>
      <c r="AA16" s="407">
        <v>87</v>
      </c>
      <c r="AB16" s="407">
        <v>65</v>
      </c>
      <c r="AC16" s="407">
        <v>44</v>
      </c>
      <c r="AD16" s="407">
        <v>22</v>
      </c>
      <c r="AE16" s="407">
        <v>16</v>
      </c>
      <c r="AF16" s="408">
        <v>9</v>
      </c>
      <c r="AG16" s="190"/>
      <c r="AI16" s="34"/>
      <c r="AJ16" s="34"/>
    </row>
    <row r="17" spans="1:42" ht="15" customHeight="1" x14ac:dyDescent="0.3">
      <c r="A17" s="1483" t="s">
        <v>180</v>
      </c>
      <c r="B17" s="1469" t="s">
        <v>23</v>
      </c>
      <c r="C17" s="1470"/>
      <c r="D17" s="1128">
        <v>1</v>
      </c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137" t="str">
        <f>IF(OR(N17="",L11=""),"",N17+L11+('3. Extracción'!L13-'3. Extracción'!K13))</f>
        <v/>
      </c>
      <c r="P17" s="1135">
        <v>1</v>
      </c>
      <c r="Q17" s="1490" t="str">
        <f>IF(OR(E17="",B11=""),"",SUM(E17:M17)+O17)</f>
        <v/>
      </c>
      <c r="R17" s="1490"/>
      <c r="S17" s="1131" t="str">
        <f>IF(Q17="","",1-(T11/I11))</f>
        <v/>
      </c>
      <c r="T17" s="1130"/>
      <c r="V17" s="1445"/>
      <c r="W17" s="833" t="s">
        <v>431</v>
      </c>
      <c r="X17" s="407">
        <v>100</v>
      </c>
      <c r="Y17" s="407">
        <v>100</v>
      </c>
      <c r="Z17" s="407">
        <v>95</v>
      </c>
      <c r="AA17" s="407">
        <v>87</v>
      </c>
      <c r="AB17" s="407">
        <v>65</v>
      </c>
      <c r="AC17" s="407">
        <v>44</v>
      </c>
      <c r="AD17" s="407">
        <v>22</v>
      </c>
      <c r="AE17" s="407">
        <v>16</v>
      </c>
      <c r="AF17" s="408">
        <v>9</v>
      </c>
      <c r="AG17" s="190"/>
      <c r="AI17" s="34"/>
      <c r="AJ17" s="34"/>
    </row>
    <row r="18" spans="1:42" ht="15" customHeight="1" x14ac:dyDescent="0.3">
      <c r="A18" s="1484"/>
      <c r="B18" s="1471"/>
      <c r="C18" s="1472"/>
      <c r="D18" s="861">
        <v>2</v>
      </c>
      <c r="E18" s="13"/>
      <c r="F18" s="7"/>
      <c r="G18" s="7"/>
      <c r="H18" s="7"/>
      <c r="I18" s="7"/>
      <c r="J18" s="7"/>
      <c r="K18" s="7"/>
      <c r="L18" s="7"/>
      <c r="M18" s="7"/>
      <c r="N18" s="7"/>
      <c r="O18" s="1138" t="str">
        <f>IF(OR(N18="",L12=""),"",N18+L12+('3. Extracción'!L14-'3. Extracción'!K14))</f>
        <v/>
      </c>
      <c r="P18" s="1135">
        <v>2</v>
      </c>
      <c r="Q18" s="1490" t="str">
        <f t="shared" ref="Q18:Q20" si="1">IF(OR(E18="",B12=""),"",SUM(E18:M18)+O18)</f>
        <v/>
      </c>
      <c r="R18" s="1490"/>
      <c r="S18" s="1131" t="str">
        <f>IF(Q18="","",1-(T12/I12))</f>
        <v/>
      </c>
      <c r="T18" s="1130"/>
      <c r="V18" s="1445"/>
      <c r="W18" s="833" t="s">
        <v>432</v>
      </c>
      <c r="X18" s="405">
        <v>100</v>
      </c>
      <c r="Y18" s="405">
        <v>100</v>
      </c>
      <c r="Z18" s="405">
        <v>100</v>
      </c>
      <c r="AA18" s="405">
        <v>95</v>
      </c>
      <c r="AB18" s="405">
        <v>76</v>
      </c>
      <c r="AC18" s="405">
        <v>51</v>
      </c>
      <c r="AD18" s="405">
        <v>25</v>
      </c>
      <c r="AE18" s="405">
        <v>18</v>
      </c>
      <c r="AF18" s="406">
        <v>10</v>
      </c>
      <c r="AG18" s="190"/>
      <c r="AI18" s="34"/>
      <c r="AJ18" s="34"/>
    </row>
    <row r="19" spans="1:42" ht="15" customHeight="1" x14ac:dyDescent="0.3">
      <c r="A19" s="1484"/>
      <c r="B19" s="1473"/>
      <c r="C19" s="1474"/>
      <c r="D19" s="861">
        <v>3</v>
      </c>
      <c r="E19" s="13"/>
      <c r="F19" s="7"/>
      <c r="G19" s="7"/>
      <c r="H19" s="7"/>
      <c r="I19" s="7"/>
      <c r="J19" s="7"/>
      <c r="K19" s="7"/>
      <c r="L19" s="7"/>
      <c r="M19" s="7"/>
      <c r="N19" s="7"/>
      <c r="O19" s="1138" t="str">
        <f>IF(OR(N19="",L13=""),"",N19+L13+('3. Extracción'!L15-'3. Extracción'!K15))</f>
        <v/>
      </c>
      <c r="P19" s="1135">
        <v>3</v>
      </c>
      <c r="Q19" s="1490" t="str">
        <f t="shared" si="1"/>
        <v/>
      </c>
      <c r="R19" s="1490"/>
      <c r="S19" s="1131" t="str">
        <f>IF(Q19="","",1-(T13/I13))</f>
        <v/>
      </c>
      <c r="T19" s="1130"/>
      <c r="V19" s="1445"/>
      <c r="W19" s="418" t="s">
        <v>112</v>
      </c>
      <c r="X19" s="407">
        <v>100</v>
      </c>
      <c r="Y19" s="407">
        <v>95</v>
      </c>
      <c r="Z19" s="407">
        <v>82</v>
      </c>
      <c r="AA19" s="407">
        <v>75</v>
      </c>
      <c r="AB19" s="407">
        <v>58</v>
      </c>
      <c r="AC19" s="407">
        <v>41</v>
      </c>
      <c r="AD19" s="407">
        <v>22</v>
      </c>
      <c r="AE19" s="407">
        <v>16</v>
      </c>
      <c r="AF19" s="408">
        <v>9</v>
      </c>
      <c r="AG19" s="190"/>
      <c r="AI19" s="34"/>
      <c r="AJ19" s="34"/>
    </row>
    <row r="20" spans="1:42" ht="15" customHeight="1" x14ac:dyDescent="0.3">
      <c r="A20" s="1485"/>
      <c r="B20" s="1486" t="s">
        <v>8</v>
      </c>
      <c r="C20" s="1487"/>
      <c r="D20" s="1487"/>
      <c r="E20" s="135" t="str">
        <f>IF(E17="","",AVERAGE(E17:E19))</f>
        <v/>
      </c>
      <c r="F20" s="36" t="str">
        <f t="shared" ref="F20:N20" si="2">IF(F17="","",AVERAGE(F17:F19))</f>
        <v/>
      </c>
      <c r="G20" s="36" t="str">
        <f t="shared" si="2"/>
        <v/>
      </c>
      <c r="H20" s="36" t="str">
        <f t="shared" si="2"/>
        <v/>
      </c>
      <c r="I20" s="36" t="str">
        <f t="shared" si="2"/>
        <v/>
      </c>
      <c r="J20" s="36" t="str">
        <f t="shared" si="2"/>
        <v/>
      </c>
      <c r="K20" s="36" t="str">
        <f t="shared" si="2"/>
        <v/>
      </c>
      <c r="L20" s="36" t="str">
        <f t="shared" si="2"/>
        <v/>
      </c>
      <c r="M20" s="36" t="str">
        <f t="shared" si="2"/>
        <v/>
      </c>
      <c r="N20" s="36" t="str">
        <f t="shared" si="2"/>
        <v/>
      </c>
      <c r="O20" s="35" t="str">
        <f>IF(O17="","",AVERAGE(O17:O19))</f>
        <v/>
      </c>
      <c r="P20" s="1136" t="s">
        <v>8</v>
      </c>
      <c r="Q20" s="1490" t="str">
        <f t="shared" si="1"/>
        <v/>
      </c>
      <c r="R20" s="1490"/>
      <c r="S20" s="1131" t="str">
        <f>IF(Q20="","",1-(T14/I14))</f>
        <v/>
      </c>
      <c r="T20" s="1130"/>
      <c r="V20" s="1446"/>
      <c r="W20" s="414" t="s">
        <v>288</v>
      </c>
      <c r="X20" s="409">
        <v>100</v>
      </c>
      <c r="Y20" s="409">
        <v>100</v>
      </c>
      <c r="Z20" s="409">
        <v>93</v>
      </c>
      <c r="AA20" s="409">
        <v>76</v>
      </c>
      <c r="AB20" s="409">
        <v>49</v>
      </c>
      <c r="AC20" s="409">
        <v>27</v>
      </c>
      <c r="AD20" s="423">
        <v>8</v>
      </c>
      <c r="AE20" s="423" t="s">
        <v>121</v>
      </c>
      <c r="AF20" s="499" t="s">
        <v>121</v>
      </c>
      <c r="AG20" s="190"/>
      <c r="AI20" s="46"/>
      <c r="AJ20" s="46"/>
      <c r="AK20" s="14"/>
      <c r="AL20" s="14"/>
      <c r="AM20" s="14"/>
      <c r="AN20" s="14"/>
      <c r="AO20" s="14"/>
      <c r="AP20" s="14"/>
    </row>
    <row r="21" spans="1:42" ht="15" customHeight="1" x14ac:dyDescent="0.3">
      <c r="A21" s="1466" t="s">
        <v>174</v>
      </c>
      <c r="B21" s="1469" t="s">
        <v>23</v>
      </c>
      <c r="C21" s="1470"/>
      <c r="D21" s="140">
        <v>1</v>
      </c>
      <c r="E21" s="1124" t="str">
        <f>IF(E17="","",ROUND(ROUND(100*(1-(E17/$E$11)),1),0))</f>
        <v/>
      </c>
      <c r="F21" s="37" t="str">
        <f t="shared" ref="F21:L23" si="3">IF(E21="","",ROUND(ROUND(((E21-(100*(F17/$E$11)))),1),0))</f>
        <v/>
      </c>
      <c r="G21" s="37" t="str">
        <f t="shared" si="3"/>
        <v/>
      </c>
      <c r="H21" s="37" t="str">
        <f t="shared" si="3"/>
        <v/>
      </c>
      <c r="I21" s="37" t="str">
        <f t="shared" si="3"/>
        <v/>
      </c>
      <c r="J21" s="37" t="str">
        <f t="shared" si="3"/>
        <v/>
      </c>
      <c r="K21" s="37" t="str">
        <f t="shared" si="3"/>
        <v/>
      </c>
      <c r="L21" s="37" t="str">
        <f t="shared" si="3"/>
        <v/>
      </c>
      <c r="M21" s="1125" t="str">
        <f>IF(OR(M17="",M17=0),"",IF($Q$13=$W$27,ROUND((J21-(100*(M17)/$E$11)),1),ROUND((L21-(100*(M17)/$E$11)),1)))</f>
        <v/>
      </c>
      <c r="N21" s="1524"/>
      <c r="O21" s="1525"/>
      <c r="P21" s="1122"/>
      <c r="Q21" s="519"/>
      <c r="R21" s="519"/>
      <c r="S21" s="829"/>
      <c r="V21" s="1027" t="s">
        <v>27</v>
      </c>
      <c r="W21" s="420" t="s">
        <v>110</v>
      </c>
      <c r="X21" s="410">
        <v>100</v>
      </c>
      <c r="Y21" s="410">
        <v>100</v>
      </c>
      <c r="Z21" s="410">
        <v>97</v>
      </c>
      <c r="AA21" s="410">
        <v>85</v>
      </c>
      <c r="AB21" s="410">
        <v>66</v>
      </c>
      <c r="AC21" s="410">
        <v>43</v>
      </c>
      <c r="AD21" s="410">
        <v>19</v>
      </c>
      <c r="AE21" s="410">
        <v>11</v>
      </c>
      <c r="AF21" s="411">
        <v>6</v>
      </c>
      <c r="AG21" s="436" t="s">
        <v>284</v>
      </c>
      <c r="AI21" s="46"/>
      <c r="AJ21" s="447" t="s">
        <v>486</v>
      </c>
      <c r="AK21" s="14"/>
      <c r="AL21" s="14"/>
      <c r="AM21" s="14"/>
      <c r="AN21" s="14"/>
      <c r="AO21" s="14"/>
      <c r="AP21" s="14"/>
    </row>
    <row r="22" spans="1:42" ht="15" customHeight="1" x14ac:dyDescent="0.3">
      <c r="A22" s="1467"/>
      <c r="B22" s="1471"/>
      <c r="C22" s="1472"/>
      <c r="D22" s="141">
        <v>2</v>
      </c>
      <c r="E22" s="1123" t="str">
        <f>IF(E18="","",ROUND(ROUND(100*(1-(E18/$E$11)),1),0))</f>
        <v/>
      </c>
      <c r="F22" s="178" t="str">
        <f t="shared" si="3"/>
        <v/>
      </c>
      <c r="G22" s="178" t="str">
        <f t="shared" si="3"/>
        <v/>
      </c>
      <c r="H22" s="178" t="str">
        <f t="shared" si="3"/>
        <v/>
      </c>
      <c r="I22" s="178" t="str">
        <f t="shared" si="3"/>
        <v/>
      </c>
      <c r="J22" s="178" t="str">
        <f t="shared" si="3"/>
        <v/>
      </c>
      <c r="K22" s="178" t="str">
        <f t="shared" si="3"/>
        <v/>
      </c>
      <c r="L22" s="178" t="str">
        <f t="shared" si="3"/>
        <v/>
      </c>
      <c r="M22" s="1125" t="str">
        <f>IF(OR(M18="",M18=0),"",IF($Q$13=$W$27,ROUND((J22-(100*(M18)/$E$11)),1),ROUND((L22-(100*(M18)/$E$11)),1)))</f>
        <v/>
      </c>
      <c r="N22" s="1524"/>
      <c r="O22" s="1525"/>
      <c r="P22" s="519"/>
      <c r="Q22" s="519"/>
      <c r="R22" s="519"/>
      <c r="S22" s="829"/>
      <c r="V22" s="1028"/>
      <c r="W22" s="419" t="s">
        <v>32</v>
      </c>
      <c r="X22" s="410">
        <v>100</v>
      </c>
      <c r="Y22" s="410">
        <v>99</v>
      </c>
      <c r="Z22" s="410">
        <v>89</v>
      </c>
      <c r="AA22" s="410">
        <v>77</v>
      </c>
      <c r="AB22" s="410">
        <v>53</v>
      </c>
      <c r="AC22" s="410">
        <v>35</v>
      </c>
      <c r="AD22" s="410">
        <v>20</v>
      </c>
      <c r="AE22" s="410">
        <v>11</v>
      </c>
      <c r="AF22" s="411">
        <v>6</v>
      </c>
      <c r="AG22" s="436" t="s">
        <v>484</v>
      </c>
      <c r="AI22" s="46"/>
      <c r="AJ22" s="447" t="s">
        <v>283</v>
      </c>
      <c r="AK22" s="14"/>
      <c r="AL22" s="14"/>
      <c r="AM22" s="14"/>
      <c r="AN22" s="14"/>
      <c r="AO22" s="14"/>
      <c r="AP22" s="14"/>
    </row>
    <row r="23" spans="1:42" ht="15" customHeight="1" x14ac:dyDescent="0.3">
      <c r="A23" s="1467"/>
      <c r="B23" s="1473"/>
      <c r="C23" s="1474"/>
      <c r="D23" s="142">
        <v>3</v>
      </c>
      <c r="E23" s="1123" t="str">
        <f>IF(E19="","",ROUND(ROUND(100*(1-(E19/$E$11)),1),0))</f>
        <v/>
      </c>
      <c r="F23" s="178" t="str">
        <f t="shared" si="3"/>
        <v/>
      </c>
      <c r="G23" s="178" t="str">
        <f t="shared" si="3"/>
        <v/>
      </c>
      <c r="H23" s="178" t="str">
        <f t="shared" si="3"/>
        <v/>
      </c>
      <c r="I23" s="178" t="str">
        <f t="shared" si="3"/>
        <v/>
      </c>
      <c r="J23" s="178" t="str">
        <f t="shared" si="3"/>
        <v/>
      </c>
      <c r="K23" s="178" t="str">
        <f t="shared" si="3"/>
        <v/>
      </c>
      <c r="L23" s="178" t="str">
        <f t="shared" si="3"/>
        <v/>
      </c>
      <c r="M23" s="1125" t="str">
        <f>IF(OR(M19="",M19=0),"",IF($Q$13=$W$27,ROUND((J23-(100*(M19)/$E$11)),1),ROUND((L23-(100*(M19)/$E$11)),1)))</f>
        <v/>
      </c>
      <c r="N23" s="1524"/>
      <c r="O23" s="1525"/>
      <c r="P23" s="519"/>
      <c r="Q23" s="519"/>
      <c r="R23" s="519"/>
      <c r="S23" s="829"/>
      <c r="V23" s="1028"/>
      <c r="W23" s="419" t="s">
        <v>454</v>
      </c>
      <c r="X23" s="410">
        <v>100</v>
      </c>
      <c r="Y23" s="410">
        <v>100</v>
      </c>
      <c r="Z23" s="410">
        <v>92</v>
      </c>
      <c r="AA23" s="410">
        <v>80</v>
      </c>
      <c r="AB23" s="410">
        <v>52</v>
      </c>
      <c r="AC23" s="410">
        <v>33</v>
      </c>
      <c r="AD23" s="410">
        <v>16.100000000000001</v>
      </c>
      <c r="AE23" s="410">
        <v>11</v>
      </c>
      <c r="AF23" s="411">
        <v>5.9</v>
      </c>
      <c r="AG23" s="436" t="s">
        <v>485</v>
      </c>
      <c r="AI23" s="46"/>
      <c r="AJ23" s="46"/>
      <c r="AK23" s="14"/>
      <c r="AL23" s="14"/>
      <c r="AM23" s="14"/>
      <c r="AN23" s="14"/>
      <c r="AO23" s="14"/>
      <c r="AP23" s="14"/>
    </row>
    <row r="24" spans="1:42" ht="15" customHeight="1" x14ac:dyDescent="0.3">
      <c r="A24" s="1468"/>
      <c r="B24" s="1486" t="s">
        <v>8</v>
      </c>
      <c r="C24" s="1487"/>
      <c r="D24" s="1487"/>
      <c r="E24" s="136" t="str">
        <f>IF(E21="","",ROUND(AVERAGE(E21:E23),0))</f>
        <v/>
      </c>
      <c r="F24" s="137" t="str">
        <f t="shared" ref="F24:L24" si="4">IF(F21="","",ROUND(AVERAGE(F21:F23),0))</f>
        <v/>
      </c>
      <c r="G24" s="137" t="str">
        <f t="shared" si="4"/>
        <v/>
      </c>
      <c r="H24" s="137" t="str">
        <f t="shared" si="4"/>
        <v/>
      </c>
      <c r="I24" s="137" t="str">
        <f t="shared" si="4"/>
        <v/>
      </c>
      <c r="J24" s="137" t="str">
        <f t="shared" si="4"/>
        <v/>
      </c>
      <c r="K24" s="137" t="str">
        <f t="shared" si="4"/>
        <v/>
      </c>
      <c r="L24" s="137" t="str">
        <f t="shared" si="4"/>
        <v/>
      </c>
      <c r="M24" s="138" t="str">
        <f>IF(M21="","",ROUND(AVERAGE(M21:M23),1))</f>
        <v/>
      </c>
      <c r="N24" s="1524"/>
      <c r="O24" s="1525"/>
      <c r="P24" s="519"/>
      <c r="Q24" s="519"/>
      <c r="R24" s="519"/>
      <c r="S24" s="829"/>
      <c r="T24" s="190"/>
      <c r="U24" s="190"/>
      <c r="V24" s="1028"/>
      <c r="W24" s="833" t="s">
        <v>431</v>
      </c>
      <c r="X24" s="410">
        <v>100</v>
      </c>
      <c r="Y24" s="410">
        <v>100</v>
      </c>
      <c r="Z24" s="410">
        <v>87.2</v>
      </c>
      <c r="AA24" s="410">
        <v>78.099999999999994</v>
      </c>
      <c r="AB24" s="410">
        <v>56.3</v>
      </c>
      <c r="AC24" s="410">
        <v>37</v>
      </c>
      <c r="AD24" s="410">
        <v>18.3</v>
      </c>
      <c r="AE24" s="410">
        <v>12.1</v>
      </c>
      <c r="AF24" s="411">
        <v>6.7</v>
      </c>
      <c r="AG24" s="190"/>
      <c r="AI24" s="46"/>
      <c r="AJ24" s="46"/>
      <c r="AK24" s="14"/>
      <c r="AL24" s="14"/>
      <c r="AM24" s="14"/>
      <c r="AN24" s="14"/>
      <c r="AO24" s="14"/>
      <c r="AP24" s="14"/>
    </row>
    <row r="25" spans="1:42" ht="15" customHeight="1" x14ac:dyDescent="0.3">
      <c r="A25" s="1460" t="str">
        <f>+IF(Q13="","",IF(Q13=W6,U7,U6))</f>
        <v/>
      </c>
      <c r="B25" s="1461"/>
      <c r="C25" s="1464" t="s">
        <v>178</v>
      </c>
      <c r="D25" s="1464"/>
      <c r="E25" s="38" t="str">
        <f t="shared" ref="E25:J25" si="5">IF($Q$13="","",VLOOKUP($Q$13,$W$9:$AF$14,X8,0))</f>
        <v/>
      </c>
      <c r="F25" s="37" t="str">
        <f t="shared" si="5"/>
        <v/>
      </c>
      <c r="G25" s="37" t="str">
        <f t="shared" si="5"/>
        <v/>
      </c>
      <c r="H25" s="37" t="str">
        <f t="shared" si="5"/>
        <v/>
      </c>
      <c r="I25" s="37" t="str">
        <f t="shared" si="5"/>
        <v/>
      </c>
      <c r="J25" s="37" t="str">
        <f t="shared" si="5"/>
        <v/>
      </c>
      <c r="K25" s="37" t="str">
        <f>IF(OR($Q$13="",K15="--"),"",VLOOKUP($Q$13,$W$9:$AF$14,AD8,0))</f>
        <v/>
      </c>
      <c r="L25" s="37" t="str">
        <f>IF(OR($Q$13="",$Q$13=$W$6),"",VLOOKUP($Q$13,$W$9:$AF$14,AE8,0))</f>
        <v/>
      </c>
      <c r="M25" s="1125" t="str">
        <f>IF(OR($Q$13="",$Q$13=$W$6),"",VLOOKUP($Q$13,$W$9:$AF$14,AF8,0))</f>
        <v/>
      </c>
      <c r="N25" s="1524"/>
      <c r="O25" s="1525"/>
      <c r="P25" s="519"/>
      <c r="Q25" s="519"/>
      <c r="R25" s="519"/>
      <c r="S25" s="829"/>
      <c r="T25" s="190"/>
      <c r="U25" s="190"/>
      <c r="V25" s="1028"/>
      <c r="W25" s="833" t="s">
        <v>432</v>
      </c>
      <c r="X25" s="410">
        <v>100</v>
      </c>
      <c r="Y25" s="410">
        <v>100</v>
      </c>
      <c r="Z25" s="410">
        <v>100</v>
      </c>
      <c r="AA25" s="410">
        <v>91.4</v>
      </c>
      <c r="AB25" s="410">
        <v>65.7</v>
      </c>
      <c r="AC25" s="410">
        <v>46.4</v>
      </c>
      <c r="AD25" s="410">
        <v>23.2</v>
      </c>
      <c r="AE25" s="410">
        <v>14.2</v>
      </c>
      <c r="AF25" s="411">
        <v>7.1</v>
      </c>
      <c r="AG25" s="190"/>
      <c r="AI25" s="46"/>
      <c r="AJ25" s="46"/>
      <c r="AK25" s="14"/>
      <c r="AL25" s="14"/>
      <c r="AM25" s="14"/>
      <c r="AN25" s="14"/>
      <c r="AO25" s="14"/>
      <c r="AP25" s="14"/>
    </row>
    <row r="26" spans="1:42" ht="15" customHeight="1" x14ac:dyDescent="0.3">
      <c r="A26" s="1462"/>
      <c r="B26" s="1463"/>
      <c r="C26" s="1465" t="s">
        <v>179</v>
      </c>
      <c r="D26" s="1465"/>
      <c r="E26" s="53" t="str">
        <f>IF(Q13="","",VLOOKUP(Q13,$W$15:$AF$20,X8,0))</f>
        <v/>
      </c>
      <c r="F26" s="54" t="str">
        <f>IF($Q$13="","",VLOOKUP($Q$13,$W$15:$AF$20,Y8,0))</f>
        <v/>
      </c>
      <c r="G26" s="54" t="str">
        <f>IF($Q$13="","",VLOOKUP($Q$13,$W$15:$AF$20,Z8,0))</f>
        <v/>
      </c>
      <c r="H26" s="54" t="str">
        <f>IF($Q$13="","",VLOOKUP($Q$13,$W$15:$AF$20,AA8,0))</f>
        <v/>
      </c>
      <c r="I26" s="54" t="str">
        <f>IF($Q$13="","",VLOOKUP($Q$13,$W$15:$AF$20,AB8,0))</f>
        <v/>
      </c>
      <c r="J26" s="54" t="str">
        <f>IF($Q$13="","",VLOOKUP($Q$13,$W$15:$AF$20,AC8,0))</f>
        <v/>
      </c>
      <c r="K26" s="54" t="str">
        <f>IF(OR($Q$13="",K15="--"),"",VLOOKUP($Q$13,$W$15:$AF$20,AD8,0))</f>
        <v/>
      </c>
      <c r="L26" s="54" t="str">
        <f>IF(OR($Q$13="",$Q$13=$W$6),"",VLOOKUP($Q$13,$W$15:$AF$20,AE8,0))</f>
        <v/>
      </c>
      <c r="M26" s="35" t="str">
        <f>IF(OR($Q$13="",$Q$13=$W$6),"",VLOOKUP($Q$13,$W$15:$AF$20,AF8,0))</f>
        <v/>
      </c>
      <c r="N26" s="1524"/>
      <c r="O26" s="1525"/>
      <c r="P26" s="519"/>
      <c r="Q26" s="519"/>
      <c r="R26" s="519"/>
      <c r="S26" s="829"/>
      <c r="T26" s="190"/>
      <c r="U26" s="190"/>
      <c r="V26" s="1028"/>
      <c r="W26" s="419" t="s">
        <v>112</v>
      </c>
      <c r="X26" s="410">
        <v>100</v>
      </c>
      <c r="Y26" s="410">
        <v>92</v>
      </c>
      <c r="Z26" s="410">
        <v>70</v>
      </c>
      <c r="AA26" s="410">
        <v>68</v>
      </c>
      <c r="AB26" s="410">
        <v>47</v>
      </c>
      <c r="AC26" s="410">
        <v>31</v>
      </c>
      <c r="AD26" s="410">
        <v>16</v>
      </c>
      <c r="AE26" s="410">
        <v>11</v>
      </c>
      <c r="AF26" s="411">
        <v>5.5</v>
      </c>
      <c r="AG26" s="190"/>
      <c r="AH26" s="34"/>
      <c r="AI26" s="34"/>
      <c r="AJ26" s="447" t="s">
        <v>283</v>
      </c>
    </row>
    <row r="27" spans="1:42" ht="15" customHeight="1" thickBot="1" x14ac:dyDescent="0.35">
      <c r="A27" s="1460" t="s">
        <v>21</v>
      </c>
      <c r="B27" s="1461"/>
      <c r="C27" s="1528" t="s">
        <v>27</v>
      </c>
      <c r="D27" s="1528"/>
      <c r="E27" s="139" t="str">
        <f>IF(Q13="","",VLOOKUP(S13,$W$21:$AF$27,X8,0))</f>
        <v/>
      </c>
      <c r="F27" s="57" t="str">
        <f>IF(Q13="","",VLOOKUP(S13,$W$21:$AF$34,Y8,0))</f>
        <v/>
      </c>
      <c r="G27" s="57" t="str">
        <f>IF(Q13="","",VLOOKUP(S13,$W$21:$AF$27,Z8,0))</f>
        <v/>
      </c>
      <c r="H27" s="57" t="str">
        <f>IF(Q13="","",VLOOKUP(S13,$W$21:$AF$34,AA8,0))</f>
        <v/>
      </c>
      <c r="I27" s="57" t="str">
        <f>IF(Q13="","",VLOOKUP(S13,$W$21:$AF$34,AB8,0))</f>
        <v/>
      </c>
      <c r="J27" s="57" t="str">
        <f>IF(Q13="","",VLOOKUP(S13,$W$21:$AF$34,AC8,0))</f>
        <v/>
      </c>
      <c r="K27" s="57" t="str">
        <f>IF(OR($Q$13="",K15="--"),"",VLOOKUP(S13,$W$21:$AF$34,AD8,0))</f>
        <v/>
      </c>
      <c r="L27" s="57" t="str">
        <f>IF(OR($Q$13="",$Q$13=$W$6),"",VLOOKUP(S13,$W$21:$AF$34,AE8,0))</f>
        <v/>
      </c>
      <c r="M27" s="161" t="str">
        <f>IF(OR($Q$13="",$Q$13=$W$6),"",VLOOKUP(S13,$W$21:$AF$34,AF8,0))</f>
        <v/>
      </c>
      <c r="N27" s="1524"/>
      <c r="O27" s="1525"/>
      <c r="P27" s="519"/>
      <c r="Q27" s="519"/>
      <c r="R27" s="519"/>
      <c r="S27" s="829"/>
      <c r="T27" s="190"/>
      <c r="U27" s="190"/>
      <c r="V27" s="1029"/>
      <c r="W27" s="421" t="s">
        <v>288</v>
      </c>
      <c r="X27" s="412">
        <v>100</v>
      </c>
      <c r="Y27" s="412">
        <v>100</v>
      </c>
      <c r="Z27" s="412">
        <v>84</v>
      </c>
      <c r="AA27" s="412">
        <v>68</v>
      </c>
      <c r="AB27" s="412">
        <v>37</v>
      </c>
      <c r="AC27" s="412">
        <v>23</v>
      </c>
      <c r="AD27" s="500">
        <v>3</v>
      </c>
      <c r="AE27" s="424" t="s">
        <v>121</v>
      </c>
      <c r="AF27" s="501" t="s">
        <v>121</v>
      </c>
      <c r="AG27" s="436" t="s">
        <v>487</v>
      </c>
      <c r="AH27" s="34"/>
      <c r="AI27" s="34"/>
      <c r="AJ27" s="34"/>
    </row>
    <row r="28" spans="1:42" ht="15" customHeight="1" thickTop="1" x14ac:dyDescent="0.3">
      <c r="A28" s="1529"/>
      <c r="B28" s="1530"/>
      <c r="C28" s="1516" t="s">
        <v>178</v>
      </c>
      <c r="D28" s="1516"/>
      <c r="E28" s="38" t="str">
        <f>IF($Q$13="","",(IF($Q$13=$W$35,X35,IF($Q$13=$W$37,X37,IF(OR(E27&lt;=E25,E27-4&lt;=E25),E25,(E27-4))))))</f>
        <v/>
      </c>
      <c r="F28" s="37" t="str">
        <f t="shared" ref="F28:K28" si="6">IF($Q$13="","",(IF($Q$13=$W$35,Y35,IF($Q$13=$W$37,Y37,(IF(OR(F27&lt;=F25,F27-4&lt;=F25),F25,(F27-4)))))))</f>
        <v/>
      </c>
      <c r="G28" s="37" t="str">
        <f t="shared" si="6"/>
        <v/>
      </c>
      <c r="H28" s="37" t="str">
        <f t="shared" si="6"/>
        <v/>
      </c>
      <c r="I28" s="37" t="str">
        <f t="shared" si="6"/>
        <v/>
      </c>
      <c r="J28" s="37" t="str">
        <f t="shared" si="6"/>
        <v/>
      </c>
      <c r="K28" s="37" t="str">
        <f t="shared" si="6"/>
        <v/>
      </c>
      <c r="L28" s="37" t="str">
        <f>IF(OR($Q$13="",Q13=W20),"",(IF($Q$13=$W$35,AE35,IF($Q$13=$W$37,AE37,(IF(OR(L27&lt;=L25,L27-4&lt;=L25),L25,(L27-4)))))))</f>
        <v/>
      </c>
      <c r="M28" s="1125" t="str">
        <f>IF(OR($Q$13="",Q13=W20),"",(IF($Q$13=$W$35,AF35,IF($Q$13=$W$37,AF37,(IF(OR(M27&lt;=M25,M27-4&lt;=M25),M25,(M27-4)))))))</f>
        <v/>
      </c>
      <c r="N28" s="1524"/>
      <c r="O28" s="1525"/>
      <c r="P28" s="519"/>
      <c r="Q28" s="519"/>
      <c r="R28" s="519"/>
      <c r="T28" s="190"/>
      <c r="U28" s="190"/>
      <c r="V28" s="1513" t="s">
        <v>269</v>
      </c>
      <c r="W28" s="1514"/>
      <c r="X28" s="1514"/>
      <c r="Y28" s="1514"/>
      <c r="Z28" s="1514"/>
      <c r="AA28" s="1514"/>
      <c r="AB28" s="1514"/>
      <c r="AC28" s="1514"/>
      <c r="AD28" s="1514"/>
      <c r="AE28" s="1515"/>
      <c r="AG28" s="234"/>
      <c r="AH28" s="39"/>
      <c r="AI28" s="34"/>
      <c r="AJ28" s="34"/>
    </row>
    <row r="29" spans="1:42" ht="15" customHeight="1" x14ac:dyDescent="0.3">
      <c r="A29" s="1462"/>
      <c r="B29" s="1463"/>
      <c r="C29" s="1465" t="s">
        <v>179</v>
      </c>
      <c r="D29" s="1517"/>
      <c r="E29" s="53" t="str">
        <f>IF($Q$13="","",(IF($Q$13=$W$35,X36,IF($Q$13=$W$37,X38,(IF(AND(E27&gt;=E26,E27+4&gt;=E26),E26,(E27+4)))))))</f>
        <v/>
      </c>
      <c r="F29" s="54" t="str">
        <f t="shared" ref="F29:K29" si="7">IF($Q$13="","",(IF($Q$13=$W$35,Y36,IF($Q$13=$W$37,Y38,(IF(OR(F27&gt;=F26,F27+4&gt;=F26),F26,(F27+4)))))))</f>
        <v/>
      </c>
      <c r="G29" s="54" t="str">
        <f t="shared" si="7"/>
        <v/>
      </c>
      <c r="H29" s="54" t="str">
        <f t="shared" si="7"/>
        <v/>
      </c>
      <c r="I29" s="54" t="str">
        <f t="shared" si="7"/>
        <v/>
      </c>
      <c r="J29" s="54" t="str">
        <f t="shared" si="7"/>
        <v/>
      </c>
      <c r="K29" s="54" t="str">
        <f t="shared" si="7"/>
        <v/>
      </c>
      <c r="L29" s="54" t="str">
        <f>IF(OR($Q$13="",Q13=W20),"",(IF($Q$13=$W$35,AE36,IF($Q$13=$W$37,AE38,(IF(OR(L27&gt;=L26,L27+4&gt;=L26),L26,(L27+4)))))))</f>
        <v/>
      </c>
      <c r="M29" s="35" t="str">
        <f>IF(OR($Q$13="",Q13=W20),"",(IF($Q$13=$W$35,AF36,IF($Q$13=$W$37,AF38,(IF(OR(M27&gt;=M26,M27+4&gt;=M26),M26,(M27+4)))))))</f>
        <v/>
      </c>
      <c r="N29" s="1526"/>
      <c r="O29" s="1527"/>
      <c r="P29" s="519"/>
      <c r="Q29" s="519"/>
      <c r="R29" s="519"/>
      <c r="T29" s="190"/>
      <c r="U29" s="190"/>
      <c r="V29" s="388" t="s">
        <v>0</v>
      </c>
      <c r="W29" s="328" t="s">
        <v>1</v>
      </c>
      <c r="X29" s="263" t="s">
        <v>4</v>
      </c>
      <c r="Y29" s="263" t="s">
        <v>2</v>
      </c>
      <c r="Z29" s="263" t="s">
        <v>9</v>
      </c>
      <c r="AA29" s="333" t="str">
        <f>+IF($D$7=$W$6,AC6,AC4)</f>
        <v>N° 10</v>
      </c>
      <c r="AB29" s="333" t="str">
        <f>+IF($D$7=$W$6,AD6,AD4)</f>
        <v>N° 40</v>
      </c>
      <c r="AC29" s="333" t="str">
        <f>+IF($D$7=$W$6,"",AE4)</f>
        <v>N° 80</v>
      </c>
      <c r="AD29" s="333" t="str">
        <f>+IF($D$7=$W$6,"",AF4)</f>
        <v>N° 200</v>
      </c>
      <c r="AE29" s="389"/>
      <c r="AG29" s="270"/>
      <c r="AH29" s="39"/>
      <c r="AI29" s="34"/>
      <c r="AJ29" s="34"/>
    </row>
    <row r="30" spans="1:42" ht="15" customHeight="1" thickBot="1" x14ac:dyDescent="0.35">
      <c r="A30" s="56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47"/>
      <c r="P30" s="34"/>
      <c r="Q30" s="34"/>
      <c r="R30" s="34"/>
      <c r="V30" s="385">
        <v>25</v>
      </c>
      <c r="W30" s="386">
        <v>19</v>
      </c>
      <c r="X30" s="386">
        <v>12.5</v>
      </c>
      <c r="Y30" s="386">
        <v>9.5</v>
      </c>
      <c r="Z30" s="386">
        <v>4.75</v>
      </c>
      <c r="AA30" s="380">
        <f>+IF($T$3=$W$6,AC7,AC5)</f>
        <v>2</v>
      </c>
      <c r="AB30" s="495">
        <f>+IF($T$3=$W$6,AD7,AD5)</f>
        <v>0.42499999999999999</v>
      </c>
      <c r="AC30" s="495">
        <f>+IF($T$3=$W$6,AE7,AE5)</f>
        <v>0.18</v>
      </c>
      <c r="AD30" s="495">
        <f>+IF($T$3=$W$6,AF7,AF5)</f>
        <v>7.4999999999999997E-2</v>
      </c>
      <c r="AE30" s="381"/>
      <c r="AG30" s="270"/>
      <c r="AH30" s="39"/>
      <c r="AI30" s="34"/>
      <c r="AJ30" s="34"/>
    </row>
    <row r="31" spans="1:42" ht="15" customHeight="1" thickTop="1" x14ac:dyDescent="0.3">
      <c r="A31" s="56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47"/>
      <c r="P31" s="34"/>
      <c r="Q31" s="34"/>
      <c r="R31" s="34"/>
      <c r="V31" s="443" t="str">
        <f>+E24</f>
        <v/>
      </c>
      <c r="W31" s="443" t="str">
        <f t="shared" ref="W31:AA31" si="8">+F24</f>
        <v/>
      </c>
      <c r="X31" s="443" t="str">
        <f t="shared" si="8"/>
        <v/>
      </c>
      <c r="Y31" s="443" t="str">
        <f t="shared" si="8"/>
        <v/>
      </c>
      <c r="Z31" s="443" t="str">
        <f t="shared" si="8"/>
        <v/>
      </c>
      <c r="AA31" s="443" t="str">
        <f t="shared" si="8"/>
        <v/>
      </c>
      <c r="AB31" s="496" t="str">
        <f>+IF($T$3=$W$6,K24,K24)</f>
        <v/>
      </c>
      <c r="AC31" s="497" t="str">
        <f>+IF(T3=W6,"",L24)</f>
        <v/>
      </c>
      <c r="AD31" s="497" t="str">
        <f>+IF(T3=W6,"",M24)</f>
        <v/>
      </c>
      <c r="AG31" s="39"/>
      <c r="AH31" s="39"/>
      <c r="AI31" s="34"/>
      <c r="AJ31" s="34"/>
    </row>
    <row r="32" spans="1:42" ht="15" customHeight="1" x14ac:dyDescent="0.3">
      <c r="A32" s="56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47"/>
      <c r="P32" s="34"/>
      <c r="Q32" s="34"/>
      <c r="R32" s="34"/>
      <c r="V32" s="1518" t="s">
        <v>271</v>
      </c>
      <c r="W32" s="425">
        <f>+AC7</f>
        <v>2.36</v>
      </c>
      <c r="X32" s="426">
        <f>+W32</f>
        <v>2.36</v>
      </c>
      <c r="AG32" s="39"/>
      <c r="AH32" s="39"/>
      <c r="AI32" s="34"/>
      <c r="AJ32" s="34"/>
    </row>
    <row r="33" spans="1:42" ht="15" customHeight="1" x14ac:dyDescent="0.3">
      <c r="A33" s="56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47"/>
      <c r="P33" s="34"/>
      <c r="Q33" s="34"/>
      <c r="R33" s="34"/>
      <c r="S33" s="174"/>
      <c r="V33" s="1519"/>
      <c r="W33" s="458">
        <f t="array" ref="W33:X33">{100,0}</f>
        <v>100</v>
      </c>
      <c r="X33" s="427">
        <v>0</v>
      </c>
      <c r="Y33" s="390"/>
      <c r="Z33" s="177"/>
      <c r="AA33" s="177"/>
      <c r="AB33" s="177"/>
      <c r="AC33" s="177"/>
      <c r="AF33" s="391"/>
      <c r="AG33" s="39"/>
      <c r="AH33" s="39"/>
      <c r="AI33" s="34"/>
      <c r="AJ33" s="34"/>
    </row>
    <row r="34" spans="1:42" ht="15" customHeight="1" thickBot="1" x14ac:dyDescent="0.35">
      <c r="A34" s="56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47"/>
      <c r="P34" s="34"/>
      <c r="Q34" s="34"/>
      <c r="R34" s="34"/>
      <c r="S34" s="827"/>
      <c r="V34" s="343"/>
      <c r="W34" s="382"/>
      <c r="X34" s="392"/>
      <c r="Y34" s="177"/>
      <c r="Z34" s="177"/>
      <c r="AA34" s="177"/>
      <c r="AB34" s="177"/>
      <c r="AC34" s="177"/>
      <c r="AF34" s="391"/>
      <c r="AG34" s="39"/>
      <c r="AH34" s="39"/>
      <c r="AI34" s="34"/>
      <c r="AJ34" s="34"/>
    </row>
    <row r="35" spans="1:42" ht="21" customHeight="1" thickTop="1" x14ac:dyDescent="0.3">
      <c r="A35" s="56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47"/>
      <c r="P35" s="34"/>
      <c r="Q35" s="34"/>
      <c r="R35" s="34"/>
      <c r="S35" s="82"/>
      <c r="V35" s="1520" t="s">
        <v>439</v>
      </c>
      <c r="W35" s="1522" t="s">
        <v>431</v>
      </c>
      <c r="X35" s="965">
        <v>100</v>
      </c>
      <c r="Y35" s="965">
        <v>100</v>
      </c>
      <c r="Z35" s="965">
        <v>84</v>
      </c>
      <c r="AA35" s="965">
        <v>73</v>
      </c>
      <c r="AB35" s="965">
        <v>50</v>
      </c>
      <c r="AC35" s="965">
        <v>33</v>
      </c>
      <c r="AD35" s="965">
        <v>17</v>
      </c>
      <c r="AE35" s="965">
        <v>11</v>
      </c>
      <c r="AF35" s="966">
        <v>5</v>
      </c>
      <c r="AG35" s="39"/>
      <c r="AH35" s="84"/>
      <c r="AI35" s="34"/>
      <c r="AJ35" s="34"/>
    </row>
    <row r="36" spans="1:42" ht="15" customHeight="1" thickBot="1" x14ac:dyDescent="0.35">
      <c r="A36" s="56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47"/>
      <c r="P36" s="34"/>
      <c r="Q36" s="34"/>
      <c r="R36" s="34"/>
      <c r="S36" s="82"/>
      <c r="V36" s="1521"/>
      <c r="W36" s="1523"/>
      <c r="X36" s="967">
        <v>100</v>
      </c>
      <c r="Y36" s="967">
        <v>100</v>
      </c>
      <c r="Z36" s="967">
        <v>92</v>
      </c>
      <c r="AA36" s="967">
        <v>81</v>
      </c>
      <c r="AB36" s="967">
        <v>59</v>
      </c>
      <c r="AC36" s="967">
        <v>39</v>
      </c>
      <c r="AD36" s="967">
        <v>23</v>
      </c>
      <c r="AE36" s="967">
        <v>16</v>
      </c>
      <c r="AF36" s="968">
        <v>8</v>
      </c>
      <c r="AG36" s="39"/>
      <c r="AH36" s="84"/>
      <c r="AI36" s="39"/>
      <c r="AJ36" s="39"/>
      <c r="AK36" s="15"/>
      <c r="AL36" s="15"/>
      <c r="AM36" s="15"/>
      <c r="AN36" s="15"/>
      <c r="AO36" s="15"/>
      <c r="AP36" s="15"/>
    </row>
    <row r="37" spans="1:42" ht="21" customHeight="1" thickTop="1" x14ac:dyDescent="0.3">
      <c r="A37" s="56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47"/>
      <c r="P37" s="34"/>
      <c r="Q37" s="34"/>
      <c r="R37" s="34"/>
      <c r="S37" s="82"/>
      <c r="V37" s="1520" t="s">
        <v>439</v>
      </c>
      <c r="W37" s="1522" t="s">
        <v>432</v>
      </c>
      <c r="X37" s="965">
        <v>100</v>
      </c>
      <c r="Y37" s="965">
        <v>100</v>
      </c>
      <c r="Z37" s="965">
        <v>100</v>
      </c>
      <c r="AA37" s="965">
        <v>87</v>
      </c>
      <c r="AB37" s="965">
        <v>61</v>
      </c>
      <c r="AC37" s="965">
        <v>44</v>
      </c>
      <c r="AD37" s="965">
        <v>19</v>
      </c>
      <c r="AE37" s="965">
        <v>11</v>
      </c>
      <c r="AF37" s="969">
        <v>6</v>
      </c>
      <c r="AG37" s="85"/>
      <c r="AH37" s="39"/>
      <c r="AI37" s="39"/>
      <c r="AJ37" s="39"/>
      <c r="AK37" s="15"/>
      <c r="AL37" s="15"/>
      <c r="AM37" s="15"/>
      <c r="AN37" s="15"/>
      <c r="AO37" s="15"/>
      <c r="AP37" s="15"/>
    </row>
    <row r="38" spans="1:42" ht="15" customHeight="1" thickBot="1" x14ac:dyDescent="0.35">
      <c r="A38" s="56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47"/>
      <c r="P38" s="34"/>
      <c r="Q38" s="34"/>
      <c r="R38" s="34"/>
      <c r="S38" s="193"/>
      <c r="V38" s="1521"/>
      <c r="W38" s="1523"/>
      <c r="X38" s="967">
        <v>100</v>
      </c>
      <c r="Y38" s="967">
        <v>100</v>
      </c>
      <c r="Z38" s="967">
        <v>100</v>
      </c>
      <c r="AA38" s="967">
        <v>95</v>
      </c>
      <c r="AB38" s="967">
        <v>69</v>
      </c>
      <c r="AC38" s="967">
        <v>50</v>
      </c>
      <c r="AD38" s="967">
        <v>25</v>
      </c>
      <c r="AE38" s="967">
        <v>18</v>
      </c>
      <c r="AF38" s="970">
        <v>8</v>
      </c>
      <c r="AG38" s="85"/>
      <c r="AH38" s="39"/>
      <c r="AI38" s="39"/>
      <c r="AJ38" s="39"/>
      <c r="AK38" s="15"/>
      <c r="AL38" s="15"/>
      <c r="AM38" s="15"/>
      <c r="AN38" s="15"/>
      <c r="AO38" s="15"/>
      <c r="AP38" s="15"/>
    </row>
    <row r="39" spans="1:42" ht="15" customHeight="1" thickTop="1" x14ac:dyDescent="0.3">
      <c r="A39" s="56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47"/>
      <c r="P39" s="34"/>
      <c r="Q39" s="34"/>
      <c r="R39" s="34"/>
      <c r="S39" s="513"/>
      <c r="AG39" s="39"/>
      <c r="AH39" s="39"/>
      <c r="AI39" s="39"/>
      <c r="AJ39" s="39"/>
      <c r="AK39" s="15"/>
      <c r="AL39" s="15"/>
      <c r="AM39" s="15"/>
      <c r="AN39" s="15"/>
      <c r="AO39" s="15"/>
      <c r="AP39" s="15"/>
    </row>
    <row r="40" spans="1:42" ht="15" customHeight="1" x14ac:dyDescent="0.3">
      <c r="A40" s="56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47"/>
      <c r="P40" s="34"/>
      <c r="Q40" s="34"/>
      <c r="R40" s="34"/>
      <c r="S40" s="72"/>
      <c r="AG40" s="39"/>
      <c r="AH40" s="39"/>
      <c r="AI40" s="39"/>
      <c r="AJ40" s="39"/>
      <c r="AK40" s="15"/>
      <c r="AL40" s="15"/>
      <c r="AM40" s="15"/>
      <c r="AN40" s="15"/>
      <c r="AO40" s="15"/>
      <c r="AP40" s="15"/>
    </row>
    <row r="41" spans="1:42" ht="15" customHeight="1" x14ac:dyDescent="0.3">
      <c r="A41" s="56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47"/>
      <c r="P41" s="34"/>
      <c r="Q41" s="34"/>
      <c r="R41" s="34"/>
      <c r="S41" s="152"/>
      <c r="AG41" s="39"/>
      <c r="AH41" s="39"/>
      <c r="AI41" s="39"/>
      <c r="AJ41" s="39"/>
      <c r="AK41" s="15"/>
      <c r="AL41" s="15"/>
      <c r="AM41" s="15"/>
      <c r="AN41" s="15"/>
      <c r="AO41" s="15"/>
      <c r="AP41" s="15"/>
    </row>
    <row r="42" spans="1:42" ht="15" customHeight="1" x14ac:dyDescent="0.3">
      <c r="A42" s="56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47"/>
      <c r="P42" s="34"/>
      <c r="Q42" s="34"/>
      <c r="R42" s="34"/>
      <c r="S42" s="74"/>
      <c r="AG42" s="39"/>
      <c r="AH42" s="1492"/>
      <c r="AI42" s="39"/>
      <c r="AJ42" s="39"/>
      <c r="AK42" s="15"/>
      <c r="AL42" s="15"/>
      <c r="AM42" s="15"/>
      <c r="AN42" s="15"/>
      <c r="AO42" s="15"/>
      <c r="AP42" s="15"/>
    </row>
    <row r="43" spans="1:42" ht="12.75" customHeight="1" x14ac:dyDescent="0.3">
      <c r="A43" s="56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47"/>
      <c r="P43" s="34"/>
      <c r="Q43" s="34"/>
      <c r="R43" s="34"/>
      <c r="S43" s="73"/>
      <c r="V43" s="34"/>
      <c r="AD43" s="177"/>
      <c r="AE43" s="177"/>
      <c r="AF43" s="177"/>
      <c r="AG43" s="1508"/>
      <c r="AH43" s="1492"/>
      <c r="AI43" s="39"/>
      <c r="AJ43" s="39"/>
      <c r="AK43" s="15"/>
      <c r="AL43" s="15"/>
      <c r="AM43" s="15"/>
      <c r="AN43" s="15"/>
      <c r="AO43" s="15"/>
      <c r="AP43" s="15"/>
    </row>
    <row r="44" spans="1:42" ht="15" customHeight="1" x14ac:dyDescent="0.3">
      <c r="A44" s="56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47"/>
      <c r="P44" s="34"/>
      <c r="Q44" s="34"/>
      <c r="R44" s="34"/>
      <c r="S44" s="73"/>
      <c r="AG44" s="1508"/>
      <c r="AH44" s="46"/>
      <c r="AI44" s="39"/>
      <c r="AJ44" s="39"/>
      <c r="AK44" s="15"/>
      <c r="AL44" s="15"/>
      <c r="AM44" s="15"/>
      <c r="AN44" s="15"/>
      <c r="AO44" s="15"/>
      <c r="AP44" s="15"/>
    </row>
    <row r="45" spans="1:42" ht="15" customHeight="1" x14ac:dyDescent="0.3">
      <c r="A45" s="56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47"/>
      <c r="P45" s="34"/>
      <c r="Q45" s="643"/>
      <c r="R45" s="643"/>
      <c r="S45" s="147"/>
      <c r="V45" s="1499"/>
      <c r="AD45" s="37"/>
      <c r="AE45" s="37"/>
      <c r="AF45" s="37"/>
      <c r="AG45" s="46"/>
      <c r="AH45" s="34"/>
      <c r="AI45" s="39"/>
      <c r="AJ45" s="39"/>
      <c r="AK45" s="15"/>
      <c r="AL45" s="15"/>
      <c r="AM45" s="15"/>
      <c r="AN45" s="15"/>
      <c r="AO45" s="15"/>
      <c r="AP45" s="15"/>
    </row>
    <row r="46" spans="1:42" ht="6.75" customHeight="1" x14ac:dyDescent="0.3">
      <c r="A46" s="1500"/>
      <c r="B46" s="1501"/>
      <c r="C46" s="1501"/>
      <c r="D46" s="1501"/>
      <c r="E46" s="1501"/>
      <c r="F46" s="1501"/>
      <c r="G46" s="1501"/>
      <c r="H46" s="1501"/>
      <c r="I46" s="1501"/>
      <c r="J46" s="1501"/>
      <c r="K46" s="1501"/>
      <c r="L46" s="1501"/>
      <c r="M46" s="1501"/>
      <c r="N46" s="1501"/>
      <c r="O46" s="1502"/>
      <c r="P46" s="1121"/>
      <c r="Q46" s="645"/>
      <c r="R46" s="645"/>
      <c r="S46" s="147"/>
      <c r="V46" s="1499"/>
      <c r="W46" s="34"/>
      <c r="X46" s="37"/>
      <c r="Y46" s="37"/>
      <c r="Z46" s="37"/>
      <c r="AA46" s="37"/>
      <c r="AB46" s="37"/>
      <c r="AC46" s="37"/>
      <c r="AD46" s="37"/>
      <c r="AE46" s="37"/>
      <c r="AF46" s="37"/>
      <c r="AG46" s="46"/>
      <c r="AH46" s="34"/>
      <c r="AI46" s="39"/>
      <c r="AJ46" s="39"/>
      <c r="AK46" s="15"/>
      <c r="AL46" s="15"/>
      <c r="AM46" s="15"/>
      <c r="AN46" s="15"/>
      <c r="AO46" s="15"/>
      <c r="AP46" s="15"/>
    </row>
    <row r="47" spans="1:42" ht="15" customHeight="1" x14ac:dyDescent="0.3">
      <c r="A47" s="644" t="s">
        <v>96</v>
      </c>
      <c r="B47" s="1503" t="s">
        <v>312</v>
      </c>
      <c r="C47" s="1503"/>
      <c r="D47" s="1503"/>
      <c r="E47" s="1503"/>
      <c r="F47" s="1504"/>
      <c r="G47" s="1505"/>
      <c r="H47" s="1505"/>
      <c r="I47" s="982" t="str">
        <f>IF(F47="","","al")</f>
        <v/>
      </c>
      <c r="J47" s="1505"/>
      <c r="K47" s="1505"/>
      <c r="L47" s="983"/>
      <c r="M47" s="645"/>
      <c r="N47" s="645"/>
      <c r="O47" s="646"/>
      <c r="P47" s="645"/>
      <c r="Q47" s="647"/>
      <c r="R47" s="647"/>
      <c r="S47" s="149"/>
      <c r="V47" s="1499"/>
      <c r="W47" s="34"/>
      <c r="X47" s="37"/>
      <c r="Y47" s="37"/>
      <c r="Z47" s="37"/>
      <c r="AA47" s="37"/>
      <c r="AB47" s="37"/>
      <c r="AC47" s="37"/>
      <c r="AD47" s="37"/>
      <c r="AE47" s="37"/>
      <c r="AF47" s="37"/>
      <c r="AG47" s="46"/>
      <c r="AH47" s="34"/>
      <c r="AI47" s="39"/>
      <c r="AJ47" s="39"/>
      <c r="AK47" s="15"/>
      <c r="AL47" s="15"/>
      <c r="AM47" s="15"/>
      <c r="AN47" s="15"/>
      <c r="AO47" s="15"/>
      <c r="AP47" s="15"/>
    </row>
    <row r="48" spans="1:42" ht="8.25" customHeight="1" x14ac:dyDescent="0.3">
      <c r="A48" s="90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91"/>
      <c r="P48" s="647"/>
      <c r="Q48" s="648"/>
      <c r="R48" s="648"/>
      <c r="S48" s="149"/>
      <c r="V48" s="387"/>
      <c r="AG48" s="34"/>
      <c r="AH48" s="34"/>
      <c r="AI48" s="39"/>
      <c r="AJ48" s="39"/>
      <c r="AK48" s="15"/>
      <c r="AL48" s="15"/>
      <c r="AM48" s="15"/>
      <c r="AN48" s="15"/>
      <c r="AO48" s="15"/>
      <c r="AP48" s="15"/>
    </row>
    <row r="49" spans="1:42" ht="15" customHeight="1" x14ac:dyDescent="0.3">
      <c r="A49" s="1509" t="s">
        <v>3</v>
      </c>
      <c r="B49" s="1509"/>
      <c r="C49" s="1139"/>
      <c r="D49" s="1139"/>
      <c r="E49" s="1506"/>
      <c r="F49" s="1506"/>
      <c r="G49" s="1506"/>
      <c r="H49" s="1506"/>
      <c r="I49" s="1506"/>
      <c r="J49" s="1506"/>
      <c r="K49" s="1506"/>
      <c r="L49" s="1506"/>
      <c r="M49" s="1506"/>
      <c r="N49" s="1506"/>
      <c r="O49" s="651"/>
      <c r="P49" s="648"/>
      <c r="Q49" s="648"/>
      <c r="R49" s="648"/>
      <c r="S49" s="149"/>
      <c r="V49" s="387"/>
      <c r="AG49" s="34"/>
      <c r="AH49" s="34"/>
      <c r="AI49" s="39"/>
      <c r="AJ49" s="39"/>
      <c r="AK49" s="15"/>
      <c r="AL49" s="15"/>
      <c r="AM49" s="15"/>
      <c r="AN49" s="15"/>
      <c r="AO49" s="15"/>
      <c r="AP49" s="15"/>
    </row>
    <row r="50" spans="1:42" ht="8.25" customHeight="1" x14ac:dyDescent="0.3">
      <c r="A50" s="649"/>
      <c r="B50" s="650"/>
      <c r="C50" s="650"/>
      <c r="D50" s="648"/>
      <c r="E50" s="648"/>
      <c r="F50" s="648"/>
      <c r="G50" s="648"/>
      <c r="H50" s="648"/>
      <c r="I50" s="648"/>
      <c r="J50" s="648"/>
      <c r="K50" s="648"/>
      <c r="L50" s="648"/>
      <c r="M50" s="648"/>
      <c r="N50" s="648"/>
      <c r="O50" s="651"/>
      <c r="P50" s="648"/>
      <c r="Q50" s="648"/>
      <c r="R50" s="648"/>
      <c r="S50" s="154"/>
      <c r="V50" s="387"/>
      <c r="AG50" s="34"/>
      <c r="AH50" s="34"/>
      <c r="AI50" s="39"/>
      <c r="AJ50" s="39"/>
      <c r="AK50" s="15"/>
      <c r="AL50" s="15"/>
      <c r="AM50" s="15"/>
      <c r="AN50" s="15"/>
      <c r="AO50" s="15"/>
      <c r="AP50" s="15"/>
    </row>
    <row r="51" spans="1:42" ht="15" customHeight="1" thickBot="1" x14ac:dyDescent="0.35">
      <c r="A51" s="1494"/>
      <c r="B51" s="1495"/>
      <c r="C51" s="1495"/>
      <c r="D51" s="1495"/>
      <c r="E51" s="1495"/>
      <c r="F51" s="1495"/>
      <c r="G51" s="1495"/>
      <c r="H51" s="1495"/>
      <c r="I51" s="1495"/>
      <c r="J51" s="1495"/>
      <c r="K51" s="1495"/>
      <c r="L51" s="1495"/>
      <c r="M51" s="1495"/>
      <c r="N51" s="1495"/>
      <c r="O51" s="1496"/>
      <c r="P51" s="518"/>
      <c r="Q51" s="518"/>
      <c r="R51" s="518"/>
      <c r="S51" s="146"/>
      <c r="V51" s="1493"/>
      <c r="W51" s="382"/>
      <c r="X51" s="37"/>
      <c r="Y51" s="37"/>
      <c r="Z51" s="37"/>
      <c r="AA51" s="37"/>
      <c r="AB51" s="37"/>
      <c r="AC51" s="37"/>
      <c r="AD51" s="37"/>
      <c r="AE51" s="37"/>
      <c r="AF51" s="178"/>
      <c r="AG51" s="34"/>
      <c r="AH51" s="34"/>
      <c r="AI51" s="39"/>
      <c r="AJ51" s="39"/>
      <c r="AK51" s="15"/>
      <c r="AL51" s="15"/>
      <c r="AM51" s="15"/>
      <c r="AN51" s="15"/>
      <c r="AO51" s="15"/>
      <c r="AP51" s="15"/>
    </row>
    <row r="52" spans="1:42" ht="15" customHeight="1" thickTop="1" thickBot="1" x14ac:dyDescent="0.35">
      <c r="A52" s="1497" t="s">
        <v>123</v>
      </c>
      <c r="B52" s="1368"/>
      <c r="C52" s="1368"/>
      <c r="D52" s="1368"/>
      <c r="E52" s="1368"/>
      <c r="F52" s="1368"/>
      <c r="G52" s="1368"/>
      <c r="H52" s="1368"/>
      <c r="I52" s="1368"/>
      <c r="J52" s="1368"/>
      <c r="K52" s="1368"/>
      <c r="L52" s="1368"/>
      <c r="M52" s="1368"/>
      <c r="N52" s="1368"/>
      <c r="O52" s="1498"/>
      <c r="P52" s="627"/>
      <c r="Q52" s="627"/>
      <c r="R52" s="627"/>
      <c r="S52" s="75"/>
      <c r="V52" s="1493"/>
      <c r="W52" s="34"/>
      <c r="X52" s="37"/>
      <c r="Y52" s="37"/>
      <c r="Z52" s="37"/>
      <c r="AA52" s="37"/>
      <c r="AB52" s="37"/>
      <c r="AC52" s="37"/>
      <c r="AD52" s="37"/>
      <c r="AE52" s="37"/>
      <c r="AF52" s="178"/>
      <c r="AG52" s="34"/>
      <c r="AH52" s="34"/>
      <c r="AI52" s="39"/>
      <c r="AJ52" s="39"/>
      <c r="AK52" s="15"/>
      <c r="AL52" s="15"/>
      <c r="AM52" s="15"/>
      <c r="AN52" s="15"/>
      <c r="AO52" s="15"/>
      <c r="AP52" s="15"/>
    </row>
    <row r="53" spans="1:42" ht="3" customHeight="1" thickTop="1" x14ac:dyDescent="0.3">
      <c r="A53" s="1507"/>
      <c r="B53" s="1507"/>
      <c r="C53" s="1507"/>
      <c r="D53" s="1507"/>
      <c r="E53" s="1507"/>
      <c r="F53" s="1507"/>
      <c r="G53" s="1507"/>
      <c r="H53" s="1507"/>
      <c r="I53" s="1507"/>
      <c r="J53" s="1507"/>
      <c r="K53" s="1507"/>
      <c r="L53" s="1507"/>
      <c r="M53" s="1507"/>
      <c r="N53" s="1507"/>
      <c r="O53" s="1507"/>
      <c r="P53" s="193"/>
      <c r="Q53" s="193"/>
      <c r="R53" s="193"/>
      <c r="S53" s="75"/>
      <c r="V53" s="1493"/>
      <c r="W53" s="34"/>
      <c r="X53" s="37"/>
      <c r="Y53" s="37"/>
      <c r="Z53" s="37"/>
      <c r="AA53" s="37"/>
      <c r="AB53" s="37"/>
      <c r="AC53" s="37"/>
      <c r="AD53" s="37"/>
      <c r="AE53" s="37"/>
      <c r="AF53" s="178"/>
      <c r="AG53" s="34"/>
      <c r="AI53" s="39"/>
      <c r="AJ53" s="39"/>
      <c r="AK53" s="15"/>
      <c r="AL53" s="15"/>
      <c r="AM53" s="15"/>
      <c r="AN53" s="15"/>
      <c r="AO53" s="15"/>
      <c r="AP53" s="15"/>
    </row>
    <row r="54" spans="1:42" ht="7.5" customHeight="1" x14ac:dyDescent="0.3">
      <c r="A54" s="1369" t="s">
        <v>204</v>
      </c>
      <c r="B54" s="1369"/>
      <c r="C54" s="1369"/>
      <c r="D54" s="1369"/>
      <c r="E54" s="1369"/>
      <c r="F54" s="1369"/>
      <c r="G54" s="1369"/>
      <c r="H54" s="1369"/>
      <c r="I54" s="1369"/>
      <c r="J54" s="1369"/>
      <c r="K54" s="1369"/>
      <c r="L54" s="1369"/>
      <c r="M54" s="1369"/>
      <c r="N54" s="1369"/>
      <c r="O54" s="1369"/>
      <c r="P54" s="513"/>
      <c r="Q54" s="513"/>
      <c r="R54" s="513"/>
      <c r="S54" s="75"/>
      <c r="V54" s="149"/>
      <c r="W54" s="2"/>
      <c r="X54" s="86"/>
      <c r="Y54" s="87"/>
      <c r="Z54" s="3"/>
      <c r="AA54" s="4"/>
      <c r="AB54" s="4"/>
      <c r="AC54" s="88"/>
      <c r="AD54" s="2"/>
      <c r="AI54" s="39"/>
      <c r="AJ54" s="39"/>
      <c r="AK54" s="15"/>
      <c r="AL54" s="15"/>
      <c r="AM54" s="15"/>
      <c r="AN54" s="15"/>
      <c r="AO54" s="15"/>
      <c r="AP54" s="15"/>
    </row>
    <row r="55" spans="1:42" ht="20.25" customHeight="1" x14ac:dyDescent="0.3">
      <c r="A55" s="1369"/>
      <c r="B55" s="1369"/>
      <c r="C55" s="1369"/>
      <c r="D55" s="1369"/>
      <c r="E55" s="1369"/>
      <c r="F55" s="1369"/>
      <c r="G55" s="1369"/>
      <c r="H55" s="1369"/>
      <c r="I55" s="1369"/>
      <c r="J55" s="1369"/>
      <c r="K55" s="1369"/>
      <c r="L55" s="1369"/>
      <c r="M55" s="1369"/>
      <c r="N55" s="1369"/>
      <c r="O55" s="1369"/>
      <c r="P55" s="513"/>
      <c r="Q55" s="513"/>
      <c r="R55" s="513"/>
      <c r="S55" s="174"/>
      <c r="V55" s="149"/>
      <c r="W55" s="2"/>
      <c r="X55" s="86"/>
      <c r="Y55" s="87"/>
      <c r="Z55" s="3"/>
      <c r="AA55" s="4"/>
      <c r="AB55" s="4"/>
      <c r="AC55" s="88"/>
      <c r="AD55" s="2"/>
      <c r="AI55" s="39"/>
      <c r="AJ55" s="39"/>
      <c r="AK55" s="15"/>
      <c r="AL55" s="15"/>
      <c r="AM55" s="15"/>
      <c r="AN55" s="15"/>
      <c r="AO55" s="15"/>
      <c r="AP55" s="15"/>
    </row>
    <row r="56" spans="1:42" ht="14.25" customHeight="1" x14ac:dyDescent="0.3">
      <c r="S56" s="174"/>
      <c r="V56" s="149"/>
      <c r="W56" s="2"/>
      <c r="X56" s="86"/>
      <c r="Y56" s="87"/>
      <c r="Z56" s="3"/>
      <c r="AA56" s="4"/>
      <c r="AB56" s="4"/>
      <c r="AC56" s="88"/>
      <c r="AD56" s="2"/>
      <c r="AI56" s="39"/>
      <c r="AJ56" s="39"/>
      <c r="AK56" s="15"/>
      <c r="AL56" s="15"/>
      <c r="AM56" s="15"/>
      <c r="AN56" s="15"/>
      <c r="AO56" s="15"/>
      <c r="AP56" s="15"/>
    </row>
    <row r="57" spans="1:42" ht="14.25" customHeight="1" x14ac:dyDescent="0.3">
      <c r="S57" s="174"/>
      <c r="V57" s="154"/>
      <c r="W57" s="2"/>
      <c r="X57" s="86"/>
      <c r="Y57" s="87"/>
      <c r="Z57" s="3"/>
      <c r="AA57" s="4"/>
      <c r="AB57" s="4"/>
      <c r="AC57" s="88"/>
      <c r="AD57" s="2"/>
      <c r="AI57" s="39"/>
      <c r="AJ57" s="39"/>
      <c r="AK57" s="15"/>
      <c r="AL57" s="15"/>
      <c r="AM57" s="15"/>
      <c r="AN57" s="15"/>
      <c r="AO57" s="15"/>
      <c r="AP57" s="15"/>
    </row>
    <row r="58" spans="1:42" ht="12" customHeight="1" x14ac:dyDescent="0.3">
      <c r="S58" s="76"/>
      <c r="V58" s="78"/>
      <c r="W58" s="2"/>
      <c r="X58" s="86"/>
      <c r="Y58" s="87"/>
      <c r="Z58" s="3"/>
      <c r="AA58" s="4"/>
      <c r="AB58" s="4"/>
      <c r="AC58" s="88"/>
      <c r="AD58" s="2"/>
      <c r="AI58" s="39"/>
      <c r="AJ58" s="39"/>
      <c r="AK58" s="15"/>
      <c r="AL58" s="15"/>
      <c r="AM58" s="15"/>
      <c r="AN58" s="15"/>
      <c r="AO58" s="15"/>
      <c r="AP58" s="15"/>
    </row>
    <row r="59" spans="1:42" ht="18" customHeight="1" x14ac:dyDescent="0.3">
      <c r="S59" s="174"/>
      <c r="V59" s="520"/>
      <c r="W59" s="520"/>
      <c r="X59" s="167"/>
      <c r="Y59" s="167"/>
      <c r="Z59" s="3"/>
      <c r="AA59" s="4"/>
      <c r="AB59" s="4"/>
      <c r="AC59" s="88"/>
      <c r="AD59" s="2"/>
      <c r="AI59" s="39"/>
      <c r="AJ59" s="39"/>
      <c r="AK59" s="15"/>
      <c r="AL59" s="15"/>
      <c r="AM59" s="15"/>
      <c r="AN59" s="15"/>
      <c r="AO59" s="15"/>
      <c r="AP59" s="15"/>
    </row>
    <row r="60" spans="1:42" ht="28.5" customHeight="1" x14ac:dyDescent="0.3">
      <c r="S60" s="146"/>
      <c r="V60" s="520"/>
      <c r="W60" s="2"/>
      <c r="X60" s="167"/>
      <c r="Y60" s="167"/>
      <c r="Z60" s="3"/>
      <c r="AA60" s="4"/>
      <c r="AB60" s="4"/>
      <c r="AC60" s="88"/>
      <c r="AD60" s="2"/>
      <c r="AI60" s="39"/>
      <c r="AJ60" s="39"/>
      <c r="AK60" s="15"/>
      <c r="AL60" s="15"/>
      <c r="AM60" s="15"/>
      <c r="AN60" s="15"/>
      <c r="AO60" s="15"/>
      <c r="AP60" s="15"/>
    </row>
    <row r="61" spans="1:42" ht="22.5" customHeight="1" x14ac:dyDescent="0.3">
      <c r="S61" s="146"/>
      <c r="V61" s="520"/>
      <c r="W61" s="2"/>
      <c r="X61" s="167"/>
      <c r="Y61" s="168"/>
      <c r="Z61" s="3"/>
      <c r="AA61" s="4"/>
      <c r="AB61" s="4"/>
      <c r="AC61" s="88"/>
      <c r="AD61" s="2"/>
      <c r="AI61" s="39"/>
      <c r="AJ61" s="39"/>
      <c r="AK61" s="15"/>
      <c r="AL61" s="15"/>
      <c r="AM61" s="15"/>
      <c r="AN61" s="15"/>
      <c r="AO61" s="15"/>
      <c r="AP61" s="15"/>
    </row>
    <row r="62" spans="1:42" ht="34.5" customHeight="1" x14ac:dyDescent="0.3">
      <c r="V62" s="826"/>
      <c r="W62" s="826"/>
      <c r="X62" s="826"/>
      <c r="Y62" s="826"/>
      <c r="Z62" s="3"/>
      <c r="AA62" s="4"/>
      <c r="AB62" s="4"/>
      <c r="AC62" s="88"/>
      <c r="AD62" s="2"/>
      <c r="AI62" s="39"/>
      <c r="AJ62" s="39"/>
      <c r="AK62" s="15"/>
      <c r="AL62" s="15"/>
      <c r="AM62" s="15"/>
      <c r="AN62" s="15"/>
      <c r="AO62" s="15"/>
      <c r="AP62" s="15"/>
    </row>
    <row r="63" spans="1:42" ht="13" customHeight="1" x14ac:dyDescent="0.3">
      <c r="V63" s="826"/>
      <c r="W63" s="826"/>
      <c r="X63" s="826"/>
      <c r="Y63" s="826"/>
      <c r="Z63" s="3"/>
      <c r="AA63" s="4"/>
      <c r="AB63" s="4"/>
      <c r="AC63" s="88"/>
      <c r="AD63" s="2"/>
      <c r="AI63" s="39"/>
      <c r="AJ63" s="39"/>
      <c r="AK63" s="15"/>
      <c r="AL63" s="15"/>
      <c r="AM63" s="15"/>
      <c r="AN63" s="15"/>
      <c r="AO63" s="15"/>
      <c r="AP63" s="15"/>
    </row>
    <row r="64" spans="1:42" ht="13" customHeight="1" x14ac:dyDescent="0.3">
      <c r="V64" s="2"/>
      <c r="W64" s="179"/>
      <c r="X64" s="169"/>
      <c r="Y64" s="169"/>
      <c r="Z64" s="3"/>
      <c r="AA64" s="4"/>
      <c r="AB64" s="4"/>
      <c r="AC64" s="88"/>
      <c r="AD64" s="2"/>
      <c r="AI64" s="39"/>
      <c r="AJ64" s="39"/>
      <c r="AK64" s="15"/>
      <c r="AL64" s="15"/>
      <c r="AM64" s="15"/>
      <c r="AN64" s="15"/>
      <c r="AO64" s="15"/>
      <c r="AP64" s="15"/>
    </row>
    <row r="65" spans="1:42" ht="13" customHeight="1" x14ac:dyDescent="0.3">
      <c r="V65" s="224"/>
      <c r="W65" s="2"/>
      <c r="X65" s="86"/>
      <c r="Y65" s="87"/>
      <c r="Z65" s="5"/>
      <c r="AA65" s="6"/>
      <c r="AB65" s="6"/>
      <c r="AC65" s="88"/>
      <c r="AD65" s="42"/>
      <c r="AI65" s="39"/>
      <c r="AJ65" s="39"/>
      <c r="AK65" s="15"/>
      <c r="AL65" s="15"/>
      <c r="AM65" s="15"/>
      <c r="AN65" s="15"/>
      <c r="AO65" s="15"/>
      <c r="AP65" s="15"/>
    </row>
    <row r="66" spans="1:42" ht="13" customHeight="1" x14ac:dyDescent="0.3">
      <c r="V66" s="225"/>
      <c r="W66" s="2"/>
      <c r="X66" s="86"/>
      <c r="Y66" s="87"/>
      <c r="Z66" s="3"/>
      <c r="AA66" s="4"/>
      <c r="AB66" s="4"/>
      <c r="AC66" s="88"/>
      <c r="AD66" s="42"/>
      <c r="AI66" s="39"/>
      <c r="AJ66" s="39"/>
      <c r="AK66" s="15"/>
      <c r="AL66" s="15"/>
      <c r="AM66" s="15"/>
      <c r="AN66" s="15"/>
      <c r="AO66" s="15"/>
      <c r="AP66" s="15"/>
    </row>
    <row r="67" spans="1:42" ht="13" customHeight="1" x14ac:dyDescent="0.3">
      <c r="V67" s="226"/>
      <c r="W67" s="2"/>
      <c r="X67" s="86"/>
      <c r="Y67" s="87"/>
      <c r="Z67" s="3"/>
      <c r="AA67" s="4"/>
      <c r="AB67" s="4"/>
      <c r="AC67" s="88"/>
      <c r="AD67" s="42"/>
      <c r="AI67" s="39"/>
      <c r="AJ67" s="39"/>
      <c r="AK67" s="15"/>
      <c r="AL67" s="15"/>
      <c r="AM67" s="15"/>
      <c r="AN67" s="15"/>
      <c r="AO67" s="15"/>
      <c r="AP67" s="15"/>
    </row>
    <row r="68" spans="1:42" ht="13" customHeight="1" x14ac:dyDescent="0.3">
      <c r="V68" s="79"/>
      <c r="W68" s="2"/>
      <c r="X68" s="86"/>
      <c r="Y68" s="87"/>
      <c r="Z68" s="3"/>
      <c r="AA68" s="4"/>
      <c r="AB68" s="4"/>
      <c r="AC68" s="88"/>
      <c r="AD68" s="42"/>
      <c r="AI68" s="39"/>
      <c r="AJ68" s="39"/>
      <c r="AK68" s="15"/>
      <c r="AL68" s="15"/>
      <c r="AM68" s="15"/>
      <c r="AN68" s="15"/>
      <c r="AO68" s="15"/>
      <c r="AP68" s="15"/>
    </row>
    <row r="69" spans="1:42" ht="13" customHeight="1" x14ac:dyDescent="0.3">
      <c r="V69" s="80"/>
      <c r="W69" s="2"/>
      <c r="X69" s="86"/>
      <c r="Y69" s="87"/>
      <c r="Z69" s="3"/>
      <c r="AA69" s="4"/>
      <c r="AB69" s="4"/>
      <c r="AC69" s="88"/>
      <c r="AD69" s="42"/>
      <c r="AI69" s="39"/>
      <c r="AJ69" s="39"/>
      <c r="AK69" s="15"/>
      <c r="AL69" s="15"/>
      <c r="AM69" s="15"/>
      <c r="AN69" s="15"/>
      <c r="AO69" s="15"/>
      <c r="AP69" s="15"/>
    </row>
    <row r="70" spans="1:42" ht="13" customHeight="1" x14ac:dyDescent="0.3">
      <c r="V70" s="227"/>
      <c r="W70" s="2"/>
      <c r="X70" s="86"/>
      <c r="Y70" s="87"/>
      <c r="Z70" s="3"/>
      <c r="AA70" s="4"/>
      <c r="AB70" s="4"/>
      <c r="AC70" s="88"/>
      <c r="AD70" s="42"/>
      <c r="AI70" s="39"/>
      <c r="AJ70" s="39"/>
      <c r="AK70" s="15"/>
      <c r="AL70" s="15"/>
      <c r="AM70" s="15"/>
      <c r="AN70" s="15"/>
      <c r="AO70" s="15"/>
      <c r="AP70" s="15"/>
    </row>
    <row r="71" spans="1:42" ht="13" customHeight="1" x14ac:dyDescent="0.3">
      <c r="V71" s="227"/>
      <c r="W71" s="170"/>
      <c r="X71" s="39"/>
      <c r="Y71" s="39"/>
      <c r="Z71" s="3"/>
      <c r="AA71" s="4"/>
      <c r="AB71" s="4"/>
      <c r="AC71" s="88"/>
      <c r="AD71" s="2"/>
      <c r="AI71" s="39"/>
      <c r="AJ71" s="39"/>
      <c r="AK71" s="15"/>
      <c r="AL71" s="15"/>
      <c r="AM71" s="15"/>
      <c r="AN71" s="15"/>
      <c r="AO71" s="15"/>
      <c r="AP71" s="15"/>
    </row>
    <row r="72" spans="1:42" ht="13" customHeight="1" x14ac:dyDescent="0.3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V72" s="227"/>
      <c r="W72" s="2"/>
      <c r="X72" s="86"/>
      <c r="Y72" s="87"/>
      <c r="Z72" s="3"/>
      <c r="AA72" s="4"/>
      <c r="AB72" s="4"/>
      <c r="AC72" s="88"/>
      <c r="AD72" s="2"/>
      <c r="AO72" s="16"/>
      <c r="AP72" s="16"/>
    </row>
    <row r="73" spans="1:42" ht="13" customHeight="1" x14ac:dyDescent="0.3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V73" s="830"/>
      <c r="W73" s="42"/>
      <c r="X73" s="148"/>
      <c r="Y73" s="144"/>
      <c r="Z73" s="3"/>
      <c r="AA73" s="4"/>
      <c r="AB73" s="4"/>
      <c r="AC73" s="88"/>
      <c r="AD73" s="2"/>
      <c r="AO73" s="16"/>
      <c r="AP73" s="16"/>
    </row>
    <row r="74" spans="1:42" ht="13" customHeight="1" x14ac:dyDescent="0.3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V74" s="48"/>
      <c r="W74" s="42"/>
      <c r="X74" s="41"/>
      <c r="Y74" s="41"/>
      <c r="Z74" s="3"/>
      <c r="AA74" s="4"/>
      <c r="AB74" s="4"/>
      <c r="AC74" s="88"/>
      <c r="AD74" s="2"/>
      <c r="AH74" s="34"/>
      <c r="AO74" s="16"/>
      <c r="AP74" s="16"/>
    </row>
    <row r="75" spans="1:42" ht="13" customHeight="1" x14ac:dyDescent="0.3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V75" s="100"/>
      <c r="W75" s="101"/>
      <c r="X75" s="101"/>
      <c r="Y75" s="101"/>
      <c r="Z75" s="3"/>
      <c r="AA75" s="4"/>
      <c r="AB75" s="4"/>
      <c r="AC75" s="4"/>
      <c r="AD75" s="6"/>
      <c r="AE75" s="42"/>
      <c r="AF75" s="34"/>
      <c r="AG75" s="34"/>
      <c r="AH75" s="34"/>
      <c r="AO75" s="16"/>
      <c r="AP75" s="16"/>
    </row>
    <row r="76" spans="1:42" ht="13" customHeight="1" x14ac:dyDescent="0.3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V76" s="130"/>
      <c r="W76" s="131"/>
      <c r="X76" s="131"/>
      <c r="Y76" s="131"/>
      <c r="Z76" s="3"/>
      <c r="AA76" s="4"/>
      <c r="AB76" s="4"/>
      <c r="AC76" s="4"/>
      <c r="AD76" s="42"/>
      <c r="AE76" s="34"/>
      <c r="AF76" s="34"/>
      <c r="AG76" s="34"/>
      <c r="AH76" s="34"/>
      <c r="AO76" s="16"/>
      <c r="AP76" s="16"/>
    </row>
    <row r="77" spans="1:42" ht="13" customHeight="1" x14ac:dyDescent="0.3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V77" s="130"/>
      <c r="W77" s="131"/>
      <c r="X77" s="131"/>
      <c r="Y77" s="131"/>
      <c r="Z77" s="3"/>
      <c r="AA77" s="4"/>
      <c r="AB77" s="4"/>
      <c r="AC77" s="4"/>
      <c r="AD77" s="42"/>
      <c r="AE77" s="34"/>
      <c r="AF77" s="34"/>
      <c r="AG77" s="34"/>
      <c r="AH77" s="34"/>
      <c r="AO77" s="16"/>
      <c r="AP77" s="16"/>
    </row>
    <row r="78" spans="1:42" s="14" customFormat="1" ht="13" customHeight="1" x14ac:dyDescent="0.3">
      <c r="A78" s="120"/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T78" s="120"/>
      <c r="U78" s="120"/>
      <c r="V78" s="109"/>
      <c r="W78" s="110"/>
      <c r="X78" s="110"/>
      <c r="Y78" s="110"/>
      <c r="Z78" s="3"/>
      <c r="AA78" s="4"/>
      <c r="AB78" s="4"/>
      <c r="AC78" s="6"/>
      <c r="AD78" s="42"/>
      <c r="AE78" s="34"/>
      <c r="AF78" s="34"/>
      <c r="AG78" s="34"/>
      <c r="AH78" s="34"/>
      <c r="AO78" s="16"/>
      <c r="AP78" s="16"/>
    </row>
    <row r="79" spans="1:42" s="14" customFormat="1" ht="13" customHeight="1" x14ac:dyDescent="0.3">
      <c r="A79" s="120"/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T79" s="120"/>
      <c r="U79" s="120"/>
      <c r="V79" s="48"/>
      <c r="W79" s="42"/>
      <c r="X79" s="148"/>
      <c r="Y79" s="89"/>
      <c r="Z79" s="3"/>
      <c r="AA79" s="4"/>
      <c r="AB79" s="4"/>
      <c r="AC79" s="4"/>
      <c r="AD79" s="6"/>
      <c r="AE79" s="42"/>
      <c r="AF79" s="34"/>
      <c r="AG79" s="34"/>
      <c r="AH79" s="34"/>
      <c r="AO79" s="16"/>
      <c r="AP79" s="16"/>
    </row>
    <row r="80" spans="1:42" s="14" customFormat="1" ht="13" customHeight="1" x14ac:dyDescent="0.3">
      <c r="A80" s="120"/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T80" s="120"/>
      <c r="U80" s="120"/>
      <c r="V80" s="224"/>
      <c r="W80" s="42"/>
      <c r="X80" s="148"/>
      <c r="Y80" s="89"/>
      <c r="Z80" s="3"/>
      <c r="AA80" s="4"/>
      <c r="AB80" s="4"/>
      <c r="AC80" s="4"/>
      <c r="AD80" s="42"/>
      <c r="AE80" s="34"/>
      <c r="AF80" s="34"/>
      <c r="AG80" s="34"/>
      <c r="AH80" s="34"/>
      <c r="AO80" s="16"/>
      <c r="AP80" s="16"/>
    </row>
    <row r="81" spans="1:42" s="14" customFormat="1" ht="13" customHeight="1" x14ac:dyDescent="0.3">
      <c r="A81" s="120"/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T81" s="120"/>
      <c r="U81" s="120"/>
      <c r="V81" s="81"/>
      <c r="W81" s="41"/>
      <c r="X81" s="42"/>
      <c r="Y81" s="89"/>
      <c r="Z81" s="3"/>
      <c r="AA81" s="4"/>
      <c r="AB81" s="4"/>
      <c r="AC81" s="4"/>
      <c r="AD81" s="42"/>
      <c r="AE81" s="34"/>
      <c r="AF81" s="34"/>
      <c r="AG81" s="34"/>
      <c r="AH81" s="34"/>
      <c r="AO81" s="16"/>
      <c r="AP81" s="16"/>
    </row>
    <row r="82" spans="1:42" s="14" customFormat="1" ht="11.15" customHeight="1" x14ac:dyDescent="0.3">
      <c r="A82" s="120"/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T82" s="120"/>
      <c r="U82" s="120"/>
      <c r="V82" s="81"/>
      <c r="W82" s="41"/>
      <c r="X82" s="42"/>
      <c r="Y82" s="89"/>
      <c r="Z82" s="3"/>
      <c r="AA82" s="4"/>
      <c r="AB82" s="4"/>
      <c r="AC82" s="6"/>
      <c r="AD82" s="42"/>
      <c r="AE82" s="34"/>
      <c r="AF82" s="34"/>
      <c r="AG82" s="34"/>
      <c r="AH82" s="34"/>
      <c r="AO82" s="16"/>
      <c r="AP82" s="16"/>
    </row>
    <row r="83" spans="1:42" s="14" customFormat="1" ht="11.15" customHeight="1" x14ac:dyDescent="0.3">
      <c r="A83" s="120"/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T83" s="120"/>
      <c r="U83" s="120"/>
      <c r="V83" s="81"/>
      <c r="W83" s="41"/>
      <c r="X83" s="42"/>
      <c r="Y83" s="89"/>
      <c r="Z83" s="3"/>
      <c r="AA83" s="4"/>
      <c r="AB83" s="4"/>
      <c r="AC83" s="6"/>
      <c r="AD83" s="42"/>
      <c r="AE83" s="34"/>
      <c r="AF83" s="34"/>
      <c r="AG83" s="34"/>
      <c r="AH83" s="34"/>
      <c r="AO83" s="15"/>
      <c r="AP83" s="15"/>
    </row>
    <row r="84" spans="1:42" ht="11.15" customHeight="1" x14ac:dyDescent="0.3">
      <c r="V84" s="81"/>
      <c r="W84" s="41"/>
      <c r="X84" s="42"/>
      <c r="Y84" s="89"/>
      <c r="Z84" s="3"/>
      <c r="AA84" s="4"/>
      <c r="AB84" s="4"/>
      <c r="AC84" s="42"/>
      <c r="AD84" s="34"/>
      <c r="AE84" s="34"/>
      <c r="AF84" s="34"/>
      <c r="AG84" s="34"/>
      <c r="AH84" s="34"/>
      <c r="AO84" s="15"/>
      <c r="AP84" s="15"/>
    </row>
    <row r="85" spans="1:42" ht="11.15" customHeight="1" x14ac:dyDescent="0.3">
      <c r="V85" s="81"/>
      <c r="W85" s="41"/>
      <c r="X85" s="42"/>
      <c r="Y85" s="89"/>
      <c r="Z85" s="3"/>
      <c r="AA85" s="4"/>
      <c r="AB85" s="4"/>
      <c r="AC85" s="42"/>
      <c r="AD85" s="34"/>
      <c r="AE85" s="34"/>
      <c r="AF85" s="34"/>
      <c r="AG85" s="34"/>
      <c r="AH85" s="34"/>
    </row>
    <row r="86" spans="1:42" ht="11.15" customHeight="1" x14ac:dyDescent="0.3">
      <c r="V86" s="143"/>
      <c r="W86" s="41"/>
      <c r="X86" s="42"/>
      <c r="Y86" s="89"/>
      <c r="Z86" s="5"/>
      <c r="AA86" s="6"/>
      <c r="AB86" s="6"/>
      <c r="AC86" s="42"/>
      <c r="AD86" s="34"/>
      <c r="AE86" s="34"/>
      <c r="AF86" s="34"/>
      <c r="AG86" s="34"/>
      <c r="AH86" s="34"/>
    </row>
    <row r="87" spans="1:42" ht="11.15" customHeight="1" x14ac:dyDescent="0.3">
      <c r="V87" s="143"/>
      <c r="W87" s="41"/>
      <c r="X87" s="42"/>
      <c r="Y87" s="34"/>
      <c r="Z87" s="3"/>
      <c r="AA87" s="4"/>
      <c r="AB87" s="4"/>
      <c r="AC87" s="42"/>
      <c r="AD87" s="34"/>
      <c r="AE87" s="34"/>
      <c r="AF87" s="34"/>
      <c r="AG87" s="34"/>
      <c r="AH87" s="34"/>
    </row>
    <row r="88" spans="1:42" ht="11.15" customHeight="1" x14ac:dyDescent="0.3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V88" s="145"/>
      <c r="W88" s="41"/>
      <c r="X88" s="34"/>
      <c r="Y88" s="34"/>
      <c r="Z88" s="3"/>
      <c r="AA88" s="4"/>
      <c r="AB88" s="4"/>
      <c r="AC88" s="50"/>
      <c r="AD88" s="50"/>
      <c r="AE88" s="34"/>
      <c r="AF88" s="34"/>
      <c r="AG88" s="34"/>
      <c r="AH88" s="34"/>
    </row>
    <row r="89" spans="1:42" ht="11.15" customHeight="1" x14ac:dyDescent="0.3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V89" s="81"/>
      <c r="W89" s="41"/>
      <c r="X89" s="41"/>
      <c r="Y89" s="34"/>
      <c r="Z89" s="3"/>
      <c r="AA89" s="4"/>
      <c r="AB89" s="4"/>
      <c r="AC89" s="50"/>
      <c r="AD89" s="50"/>
      <c r="AE89" s="49"/>
      <c r="AF89" s="49"/>
      <c r="AG89" s="49"/>
      <c r="AH89" s="34"/>
    </row>
    <row r="90" spans="1:42" ht="11.15" customHeight="1" x14ac:dyDescent="0.3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V90" s="145"/>
      <c r="W90" s="34"/>
      <c r="X90" s="34"/>
      <c r="Y90" s="34"/>
      <c r="Z90" s="3"/>
      <c r="AA90" s="4"/>
      <c r="AB90" s="4"/>
      <c r="AC90" s="50"/>
      <c r="AD90" s="50"/>
      <c r="AE90" s="34"/>
      <c r="AF90" s="34"/>
      <c r="AG90" s="34"/>
      <c r="AH90" s="51"/>
    </row>
    <row r="91" spans="1:42" ht="11.15" customHeight="1" x14ac:dyDescent="0.3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V91" s="652"/>
      <c r="W91" s="34"/>
      <c r="X91" s="34"/>
      <c r="Y91" s="34"/>
      <c r="Z91" s="3"/>
      <c r="AA91" s="4"/>
      <c r="AB91" s="4"/>
      <c r="AC91" s="51"/>
      <c r="AD91" s="51"/>
      <c r="AE91" s="51"/>
      <c r="AF91" s="51"/>
      <c r="AG91" s="51"/>
      <c r="AH91" s="34"/>
    </row>
    <row r="92" spans="1:42" ht="11.15" customHeight="1" x14ac:dyDescent="0.3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V92" s="1510"/>
      <c r="W92" s="1510"/>
      <c r="X92" s="34"/>
      <c r="Y92" s="34"/>
      <c r="Z92" s="3"/>
      <c r="AA92" s="4"/>
      <c r="AB92" s="4"/>
      <c r="AC92" s="34"/>
      <c r="AD92" s="34"/>
      <c r="AE92" s="34"/>
      <c r="AF92" s="34"/>
      <c r="AG92" s="34"/>
      <c r="AH92" s="34"/>
    </row>
    <row r="93" spans="1:42" ht="11.15" customHeight="1" x14ac:dyDescent="0.3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V93" s="520"/>
      <c r="W93" s="2"/>
      <c r="X93" s="34"/>
      <c r="Y93" s="34"/>
      <c r="Z93" s="3"/>
      <c r="AA93" s="4"/>
      <c r="AB93" s="4"/>
      <c r="AC93" s="34"/>
      <c r="AD93" s="34"/>
      <c r="AE93" s="34"/>
      <c r="AF93" s="34"/>
      <c r="AG93" s="34"/>
      <c r="AH93" s="34"/>
    </row>
    <row r="94" spans="1:42" s="15" customFormat="1" ht="11.15" customHeight="1" x14ac:dyDescent="0.3">
      <c r="T94" s="120"/>
      <c r="U94" s="120"/>
      <c r="V94" s="520"/>
      <c r="W94" s="2"/>
      <c r="X94" s="34"/>
      <c r="Y94" s="34"/>
      <c r="Z94" s="3"/>
      <c r="AA94" s="4"/>
      <c r="AB94" s="4"/>
      <c r="AC94" s="34"/>
      <c r="AD94" s="34"/>
      <c r="AE94" s="34"/>
      <c r="AF94" s="34"/>
      <c r="AG94" s="34"/>
      <c r="AH94" s="34"/>
      <c r="AO94" s="120"/>
      <c r="AP94" s="120"/>
    </row>
    <row r="95" spans="1:42" s="15" customFormat="1" ht="11.15" customHeight="1" x14ac:dyDescent="0.3">
      <c r="T95" s="120"/>
      <c r="U95" s="120"/>
      <c r="V95" s="1511"/>
      <c r="W95" s="1511"/>
      <c r="X95" s="34"/>
      <c r="Y95" s="34"/>
      <c r="Z95" s="3"/>
      <c r="AA95" s="4"/>
      <c r="AB95" s="4"/>
      <c r="AC95" s="34"/>
      <c r="AD95" s="34"/>
      <c r="AE95" s="34"/>
      <c r="AF95" s="34"/>
      <c r="AG95" s="34"/>
      <c r="AH95" s="34"/>
      <c r="AO95" s="120"/>
      <c r="AP95" s="120"/>
    </row>
    <row r="96" spans="1:42" s="15" customFormat="1" ht="11.15" customHeight="1" x14ac:dyDescent="0.3">
      <c r="T96" s="120"/>
      <c r="U96" s="120"/>
      <c r="V96" s="1511"/>
      <c r="W96" s="1511"/>
      <c r="X96" s="34"/>
      <c r="Y96" s="34"/>
      <c r="Z96" s="3"/>
      <c r="AA96" s="4"/>
      <c r="AB96" s="4"/>
      <c r="AC96" s="34"/>
      <c r="AD96" s="34"/>
      <c r="AE96" s="34"/>
      <c r="AF96" s="34"/>
      <c r="AG96" s="34"/>
      <c r="AH96" s="34"/>
      <c r="AO96" s="120"/>
      <c r="AP96" s="120"/>
    </row>
    <row r="97" spans="20:42" s="15" customFormat="1" ht="11.15" customHeight="1" x14ac:dyDescent="0.3">
      <c r="T97" s="120"/>
      <c r="U97" s="120"/>
      <c r="V97" s="1512"/>
      <c r="W97" s="1512"/>
      <c r="X97" s="34"/>
      <c r="Y97" s="34"/>
      <c r="Z97" s="3"/>
      <c r="AA97" s="4"/>
      <c r="AB97" s="4"/>
      <c r="AC97" s="34"/>
      <c r="AD97" s="34"/>
      <c r="AE97" s="34"/>
      <c r="AF97" s="34"/>
      <c r="AG97" s="34"/>
      <c r="AH97" s="34"/>
      <c r="AO97" s="120"/>
      <c r="AP97" s="120"/>
    </row>
    <row r="98" spans="20:42" s="15" customFormat="1" ht="11.15" customHeight="1" x14ac:dyDescent="0.3">
      <c r="T98" s="120"/>
      <c r="U98" s="120"/>
      <c r="V98" s="193"/>
      <c r="W98" s="40"/>
      <c r="X98" s="34"/>
      <c r="Y98" s="34"/>
      <c r="Z98" s="3"/>
      <c r="AA98" s="4"/>
      <c r="AB98" s="4"/>
      <c r="AC98" s="34"/>
      <c r="AD98" s="34"/>
      <c r="AE98" s="34"/>
      <c r="AF98" s="34"/>
      <c r="AG98" s="34"/>
      <c r="AH98" s="34"/>
      <c r="AO98" s="120"/>
      <c r="AP98" s="120"/>
    </row>
    <row r="99" spans="20:42" s="15" customFormat="1" ht="11.15" customHeight="1" x14ac:dyDescent="0.3">
      <c r="T99" s="120"/>
      <c r="U99" s="120"/>
      <c r="V99" s="120"/>
      <c r="W99" s="120"/>
      <c r="X99" s="34"/>
      <c r="Y99" s="34"/>
      <c r="Z99" s="3"/>
      <c r="AA99" s="4"/>
      <c r="AB99" s="4"/>
      <c r="AC99" s="34"/>
      <c r="AD99" s="34"/>
      <c r="AE99" s="34"/>
      <c r="AF99" s="34"/>
      <c r="AG99" s="34"/>
      <c r="AH99" s="34"/>
      <c r="AO99" s="120"/>
      <c r="AP99" s="120"/>
    </row>
    <row r="100" spans="20:42" s="15" customFormat="1" ht="10.5" customHeight="1" x14ac:dyDescent="0.3">
      <c r="T100" s="120"/>
      <c r="U100" s="120"/>
      <c r="V100" s="120"/>
      <c r="W100" s="120"/>
      <c r="X100" s="34"/>
      <c r="Y100" s="34"/>
      <c r="Z100" s="3"/>
      <c r="AA100" s="4"/>
      <c r="AB100" s="4"/>
      <c r="AC100" s="34"/>
      <c r="AD100" s="34"/>
      <c r="AE100" s="34"/>
      <c r="AF100" s="34"/>
      <c r="AG100" s="34"/>
      <c r="AH100" s="34"/>
      <c r="AO100" s="120"/>
      <c r="AP100" s="120"/>
    </row>
    <row r="101" spans="20:42" s="15" customFormat="1" ht="18" customHeight="1" x14ac:dyDescent="0.3">
      <c r="T101" s="120"/>
      <c r="U101" s="120"/>
      <c r="V101" s="120"/>
      <c r="W101" s="120"/>
      <c r="X101" s="34"/>
      <c r="Y101" s="34"/>
      <c r="Z101" s="3"/>
      <c r="AA101" s="4"/>
      <c r="AB101" s="4"/>
      <c r="AC101" s="34"/>
      <c r="AD101" s="34"/>
      <c r="AE101" s="34"/>
      <c r="AF101" s="34"/>
      <c r="AG101" s="34"/>
      <c r="AH101" s="34"/>
      <c r="AO101" s="120"/>
      <c r="AP101" s="120"/>
    </row>
    <row r="102" spans="20:42" s="15" customFormat="1" ht="28" customHeight="1" x14ac:dyDescent="0.3">
      <c r="T102" s="120"/>
      <c r="U102" s="120"/>
      <c r="V102" s="120"/>
      <c r="W102" s="120"/>
      <c r="X102" s="34"/>
      <c r="Y102" s="34"/>
      <c r="Z102" s="5"/>
      <c r="AA102" s="6"/>
      <c r="AB102" s="6"/>
      <c r="AC102" s="34"/>
      <c r="AD102" s="34"/>
      <c r="AE102" s="34"/>
      <c r="AF102" s="34"/>
      <c r="AG102" s="34"/>
      <c r="AH102" s="34"/>
      <c r="AO102" s="120"/>
      <c r="AP102" s="120"/>
    </row>
    <row r="103" spans="20:42" s="15" customFormat="1" ht="9.75" customHeight="1" x14ac:dyDescent="0.3">
      <c r="T103" s="120"/>
      <c r="U103" s="120"/>
      <c r="V103" s="120"/>
      <c r="W103" s="120"/>
      <c r="X103" s="34"/>
      <c r="Y103" s="34"/>
      <c r="Z103" s="3"/>
      <c r="AA103" s="4"/>
      <c r="AB103" s="4"/>
      <c r="AC103" s="34"/>
      <c r="AD103" s="34"/>
      <c r="AE103" s="34"/>
      <c r="AF103" s="34"/>
      <c r="AG103" s="34"/>
      <c r="AH103" s="34"/>
      <c r="AO103" s="120"/>
      <c r="AP103" s="120"/>
    </row>
    <row r="104" spans="20:42" s="15" customFormat="1" ht="14.15" customHeight="1" x14ac:dyDescent="0.3">
      <c r="T104" s="120"/>
      <c r="U104" s="120"/>
      <c r="V104" s="120"/>
      <c r="W104" s="120"/>
      <c r="X104" s="34"/>
      <c r="Y104" s="34"/>
      <c r="Z104" s="3"/>
      <c r="AA104" s="4"/>
      <c r="AB104" s="4"/>
      <c r="AC104" s="34"/>
      <c r="AD104" s="34"/>
      <c r="AE104" s="34"/>
      <c r="AF104" s="34"/>
      <c r="AG104" s="34"/>
      <c r="AH104" s="34"/>
      <c r="AI104" s="34"/>
      <c r="AJ104" s="34"/>
      <c r="AK104" s="120"/>
      <c r="AL104" s="120"/>
      <c r="AM104" s="120"/>
      <c r="AN104" s="120"/>
      <c r="AO104" s="120"/>
      <c r="AP104" s="120"/>
    </row>
    <row r="105" spans="20:42" s="15" customFormat="1" ht="14.15" customHeight="1" x14ac:dyDescent="0.3">
      <c r="T105" s="120"/>
      <c r="U105" s="120"/>
      <c r="V105" s="34"/>
      <c r="W105" s="34"/>
      <c r="X105" s="34"/>
      <c r="Y105" s="34"/>
      <c r="Z105" s="3"/>
      <c r="AA105" s="4"/>
      <c r="AB105" s="4"/>
      <c r="AC105" s="34"/>
      <c r="AD105" s="34"/>
      <c r="AE105" s="34"/>
      <c r="AF105" s="34"/>
      <c r="AG105" s="34"/>
      <c r="AH105" s="34"/>
      <c r="AI105" s="34"/>
      <c r="AJ105" s="34"/>
      <c r="AK105" s="120"/>
      <c r="AL105" s="120"/>
      <c r="AM105" s="120"/>
      <c r="AN105" s="120"/>
      <c r="AO105" s="120"/>
      <c r="AP105" s="120"/>
    </row>
    <row r="106" spans="20:42" s="15" customFormat="1" ht="14.15" customHeight="1" x14ac:dyDescent="0.3">
      <c r="T106" s="120"/>
      <c r="U106" s="120"/>
      <c r="V106" s="34"/>
      <c r="W106" s="34"/>
      <c r="X106" s="34"/>
      <c r="Y106" s="34"/>
      <c r="Z106" s="3"/>
      <c r="AA106" s="4"/>
      <c r="AB106" s="4"/>
      <c r="AC106" s="34"/>
      <c r="AD106" s="34"/>
      <c r="AE106" s="34"/>
      <c r="AF106" s="34"/>
      <c r="AG106" s="34"/>
      <c r="AH106" s="34"/>
      <c r="AI106" s="34"/>
      <c r="AJ106" s="34"/>
      <c r="AK106" s="120"/>
      <c r="AL106" s="120"/>
      <c r="AM106" s="120"/>
      <c r="AN106" s="120"/>
      <c r="AO106" s="120"/>
      <c r="AP106" s="120"/>
    </row>
    <row r="107" spans="20:42" s="15" customFormat="1" ht="12" customHeight="1" x14ac:dyDescent="0.3">
      <c r="T107" s="120"/>
      <c r="U107" s="120"/>
      <c r="V107" s="34"/>
      <c r="W107" s="34"/>
      <c r="X107" s="34"/>
      <c r="Y107" s="34"/>
      <c r="Z107" s="3"/>
      <c r="AA107" s="4"/>
      <c r="AB107" s="4"/>
      <c r="AC107" s="34"/>
      <c r="AD107" s="34"/>
      <c r="AE107" s="34"/>
      <c r="AF107" s="34"/>
      <c r="AG107" s="34"/>
      <c r="AH107" s="34"/>
      <c r="AI107" s="34"/>
      <c r="AJ107" s="34"/>
      <c r="AK107" s="120"/>
      <c r="AL107" s="120"/>
      <c r="AM107" s="120"/>
      <c r="AN107" s="120"/>
      <c r="AO107" s="120"/>
      <c r="AP107" s="120"/>
    </row>
    <row r="108" spans="20:42" s="15" customFormat="1" ht="12" customHeight="1" x14ac:dyDescent="0.3">
      <c r="T108" s="120"/>
      <c r="U108" s="120"/>
      <c r="V108" s="34"/>
      <c r="W108" s="34"/>
      <c r="X108" s="34"/>
      <c r="Y108" s="34"/>
      <c r="Z108" s="3"/>
      <c r="AA108" s="4"/>
      <c r="AB108" s="4"/>
      <c r="AC108" s="34"/>
      <c r="AD108" s="34"/>
      <c r="AE108" s="34"/>
      <c r="AF108" s="34"/>
      <c r="AG108" s="34"/>
      <c r="AH108" s="34"/>
      <c r="AI108" s="34"/>
      <c r="AJ108" s="34"/>
      <c r="AK108" s="120"/>
      <c r="AL108" s="120"/>
      <c r="AM108" s="120"/>
      <c r="AN108" s="120"/>
      <c r="AO108" s="120"/>
      <c r="AP108" s="120"/>
    </row>
    <row r="109" spans="20:42" s="15" customFormat="1" ht="14.15" customHeight="1" x14ac:dyDescent="0.3">
      <c r="T109" s="120"/>
      <c r="U109" s="120"/>
      <c r="V109" s="34"/>
      <c r="W109" s="34"/>
      <c r="X109" s="34"/>
      <c r="Y109" s="34"/>
      <c r="Z109" s="3"/>
      <c r="AA109" s="4"/>
      <c r="AB109" s="4"/>
      <c r="AC109" s="34"/>
      <c r="AD109" s="34"/>
      <c r="AE109" s="34"/>
      <c r="AF109" s="34"/>
      <c r="AG109" s="34"/>
      <c r="AH109" s="34"/>
      <c r="AI109" s="34"/>
      <c r="AJ109" s="34"/>
      <c r="AK109" s="120"/>
      <c r="AL109" s="120"/>
      <c r="AM109" s="120"/>
      <c r="AN109" s="120"/>
      <c r="AO109" s="120"/>
      <c r="AP109" s="120"/>
    </row>
    <row r="110" spans="20:42" s="15" customFormat="1" ht="14.15" customHeight="1" x14ac:dyDescent="0.3">
      <c r="T110" s="120"/>
      <c r="U110" s="120"/>
      <c r="V110" s="34"/>
      <c r="W110" s="34"/>
      <c r="X110" s="34"/>
      <c r="Y110" s="34"/>
      <c r="Z110" s="3"/>
      <c r="AA110" s="4"/>
      <c r="AB110" s="4"/>
      <c r="AC110" s="34"/>
      <c r="AD110" s="34"/>
      <c r="AE110" s="34"/>
      <c r="AF110" s="34"/>
      <c r="AG110" s="34"/>
      <c r="AH110" s="34"/>
      <c r="AI110" s="34"/>
      <c r="AJ110" s="34"/>
      <c r="AK110" s="120"/>
      <c r="AL110" s="120"/>
      <c r="AM110" s="120"/>
      <c r="AN110" s="120"/>
      <c r="AO110" s="120"/>
      <c r="AP110" s="120"/>
    </row>
    <row r="111" spans="20:42" s="15" customFormat="1" ht="14.15" customHeight="1" x14ac:dyDescent="0.3">
      <c r="T111" s="120"/>
      <c r="U111" s="120"/>
      <c r="V111" s="34"/>
      <c r="W111" s="34"/>
      <c r="X111" s="34"/>
      <c r="Y111" s="34"/>
      <c r="Z111" s="3"/>
      <c r="AA111" s="4"/>
      <c r="AB111" s="4"/>
      <c r="AC111" s="34"/>
      <c r="AD111" s="34"/>
      <c r="AE111" s="34"/>
      <c r="AF111" s="34"/>
      <c r="AG111" s="34"/>
      <c r="AH111" s="34"/>
      <c r="AI111" s="34"/>
      <c r="AJ111" s="34"/>
      <c r="AK111" s="120"/>
      <c r="AL111" s="120"/>
      <c r="AM111" s="120"/>
      <c r="AN111" s="120"/>
      <c r="AO111" s="120"/>
      <c r="AP111" s="120"/>
    </row>
    <row r="112" spans="20:42" s="15" customFormat="1" ht="14.15" customHeight="1" x14ac:dyDescent="0.3">
      <c r="T112" s="120"/>
      <c r="U112" s="120"/>
      <c r="V112" s="34"/>
      <c r="W112" s="34"/>
      <c r="X112" s="34"/>
      <c r="Y112" s="34"/>
      <c r="Z112" s="3"/>
      <c r="AA112" s="4"/>
      <c r="AB112" s="4"/>
      <c r="AC112" s="34"/>
      <c r="AD112" s="34"/>
      <c r="AE112" s="34"/>
      <c r="AF112" s="34"/>
      <c r="AG112" s="34"/>
      <c r="AH112" s="34"/>
      <c r="AI112" s="34"/>
      <c r="AJ112" s="34"/>
      <c r="AK112" s="120"/>
      <c r="AL112" s="120"/>
      <c r="AM112" s="120"/>
      <c r="AN112" s="120"/>
      <c r="AO112" s="120"/>
      <c r="AP112" s="120"/>
    </row>
    <row r="113" spans="1:42" s="15" customFormat="1" ht="13.5" customHeight="1" x14ac:dyDescent="0.3">
      <c r="T113" s="120"/>
      <c r="U113" s="120"/>
      <c r="V113" s="34"/>
      <c r="W113" s="34"/>
      <c r="X113" s="34"/>
      <c r="Y113" s="34"/>
      <c r="Z113" s="3"/>
      <c r="AA113" s="4"/>
      <c r="AB113" s="4"/>
      <c r="AC113" s="34"/>
      <c r="AD113" s="34"/>
      <c r="AE113" s="34"/>
      <c r="AF113" s="34"/>
      <c r="AG113" s="34"/>
      <c r="AH113" s="34"/>
      <c r="AI113" s="34"/>
      <c r="AJ113" s="34"/>
      <c r="AK113" s="120"/>
      <c r="AL113" s="120"/>
      <c r="AM113" s="120"/>
      <c r="AN113" s="120"/>
      <c r="AO113" s="120"/>
      <c r="AP113" s="120"/>
    </row>
    <row r="114" spans="1:42" s="15" customFormat="1" ht="15" customHeight="1" x14ac:dyDescent="0.3">
      <c r="T114" s="120"/>
      <c r="U114" s="120"/>
      <c r="V114" s="34"/>
      <c r="W114" s="34"/>
      <c r="X114" s="34"/>
      <c r="Y114" s="34"/>
      <c r="Z114" s="3"/>
      <c r="AA114" s="4"/>
      <c r="AB114" s="4"/>
      <c r="AC114" s="34"/>
      <c r="AD114" s="34"/>
      <c r="AE114" s="34"/>
      <c r="AF114" s="34"/>
      <c r="AG114" s="34"/>
      <c r="AH114" s="34"/>
      <c r="AI114" s="34"/>
      <c r="AJ114" s="34"/>
      <c r="AK114" s="120"/>
      <c r="AL114" s="120"/>
      <c r="AM114" s="120"/>
      <c r="AN114" s="120"/>
      <c r="AO114" s="120"/>
      <c r="AP114" s="120"/>
    </row>
    <row r="115" spans="1:42" s="15" customFormat="1" ht="20.149999999999999" customHeight="1" x14ac:dyDescent="0.3">
      <c r="T115" s="120"/>
      <c r="U115" s="120"/>
      <c r="V115" s="34"/>
      <c r="W115" s="34"/>
      <c r="X115" s="34"/>
      <c r="Y115" s="34"/>
      <c r="Z115" s="3"/>
      <c r="AA115" s="4"/>
      <c r="AB115" s="4"/>
      <c r="AC115" s="34"/>
      <c r="AD115" s="34"/>
      <c r="AE115" s="34"/>
      <c r="AF115" s="34"/>
      <c r="AG115" s="34"/>
      <c r="AH115" s="34"/>
      <c r="AI115" s="34"/>
      <c r="AJ115" s="34"/>
      <c r="AK115" s="120"/>
      <c r="AL115" s="120"/>
      <c r="AM115" s="120"/>
      <c r="AN115" s="120"/>
      <c r="AO115" s="120"/>
      <c r="AP115" s="120"/>
    </row>
    <row r="116" spans="1:42" s="15" customFormat="1" ht="15" customHeight="1" x14ac:dyDescent="0.3">
      <c r="T116" s="120"/>
      <c r="U116" s="120"/>
      <c r="V116" s="34"/>
      <c r="W116" s="34"/>
      <c r="X116" s="34"/>
      <c r="Y116" s="34"/>
      <c r="Z116" s="3"/>
      <c r="AA116" s="4"/>
      <c r="AB116" s="4"/>
      <c r="AC116" s="34"/>
      <c r="AD116" s="34"/>
      <c r="AE116" s="34"/>
      <c r="AF116" s="34"/>
      <c r="AG116" s="34"/>
      <c r="AH116" s="34"/>
      <c r="AI116" s="34"/>
      <c r="AJ116" s="34"/>
      <c r="AK116" s="120"/>
      <c r="AL116" s="120"/>
      <c r="AM116" s="120"/>
      <c r="AN116" s="120"/>
      <c r="AO116" s="120"/>
      <c r="AP116" s="120"/>
    </row>
    <row r="117" spans="1:42" s="15" customFormat="1" ht="15" customHeight="1" x14ac:dyDescent="0.3">
      <c r="T117" s="120"/>
      <c r="U117" s="120"/>
      <c r="V117" s="34"/>
      <c r="W117" s="34"/>
      <c r="X117" s="34"/>
      <c r="Y117" s="34"/>
      <c r="Z117" s="3"/>
      <c r="AA117" s="4"/>
      <c r="AB117" s="4"/>
      <c r="AC117" s="34"/>
      <c r="AD117" s="34"/>
      <c r="AE117" s="34"/>
      <c r="AF117" s="34"/>
      <c r="AG117" s="34"/>
      <c r="AH117" s="34"/>
      <c r="AI117" s="34"/>
      <c r="AJ117" s="34"/>
      <c r="AK117" s="120"/>
      <c r="AL117" s="120"/>
      <c r="AM117" s="120"/>
      <c r="AN117" s="120"/>
      <c r="AO117" s="120"/>
      <c r="AP117" s="120"/>
    </row>
    <row r="118" spans="1:42" s="15" customFormat="1" ht="15" customHeight="1" x14ac:dyDescent="0.3">
      <c r="T118" s="120"/>
      <c r="U118" s="120"/>
      <c r="V118" s="34"/>
      <c r="W118" s="34"/>
      <c r="X118" s="34"/>
      <c r="Y118" s="34"/>
      <c r="Z118" s="5"/>
      <c r="AA118" s="6"/>
      <c r="AB118" s="6"/>
      <c r="AC118" s="34"/>
      <c r="AD118" s="34"/>
      <c r="AE118" s="34"/>
      <c r="AF118" s="34"/>
      <c r="AG118" s="34"/>
      <c r="AH118" s="34"/>
      <c r="AI118" s="34"/>
      <c r="AJ118" s="34"/>
      <c r="AK118" s="120"/>
      <c r="AL118" s="120"/>
      <c r="AM118" s="120"/>
      <c r="AN118" s="120"/>
      <c r="AO118" s="120"/>
      <c r="AP118" s="120"/>
    </row>
    <row r="119" spans="1:42" s="15" customFormat="1" ht="15" customHeight="1" x14ac:dyDescent="0.3">
      <c r="T119" s="120"/>
      <c r="U119" s="120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120"/>
      <c r="AL119" s="120"/>
      <c r="AM119" s="120"/>
      <c r="AN119" s="120"/>
      <c r="AO119" s="120"/>
      <c r="AP119" s="120"/>
    </row>
    <row r="120" spans="1:42" s="15" customFormat="1" ht="20.149999999999999" customHeight="1" x14ac:dyDescent="0.3">
      <c r="T120" s="120"/>
      <c r="U120" s="120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120"/>
      <c r="AL120" s="120"/>
      <c r="AM120" s="120"/>
      <c r="AN120" s="120"/>
      <c r="AO120" s="120"/>
      <c r="AP120" s="120"/>
    </row>
    <row r="121" spans="1:42" s="15" customFormat="1" ht="20.149999999999999" customHeight="1" x14ac:dyDescent="0.3">
      <c r="T121" s="120"/>
      <c r="U121" s="120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120"/>
      <c r="AL121" s="120"/>
      <c r="AM121" s="120"/>
      <c r="AN121" s="120"/>
      <c r="AO121" s="120"/>
      <c r="AP121" s="120"/>
    </row>
    <row r="122" spans="1:42" s="15" customFormat="1" ht="21" customHeight="1" x14ac:dyDescent="0.3">
      <c r="T122" s="120"/>
      <c r="U122" s="120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120"/>
      <c r="AL122" s="120"/>
      <c r="AM122" s="120"/>
      <c r="AN122" s="120"/>
      <c r="AO122" s="120"/>
      <c r="AP122" s="120"/>
    </row>
    <row r="123" spans="1:42" s="15" customFormat="1" ht="15" customHeight="1" x14ac:dyDescent="0.3">
      <c r="T123" s="120"/>
      <c r="U123" s="120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120"/>
      <c r="AL123" s="120"/>
      <c r="AM123" s="120"/>
      <c r="AN123" s="120"/>
      <c r="AO123" s="120"/>
      <c r="AP123" s="120"/>
    </row>
    <row r="124" spans="1:42" s="15" customFormat="1" ht="15" customHeight="1" x14ac:dyDescent="0.3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T124" s="120"/>
      <c r="U124" s="120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120"/>
      <c r="AL124" s="120"/>
      <c r="AM124" s="120"/>
      <c r="AN124" s="120"/>
      <c r="AO124" s="120"/>
      <c r="AP124" s="120"/>
    </row>
    <row r="125" spans="1:42" s="15" customFormat="1" ht="14.15" customHeight="1" x14ac:dyDescent="0.3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</row>
    <row r="126" spans="1:42" s="15" customFormat="1" ht="14.15" customHeight="1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</row>
    <row r="127" spans="1:42" s="15" customFormat="1" ht="14.15" customHeight="1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</row>
    <row r="128" spans="1:42" s="15" customFormat="1" ht="14.15" customHeight="1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</row>
    <row r="129" spans="1:33" s="15" customFormat="1" ht="15" customHeight="1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</row>
    <row r="130" spans="1:33" s="16" customFormat="1" ht="15" customHeight="1" x14ac:dyDescent="0.25"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</row>
    <row r="131" spans="1:33" s="16" customFormat="1" ht="15" customHeight="1" x14ac:dyDescent="0.25"/>
    <row r="132" spans="1:33" s="16" customFormat="1" ht="15" customHeight="1" x14ac:dyDescent="0.25"/>
    <row r="133" spans="1:33" s="16" customFormat="1" ht="15" customHeight="1" x14ac:dyDescent="0.25"/>
    <row r="134" spans="1:33" s="16" customFormat="1" ht="15" customHeight="1" x14ac:dyDescent="0.25"/>
    <row r="135" spans="1:33" s="16" customFormat="1" ht="15" customHeight="1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</row>
    <row r="136" spans="1:33" s="16" customFormat="1" ht="15" customHeight="1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</row>
    <row r="137" spans="1:33" s="16" customFormat="1" ht="15" customHeight="1" x14ac:dyDescent="0.3">
      <c r="A137" s="120"/>
      <c r="B137" s="120"/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</row>
    <row r="138" spans="1:33" s="16" customFormat="1" ht="15" customHeight="1" x14ac:dyDescent="0.3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120"/>
      <c r="O138" s="120"/>
      <c r="P138" s="120"/>
      <c r="Q138" s="120"/>
      <c r="R138" s="120"/>
    </row>
    <row r="139" spans="1:33" s="16" customFormat="1" ht="15" customHeight="1" x14ac:dyDescent="0.3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</row>
    <row r="140" spans="1:33" s="16" customFormat="1" ht="15" customHeight="1" x14ac:dyDescent="0.3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</row>
    <row r="141" spans="1:33" s="15" customFormat="1" ht="15" customHeight="1" x14ac:dyDescent="0.3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</row>
    <row r="142" spans="1:33" s="15" customFormat="1" ht="15" customHeight="1" x14ac:dyDescent="0.3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</row>
    <row r="143" spans="1:33" ht="15" customHeight="1" x14ac:dyDescent="0.3"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</row>
    <row r="144" spans="1:33" ht="15" customHeight="1" x14ac:dyDescent="0.3"/>
    <row r="145" ht="15" customHeight="1" x14ac:dyDescent="0.3"/>
    <row r="146" ht="15" customHeight="1" x14ac:dyDescent="0.3"/>
    <row r="147" ht="15" customHeight="1" x14ac:dyDescent="0.3"/>
    <row r="148" ht="15" customHeight="1" x14ac:dyDescent="0.3"/>
    <row r="149" ht="15" customHeight="1" x14ac:dyDescent="0.3"/>
    <row r="150" ht="24" customHeight="1" x14ac:dyDescent="0.3"/>
    <row r="151" ht="22" customHeight="1" x14ac:dyDescent="0.3"/>
    <row r="152" ht="21" customHeight="1" x14ac:dyDescent="0.3"/>
    <row r="153" ht="15.75" customHeight="1" x14ac:dyDescent="0.3"/>
    <row r="154" ht="12.75" customHeight="1" x14ac:dyDescent="0.3"/>
    <row r="155" ht="18.75" customHeight="1" x14ac:dyDescent="0.3"/>
    <row r="156" ht="29.25" customHeight="1" x14ac:dyDescent="0.3"/>
    <row r="157" ht="28" customHeight="1" x14ac:dyDescent="0.3"/>
    <row r="158" ht="28" customHeight="1" x14ac:dyDescent="0.3"/>
    <row r="159" ht="13" customHeight="1" x14ac:dyDescent="0.3"/>
    <row r="160" ht="12" customHeight="1" x14ac:dyDescent="0.3"/>
    <row r="183" spans="19:34" x14ac:dyDescent="0.3">
      <c r="S183" s="34"/>
      <c r="T183" s="34"/>
      <c r="U183" s="34"/>
      <c r="AH183" s="34"/>
    </row>
    <row r="184" spans="19:34" x14ac:dyDescent="0.3"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</row>
    <row r="185" spans="19:34" x14ac:dyDescent="0.3"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</row>
  </sheetData>
  <sheetProtection formatCells="0" formatColumns="0" formatRows="0"/>
  <protectedRanges>
    <protectedRange sqref="M2:N4" name="Rango1_1_1_1"/>
  </protectedRanges>
  <mergeCells count="90">
    <mergeCell ref="I12:K12"/>
    <mergeCell ref="I13:K13"/>
    <mergeCell ref="I14:K14"/>
    <mergeCell ref="L10:O10"/>
    <mergeCell ref="L11:O11"/>
    <mergeCell ref="L12:O12"/>
    <mergeCell ref="L13:O13"/>
    <mergeCell ref="L14:O14"/>
    <mergeCell ref="E10:H10"/>
    <mergeCell ref="E11:H11"/>
    <mergeCell ref="E12:H12"/>
    <mergeCell ref="E13:H13"/>
    <mergeCell ref="E14:H14"/>
    <mergeCell ref="V92:W92"/>
    <mergeCell ref="V95:W96"/>
    <mergeCell ref="V97:W97"/>
    <mergeCell ref="V28:AE28"/>
    <mergeCell ref="C28:D28"/>
    <mergeCell ref="C29:D29"/>
    <mergeCell ref="V32:V33"/>
    <mergeCell ref="V35:V36"/>
    <mergeCell ref="W35:W36"/>
    <mergeCell ref="V37:V38"/>
    <mergeCell ref="W37:W38"/>
    <mergeCell ref="N21:O29"/>
    <mergeCell ref="C27:D27"/>
    <mergeCell ref="A54:O55"/>
    <mergeCell ref="A27:B29"/>
    <mergeCell ref="B24:D24"/>
    <mergeCell ref="AH42:AH43"/>
    <mergeCell ref="V51:V53"/>
    <mergeCell ref="A51:O51"/>
    <mergeCell ref="A52:O52"/>
    <mergeCell ref="V45:V47"/>
    <mergeCell ref="A46:O46"/>
    <mergeCell ref="B47:E47"/>
    <mergeCell ref="F47:H47"/>
    <mergeCell ref="E49:N49"/>
    <mergeCell ref="J47:K47"/>
    <mergeCell ref="A53:O53"/>
    <mergeCell ref="AG43:AG44"/>
    <mergeCell ref="A49:B49"/>
    <mergeCell ref="B10:D10"/>
    <mergeCell ref="V15:V20"/>
    <mergeCell ref="A17:A20"/>
    <mergeCell ref="B17:C19"/>
    <mergeCell ref="B20:D20"/>
    <mergeCell ref="P15:P16"/>
    <mergeCell ref="S15:S16"/>
    <mergeCell ref="Q15:R16"/>
    <mergeCell ref="Q20:R20"/>
    <mergeCell ref="Q17:R17"/>
    <mergeCell ref="Q18:R18"/>
    <mergeCell ref="Q19:R19"/>
    <mergeCell ref="B11:D11"/>
    <mergeCell ref="B12:D12"/>
    <mergeCell ref="B13:D13"/>
    <mergeCell ref="B14:D14"/>
    <mergeCell ref="A15:B16"/>
    <mergeCell ref="C15:D15"/>
    <mergeCell ref="N15:N16"/>
    <mergeCell ref="O15:O16"/>
    <mergeCell ref="C16:D16"/>
    <mergeCell ref="A25:B26"/>
    <mergeCell ref="C25:D25"/>
    <mergeCell ref="C26:D26"/>
    <mergeCell ref="A21:A24"/>
    <mergeCell ref="B21:C23"/>
    <mergeCell ref="U9:U10"/>
    <mergeCell ref="Q7:R7"/>
    <mergeCell ref="J8:N8"/>
    <mergeCell ref="Q8:R8"/>
    <mergeCell ref="V8:V14"/>
    <mergeCell ref="Q9:R9"/>
    <mergeCell ref="V4:V7"/>
    <mergeCell ref="Q6:R6"/>
    <mergeCell ref="I7:J7"/>
    <mergeCell ref="K7:N7"/>
    <mergeCell ref="Q10:R10"/>
    <mergeCell ref="Q13:R13"/>
    <mergeCell ref="Q12:R12"/>
    <mergeCell ref="I10:K10"/>
    <mergeCell ref="T9:T10"/>
    <mergeCell ref="I11:K11"/>
    <mergeCell ref="A1:C5"/>
    <mergeCell ref="D4:L4"/>
    <mergeCell ref="M4:O4"/>
    <mergeCell ref="D5:O5"/>
    <mergeCell ref="B8:C8"/>
    <mergeCell ref="D1:O3"/>
  </mergeCells>
  <conditionalFormatting sqref="S17:S20">
    <cfRule type="cellIs" dxfId="3" priority="2" operator="greaterThan">
      <formula>0.002</formula>
    </cfRule>
  </conditionalFormatting>
  <dataValidations disablePrompts="1" count="1">
    <dataValidation type="list" allowBlank="1" showInputMessage="1" showErrorMessage="1" sqref="S36" xr:uid="{00000000-0002-0000-0300-000000000000}">
      <formula1>aprobonombres</formula1>
    </dataValidation>
  </dataValidations>
  <printOptions horizontalCentered="1"/>
  <pageMargins left="0.59055118110236227" right="0.19685039370078741" top="0" bottom="0" header="0" footer="3.937007874015748E-2"/>
  <pageSetup paperSize="9" pageOrder="overThenDown"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de 1
</oddFooter>
  </headerFooter>
  <ignoredErrors>
    <ignoredError sqref="T13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0"/>
  </sheetPr>
  <dimension ref="A1:BE178"/>
  <sheetViews>
    <sheetView showGridLines="0" view="pageBreakPreview" topLeftCell="A4" zoomScaleSheetLayoutView="100" workbookViewId="0">
      <selection activeCell="J30" sqref="J30"/>
    </sheetView>
  </sheetViews>
  <sheetFormatPr baseColWidth="10" defaultColWidth="11.453125" defaultRowHeight="13" x14ac:dyDescent="0.3"/>
  <cols>
    <col min="1" max="1" width="6.453125" style="120" customWidth="1"/>
    <col min="2" max="2" width="7" style="120" customWidth="1"/>
    <col min="3" max="3" width="6" style="120" customWidth="1"/>
    <col min="4" max="4" width="5.1796875" style="120" customWidth="1"/>
    <col min="5" max="5" width="6.1796875" style="120" customWidth="1"/>
    <col min="6" max="6" width="5.1796875" style="120" customWidth="1"/>
    <col min="7" max="7" width="5" style="120" customWidth="1"/>
    <col min="8" max="8" width="5.81640625" style="120" customWidth="1"/>
    <col min="9" max="9" width="4.7265625" style="120" customWidth="1"/>
    <col min="10" max="10" width="7.453125" style="120" customWidth="1"/>
    <col min="11" max="12" width="8.26953125" style="120" customWidth="1"/>
    <col min="13" max="13" width="7.7265625" style="120" customWidth="1"/>
    <col min="14" max="14" width="6.7265625" style="120" customWidth="1"/>
    <col min="15" max="15" width="4.54296875" style="120" customWidth="1"/>
    <col min="16" max="16" width="18" style="120" customWidth="1"/>
    <col min="17" max="17" width="13.1796875" style="120" customWidth="1"/>
    <col min="18" max="18" width="15.1796875" style="120" customWidth="1"/>
    <col min="19" max="25" width="13.1796875" style="120" customWidth="1"/>
    <col min="26" max="36" width="11.453125" style="120" customWidth="1"/>
    <col min="37" max="16384" width="11.453125" style="120"/>
  </cols>
  <sheetData>
    <row r="1" spans="1:51" ht="15" customHeight="1" x14ac:dyDescent="0.3">
      <c r="A1" s="1275"/>
      <c r="B1" s="1547"/>
      <c r="C1" s="1547"/>
      <c r="D1" s="1276"/>
      <c r="E1" s="1550" t="s">
        <v>316</v>
      </c>
      <c r="F1" s="1551"/>
      <c r="G1" s="1551"/>
      <c r="H1" s="1551"/>
      <c r="I1" s="1551"/>
      <c r="J1" s="1551"/>
      <c r="K1" s="1551"/>
      <c r="L1" s="1551"/>
      <c r="M1" s="1551"/>
      <c r="N1" s="1551"/>
      <c r="O1" s="1552"/>
      <c r="P1" s="72"/>
      <c r="Q1" s="130"/>
      <c r="R1" s="131"/>
      <c r="S1" s="131"/>
      <c r="T1" s="131"/>
      <c r="U1" s="34"/>
      <c r="V1" s="34"/>
      <c r="W1" s="34"/>
      <c r="X1" s="34"/>
      <c r="Y1" s="34"/>
      <c r="AH1" s="34"/>
      <c r="AI1" s="34"/>
      <c r="AQ1" s="34"/>
      <c r="AR1" s="34"/>
      <c r="AS1" s="34"/>
      <c r="AT1" s="34"/>
      <c r="AU1" s="34"/>
      <c r="AV1" s="34"/>
      <c r="AW1" s="34"/>
      <c r="AX1" s="34"/>
    </row>
    <row r="2" spans="1:51" ht="15" customHeight="1" x14ac:dyDescent="0.3">
      <c r="A2" s="1277"/>
      <c r="B2" s="1548"/>
      <c r="C2" s="1548"/>
      <c r="D2" s="1278"/>
      <c r="E2" s="1553"/>
      <c r="F2" s="1554"/>
      <c r="G2" s="1554"/>
      <c r="H2" s="1554"/>
      <c r="I2" s="1554"/>
      <c r="J2" s="1554"/>
      <c r="K2" s="1554"/>
      <c r="L2" s="1554"/>
      <c r="M2" s="1554"/>
      <c r="N2" s="1554"/>
      <c r="O2" s="1555"/>
      <c r="P2" s="152"/>
      <c r="Q2" s="130"/>
      <c r="R2" s="131"/>
      <c r="S2" s="1008" t="str">
        <f>IF(Q8="esta fuera del alcance de acreditación","El resultado del ensayo de gravedad especifica bulk esta fuera del alcance de acreditación aprobado, por lo tanto el resultado de este ensayo no corresponde a un ensayo acreditado.","")</f>
        <v/>
      </c>
      <c r="T2" s="131"/>
      <c r="U2" s="34"/>
      <c r="AQ2" s="34"/>
      <c r="AR2" s="34"/>
      <c r="AS2" s="34"/>
      <c r="AT2" s="34"/>
      <c r="AU2" s="34"/>
      <c r="AV2" s="34"/>
      <c r="AW2" s="34"/>
      <c r="AX2" s="34"/>
    </row>
    <row r="3" spans="1:51" ht="15" customHeight="1" x14ac:dyDescent="0.3">
      <c r="A3" s="1277"/>
      <c r="B3" s="1548"/>
      <c r="C3" s="1548"/>
      <c r="D3" s="1278"/>
      <c r="E3" s="1556"/>
      <c r="F3" s="1557"/>
      <c r="G3" s="1557"/>
      <c r="H3" s="1557"/>
      <c r="I3" s="1557"/>
      <c r="J3" s="1557"/>
      <c r="K3" s="1557"/>
      <c r="L3" s="1557"/>
      <c r="M3" s="1557"/>
      <c r="N3" s="1557"/>
      <c r="O3" s="1558"/>
      <c r="P3" s="152"/>
      <c r="Q3" s="130"/>
      <c r="R3" s="131"/>
      <c r="S3" s="1008" t="str">
        <f>IF(Q12="esta fuera del alcance de acreditación","El resultado del ensayo de RICE esta fuera del alcance de acreditación aprobado, por lo tanto el resultado de este ensayo no corresponde a un ensayo acreditado.","")</f>
        <v/>
      </c>
      <c r="T3" s="131"/>
      <c r="U3" s="34"/>
      <c r="AQ3" s="34"/>
      <c r="AR3" s="34"/>
      <c r="AS3" s="34"/>
      <c r="AT3" s="34"/>
      <c r="AU3" s="34"/>
      <c r="AV3" s="34"/>
      <c r="AW3" s="34"/>
      <c r="AX3" s="34"/>
    </row>
    <row r="4" spans="1:51" ht="15" customHeight="1" x14ac:dyDescent="0.3">
      <c r="A4" s="1277"/>
      <c r="B4" s="1548"/>
      <c r="C4" s="1548"/>
      <c r="D4" s="1278"/>
      <c r="E4" s="1438" t="s">
        <v>262</v>
      </c>
      <c r="F4" s="1439"/>
      <c r="G4" s="1439"/>
      <c r="H4" s="1439"/>
      <c r="I4" s="1439"/>
      <c r="J4" s="1439"/>
      <c r="K4" s="1439"/>
      <c r="L4" s="1440"/>
      <c r="M4" s="1438" t="s">
        <v>467</v>
      </c>
      <c r="N4" s="1439"/>
      <c r="O4" s="1440"/>
      <c r="P4" s="73"/>
      <c r="Q4" s="109"/>
      <c r="R4" s="109"/>
      <c r="S4" s="1009" t="str">
        <f>IF(AND(S2="",S3=""),"",IF(AND(W7="esta fuera del alcance de acreditación",W9="esta fuera del alcance de acreditación"),"los resultados de los ensayos de gravedad especifica bulk y Rice estan fuera del alcance de acreditación aprobado, por lo tanto estos resultados no corresponden a ensayos acreditados.",IF(Q8="esta fuera del alcance de acreditación",S2,IF(Q12="esta fuera del alcance de acreditación",S3,""))))</f>
        <v/>
      </c>
      <c r="T4" s="109"/>
      <c r="U4" s="34"/>
      <c r="V4" s="34"/>
      <c r="W4" s="34"/>
      <c r="X4" s="34"/>
      <c r="Y4" s="34"/>
      <c r="AH4" s="34"/>
      <c r="AI4" s="34"/>
      <c r="AQ4" s="34"/>
      <c r="AR4" s="34"/>
      <c r="AS4" s="34"/>
      <c r="AT4" s="34"/>
      <c r="AU4" s="34"/>
      <c r="AV4" s="34"/>
      <c r="AW4" s="34"/>
      <c r="AX4" s="34"/>
    </row>
    <row r="5" spans="1:51" ht="15" customHeight="1" x14ac:dyDescent="0.3">
      <c r="A5" s="1279"/>
      <c r="B5" s="1549"/>
      <c r="C5" s="1549"/>
      <c r="D5" s="1280"/>
      <c r="E5" s="1438" t="s">
        <v>468</v>
      </c>
      <c r="F5" s="1439"/>
      <c r="G5" s="1439"/>
      <c r="H5" s="1439"/>
      <c r="I5" s="1439"/>
      <c r="J5" s="1439"/>
      <c r="K5" s="1439"/>
      <c r="L5" s="1439"/>
      <c r="M5" s="1439"/>
      <c r="N5" s="1439"/>
      <c r="O5" s="1440"/>
      <c r="P5" s="73"/>
      <c r="Y5" s="34"/>
      <c r="AH5" s="34"/>
      <c r="AI5" s="34"/>
      <c r="AQ5" s="34"/>
      <c r="AR5" s="34"/>
      <c r="AS5" s="34"/>
      <c r="AT5" s="34"/>
      <c r="AU5" s="34"/>
      <c r="AV5" s="34"/>
      <c r="AW5" s="34"/>
      <c r="AX5" s="34"/>
    </row>
    <row r="6" spans="1:51" ht="15" customHeight="1" x14ac:dyDescent="0.3">
      <c r="A6" s="631"/>
      <c r="B6" s="632"/>
      <c r="C6" s="632"/>
      <c r="D6" s="653"/>
      <c r="E6" s="653"/>
      <c r="F6" s="653"/>
      <c r="G6" s="653"/>
      <c r="H6" s="653"/>
      <c r="I6" s="653"/>
      <c r="J6" s="653"/>
      <c r="K6" s="632"/>
      <c r="L6" s="632"/>
      <c r="M6" s="653"/>
      <c r="N6" s="653"/>
      <c r="O6" s="654"/>
      <c r="P6" s="539" t="s">
        <v>305</v>
      </c>
      <c r="Q6" s="1569" t="s">
        <v>434</v>
      </c>
      <c r="R6" s="1570"/>
      <c r="S6" s="1571" t="s">
        <v>277</v>
      </c>
      <c r="T6" s="1571"/>
      <c r="U6" s="1571"/>
      <c r="V6" s="1571"/>
      <c r="W6" s="1571"/>
      <c r="X6" s="1572"/>
      <c r="AH6" s="34"/>
      <c r="AI6" s="34"/>
      <c r="AQ6" s="34"/>
      <c r="AR6" s="34"/>
      <c r="AS6" s="34"/>
      <c r="AT6" s="34"/>
      <c r="AU6" s="34"/>
      <c r="AV6" s="34"/>
      <c r="AW6" s="34"/>
      <c r="AX6" s="34"/>
    </row>
    <row r="7" spans="1:51" ht="15" customHeight="1" x14ac:dyDescent="0.3">
      <c r="A7" s="635"/>
      <c r="B7" s="636"/>
      <c r="C7" s="636"/>
      <c r="G7" s="676"/>
      <c r="I7" s="1633" t="s">
        <v>55</v>
      </c>
      <c r="J7" s="1633"/>
      <c r="K7" s="1418" t="str">
        <f>IF('1. Encabezado'!S7="","",'1. Encabezado'!S7)</f>
        <v/>
      </c>
      <c r="L7" s="1418"/>
      <c r="M7" s="1418"/>
      <c r="N7" s="1418"/>
      <c r="O7" s="656"/>
      <c r="P7" s="542" t="s">
        <v>306</v>
      </c>
      <c r="Q7" s="1636" t="str">
        <f>IF(U10="","",IF(U10="No cumple la precisión",U10,""))</f>
        <v/>
      </c>
      <c r="R7" s="1637"/>
      <c r="S7" s="899" t="s">
        <v>275</v>
      </c>
      <c r="T7" s="437">
        <v>1.994</v>
      </c>
      <c r="U7" s="438" t="s">
        <v>276</v>
      </c>
      <c r="V7" s="437">
        <v>2.3159999999999998</v>
      </c>
      <c r="W7" s="1646" t="str">
        <f xml:space="preserve"> IF(N19="","",IF(OR(N19&lt;T7,N19&gt;V7), "esta fuera del alcance de acreditación", "ESTA DENTRO DEL ALCANCE"))</f>
        <v/>
      </c>
      <c r="X7" s="1647"/>
      <c r="AH7" s="34"/>
      <c r="AI7" s="34"/>
      <c r="AQ7" s="34"/>
      <c r="AR7" s="34"/>
      <c r="AS7" s="34"/>
      <c r="AT7" s="34"/>
      <c r="AU7" s="34"/>
      <c r="AV7" s="34"/>
      <c r="AW7" s="34"/>
      <c r="AX7" s="34"/>
    </row>
    <row r="8" spans="1:51" ht="15" customHeight="1" x14ac:dyDescent="0.3">
      <c r="A8" s="635"/>
      <c r="B8" s="636"/>
      <c r="C8" s="636"/>
      <c r="D8" s="676"/>
      <c r="E8" s="676"/>
      <c r="G8" s="677"/>
      <c r="H8" s="677"/>
      <c r="I8" s="677"/>
      <c r="J8" s="677"/>
      <c r="L8" s="1336" t="str">
        <f>IF(K7="",P11,CONCATENATE(P7," ",P8," ",P9," ", P10))</f>
        <v>Pagina xx de xx</v>
      </c>
      <c r="M8" s="1336"/>
      <c r="N8" s="1336"/>
      <c r="O8" s="657"/>
      <c r="P8" s="546" t="str">
        <f>IF(K7="","",5)</f>
        <v/>
      </c>
      <c r="Q8" s="1638" t="str">
        <f>IF(W7="","",IF(W7="esta fuera del alcance de acreditación",W7,""))</f>
        <v/>
      </c>
      <c r="R8" s="1639"/>
      <c r="S8" s="1571" t="s">
        <v>278</v>
      </c>
      <c r="T8" s="1571"/>
      <c r="U8" s="1571"/>
      <c r="V8" s="1571"/>
      <c r="W8" s="1571"/>
      <c r="X8" s="1572"/>
      <c r="AH8" s="34"/>
      <c r="AI8" s="34"/>
      <c r="AQ8" s="34"/>
      <c r="AR8" s="34"/>
      <c r="AS8" s="34"/>
      <c r="AT8" s="34"/>
      <c r="AU8" s="34"/>
      <c r="AV8" s="34"/>
      <c r="AW8" s="34"/>
      <c r="AX8" s="34"/>
    </row>
    <row r="9" spans="1:51" ht="15" customHeight="1" x14ac:dyDescent="0.3">
      <c r="A9" s="640"/>
      <c r="B9" s="641"/>
      <c r="C9" s="641"/>
      <c r="D9" s="655"/>
      <c r="E9" s="655"/>
      <c r="F9" s="655"/>
      <c r="G9" s="655"/>
      <c r="H9" s="655"/>
      <c r="I9" s="655"/>
      <c r="J9" s="655"/>
      <c r="K9" s="641"/>
      <c r="L9" s="641"/>
      <c r="M9" s="658"/>
      <c r="N9" s="658"/>
      <c r="O9" s="657"/>
      <c r="P9" s="550" t="s">
        <v>307</v>
      </c>
      <c r="Q9" s="1249" t="str">
        <f>IF(U11="","",IF(U11="no cumple la absorsión",W7,""))</f>
        <v/>
      </c>
      <c r="R9" s="1251"/>
      <c r="S9" s="899" t="s">
        <v>275</v>
      </c>
      <c r="T9" s="437">
        <v>2.2429999999999999</v>
      </c>
      <c r="U9" s="438" t="s">
        <v>276</v>
      </c>
      <c r="V9" s="439">
        <v>2.4</v>
      </c>
      <c r="W9" s="1646" t="str">
        <f xml:space="preserve"> IF(G27="","",IF(OR(G27&lt;T9,G27&gt;V9), "esta fuera del alcance de acreditación", "ESTA DENTRO DEL ALCANCE"))</f>
        <v/>
      </c>
      <c r="X9" s="1647"/>
      <c r="Y9" s="34"/>
      <c r="AH9" s="34"/>
      <c r="AI9" s="34"/>
      <c r="AQ9" s="34"/>
      <c r="AR9" s="34"/>
      <c r="AS9" s="34"/>
      <c r="AT9" s="34"/>
      <c r="AU9" s="34"/>
      <c r="AV9" s="34"/>
      <c r="AW9" s="34"/>
      <c r="AX9" s="34"/>
    </row>
    <row r="10" spans="1:51" ht="30" customHeight="1" x14ac:dyDescent="0.3">
      <c r="A10" s="1579" t="s">
        <v>471</v>
      </c>
      <c r="B10" s="1580"/>
      <c r="C10" s="1580"/>
      <c r="D10" s="1580"/>
      <c r="E10" s="1580"/>
      <c r="F10" s="1580"/>
      <c r="G10" s="1580"/>
      <c r="H10" s="1580"/>
      <c r="I10" s="1580"/>
      <c r="J10" s="1580"/>
      <c r="K10" s="1580"/>
      <c r="L10" s="1580"/>
      <c r="M10" s="1580"/>
      <c r="N10" s="1580"/>
      <c r="O10" s="1581"/>
      <c r="P10" s="958" t="str">
        <f>IF(K7="","",'1. Encabezado'!AB10)</f>
        <v/>
      </c>
      <c r="Q10" s="1640" t="s">
        <v>435</v>
      </c>
      <c r="R10" s="1641"/>
      <c r="S10" s="1573" t="s">
        <v>445</v>
      </c>
      <c r="T10" s="1574"/>
      <c r="U10" s="1575" t="str">
        <f>IF(J19="","",IF(AND(L28=Q30,OR(MAX(J19:K19)-MIN(J19:K19)&gt;0.023,MAX(J19:L19)-MIN(J19:L19)&gt;0.026,MAX(J19:M19)-MIN(J19:M19)&gt;0.029)),"No cumple precisión",IF(AND(L28=Q29,OR(MAX(J19:K19)-MIN(J19:K19)&gt;0.037,MAX(J19:L19)-MIN(J19:L19)&gt;0.043,MAX(J19:M19)-MIN(J19:M19)&gt;0.047)),"No cumple la precisión","Cumple la precisión")))</f>
        <v/>
      </c>
      <c r="V10" s="1576"/>
      <c r="W10" s="190"/>
      <c r="X10" s="190"/>
      <c r="Y10" s="34"/>
      <c r="AB10" s="2"/>
      <c r="AH10" s="34"/>
      <c r="AI10" s="34"/>
      <c r="AQ10" s="34"/>
      <c r="AR10" s="34"/>
      <c r="AS10" s="34"/>
      <c r="AT10" s="34"/>
      <c r="AU10" s="34"/>
      <c r="AV10" s="34"/>
      <c r="AW10" s="34"/>
      <c r="AX10" s="34"/>
    </row>
    <row r="11" spans="1:51" ht="15" customHeight="1" x14ac:dyDescent="0.3">
      <c r="A11" s="1536" t="s">
        <v>124</v>
      </c>
      <c r="B11" s="1537"/>
      <c r="C11" s="1537"/>
      <c r="D11" s="1537"/>
      <c r="E11" s="517"/>
      <c r="F11" s="517"/>
      <c r="G11" s="960"/>
      <c r="H11" s="1538" t="s">
        <v>6</v>
      </c>
      <c r="I11" s="1538"/>
      <c r="J11" s="961">
        <v>1</v>
      </c>
      <c r="K11" s="961">
        <v>2</v>
      </c>
      <c r="L11" s="961">
        <v>3</v>
      </c>
      <c r="M11" s="961">
        <v>4</v>
      </c>
      <c r="N11" s="1539" t="str">
        <f>+IF(K7="","",CONCATENATE(Q7))</f>
        <v/>
      </c>
      <c r="O11" s="1540"/>
      <c r="P11" s="959" t="s">
        <v>308</v>
      </c>
      <c r="Q11" s="1642" t="str">
        <f>+IF('4. Gradación'!Q13="","",IF(T27="No cumple"," La muestra no cumple con el tamaño minimo",""))</f>
        <v/>
      </c>
      <c r="R11" s="1643"/>
      <c r="S11" s="1577" t="s">
        <v>446</v>
      </c>
      <c r="T11" s="1578"/>
      <c r="U11" s="1575" t="str">
        <f>IF(J21="","",IF(OR(J21&gt;2,K21&gt;2,L21&gt;2,M21&gt;2),"no cumple la absorsión","Cumple la absorción"))</f>
        <v/>
      </c>
      <c r="V11" s="1576"/>
      <c r="W11" s="190"/>
      <c r="X11" s="190"/>
      <c r="Y11" s="34"/>
      <c r="AB11" s="2"/>
      <c r="AH11" s="34"/>
      <c r="AI11" s="34"/>
      <c r="AQ11" s="34"/>
      <c r="AR11" s="34"/>
      <c r="AS11" s="34"/>
      <c r="AT11" s="34"/>
      <c r="AU11" s="34"/>
      <c r="AV11" s="34"/>
      <c r="AW11" s="34"/>
      <c r="AX11" s="34"/>
    </row>
    <row r="12" spans="1:51" ht="15" customHeight="1" thickBot="1" x14ac:dyDescent="0.35">
      <c r="A12" s="1541" t="s">
        <v>187</v>
      </c>
      <c r="B12" s="1542"/>
      <c r="C12" s="1542"/>
      <c r="D12" s="1542"/>
      <c r="E12" s="1542"/>
      <c r="F12" s="1542"/>
      <c r="G12" s="1542"/>
      <c r="H12" s="1543" t="s">
        <v>10</v>
      </c>
      <c r="I12" s="1543"/>
      <c r="J12" s="605" t="str">
        <f>+IF(Q15="","",AVERAGE(Q15:R16))</f>
        <v/>
      </c>
      <c r="K12" s="605" t="str">
        <f>+IF(S15="","",AVERAGE(S15:T16))</f>
        <v/>
      </c>
      <c r="L12" s="605" t="str">
        <f>+IF(U15="","",AVERAGE(U15:V16))</f>
        <v/>
      </c>
      <c r="M12" s="605" t="str">
        <f>+IF(W15="","",AVERAGE(W15:X16))</f>
        <v/>
      </c>
      <c r="N12" s="1539"/>
      <c r="O12" s="1540"/>
      <c r="P12" s="524"/>
      <c r="Q12" s="1644" t="str">
        <f>IF(W9="","",IF(W9="esta fuera del alcance de acreditación",W9,""))</f>
        <v/>
      </c>
      <c r="R12" s="1645"/>
      <c r="S12" s="895"/>
      <c r="T12" s="895"/>
      <c r="U12" s="730"/>
      <c r="V12" s="730"/>
      <c r="W12" s="190"/>
      <c r="X12" s="190"/>
      <c r="Y12" s="34"/>
      <c r="AB12" s="2"/>
      <c r="AH12" s="34"/>
      <c r="AI12" s="34"/>
      <c r="AQ12" s="34"/>
      <c r="AR12" s="34"/>
      <c r="AS12" s="34"/>
      <c r="AT12" s="34"/>
      <c r="AU12" s="34"/>
      <c r="AV12" s="34"/>
      <c r="AW12" s="34"/>
      <c r="AX12" s="34"/>
    </row>
    <row r="13" spans="1:51" ht="15" customHeight="1" thickTop="1" x14ac:dyDescent="0.3">
      <c r="A13" s="1541" t="s">
        <v>317</v>
      </c>
      <c r="B13" s="1545"/>
      <c r="C13" s="1545"/>
      <c r="D13" s="1545"/>
      <c r="E13" s="1545"/>
      <c r="F13" s="1545"/>
      <c r="G13" s="1545"/>
      <c r="H13" s="1543" t="s">
        <v>10</v>
      </c>
      <c r="I13" s="1543"/>
      <c r="J13" s="605" t="str">
        <f>+IF(Q20="","",AVERAGE(Q20:R20))</f>
        <v/>
      </c>
      <c r="K13" s="605" t="str">
        <f>+IF(S20="","",AVERAGE(S20:T20))</f>
        <v/>
      </c>
      <c r="L13" s="605" t="str">
        <f>+IF(U20="","",AVERAGE(U20:V20))</f>
        <v/>
      </c>
      <c r="M13" s="605" t="str">
        <f>+IF(W20="","",AVERAGE(W20:X20))</f>
        <v/>
      </c>
      <c r="N13" s="1539"/>
      <c r="O13" s="1540"/>
      <c r="P13" s="898"/>
      <c r="Q13" s="1631" t="s">
        <v>231</v>
      </c>
      <c r="R13" s="1631"/>
      <c r="S13" s="1631"/>
      <c r="T13" s="1631"/>
      <c r="U13" s="1631"/>
      <c r="V13" s="1631"/>
      <c r="W13" s="1631"/>
      <c r="X13" s="1632"/>
      <c r="Y13" s="34"/>
      <c r="AB13" s="2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</row>
    <row r="14" spans="1:51" ht="15" customHeight="1" x14ac:dyDescent="0.3">
      <c r="A14" s="1544" t="s">
        <v>71</v>
      </c>
      <c r="B14" s="1545"/>
      <c r="C14" s="1545"/>
      <c r="D14" s="1545"/>
      <c r="E14" s="1545"/>
      <c r="F14" s="1545"/>
      <c r="G14" s="1545"/>
      <c r="H14" s="1546" t="s">
        <v>60</v>
      </c>
      <c r="I14" s="1546"/>
      <c r="J14" s="962"/>
      <c r="K14" s="605" t="str">
        <f>IF($J$14="","",$J$14)</f>
        <v/>
      </c>
      <c r="L14" s="605" t="str">
        <f t="shared" ref="L14:M14" si="0">IF($J$14="","",$J$14)</f>
        <v/>
      </c>
      <c r="M14" s="605" t="str">
        <f t="shared" si="0"/>
        <v/>
      </c>
      <c r="N14" s="1539"/>
      <c r="O14" s="1540"/>
      <c r="P14" s="898"/>
      <c r="Q14" s="1566">
        <v>1</v>
      </c>
      <c r="R14" s="1565"/>
      <c r="S14" s="1564">
        <v>2</v>
      </c>
      <c r="T14" s="1565"/>
      <c r="U14" s="1564">
        <v>3</v>
      </c>
      <c r="V14" s="1565"/>
      <c r="W14" s="1564">
        <v>4</v>
      </c>
      <c r="X14" s="1608"/>
      <c r="Y14" s="39"/>
      <c r="AB14" s="2"/>
      <c r="AH14" s="39"/>
      <c r="AI14" s="39"/>
      <c r="AJ14" s="39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</row>
    <row r="15" spans="1:51" ht="30" customHeight="1" x14ac:dyDescent="0.3">
      <c r="A15" s="1544" t="s">
        <v>125</v>
      </c>
      <c r="B15" s="1545"/>
      <c r="C15" s="1545"/>
      <c r="D15" s="1545"/>
      <c r="E15" s="1545"/>
      <c r="F15" s="1545"/>
      <c r="G15" s="1545"/>
      <c r="H15" s="1543" t="s">
        <v>37</v>
      </c>
      <c r="I15" s="1543"/>
      <c r="J15" s="962"/>
      <c r="K15" s="962"/>
      <c r="L15" s="962"/>
      <c r="M15" s="962"/>
      <c r="N15" s="1539"/>
      <c r="O15" s="1540"/>
      <c r="P15" s="898"/>
      <c r="Q15" s="445"/>
      <c r="R15" s="271"/>
      <c r="S15" s="271"/>
      <c r="T15" s="271"/>
      <c r="U15" s="271"/>
      <c r="V15" s="271"/>
      <c r="W15" s="271"/>
      <c r="X15" s="272"/>
      <c r="Y15" s="1"/>
      <c r="AB15" s="2"/>
      <c r="AH15" s="39"/>
      <c r="AI15" s="39"/>
      <c r="AJ15" s="39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</row>
    <row r="16" spans="1:51" ht="30" customHeight="1" thickBot="1" x14ac:dyDescent="0.35">
      <c r="A16" s="1544" t="s">
        <v>126</v>
      </c>
      <c r="B16" s="1545"/>
      <c r="C16" s="1545"/>
      <c r="D16" s="1545"/>
      <c r="E16" s="1545"/>
      <c r="F16" s="1545"/>
      <c r="G16" s="1545"/>
      <c r="H16" s="1543" t="s">
        <v>37</v>
      </c>
      <c r="I16" s="1543"/>
      <c r="J16" s="962"/>
      <c r="K16" s="962"/>
      <c r="L16" s="962"/>
      <c r="M16" s="962"/>
      <c r="N16" s="1539"/>
      <c r="O16" s="1540"/>
      <c r="P16" s="887"/>
      <c r="Q16" s="446"/>
      <c r="R16" s="273"/>
      <c r="S16" s="273"/>
      <c r="T16" s="273"/>
      <c r="U16" s="273"/>
      <c r="V16" s="273"/>
      <c r="W16" s="273"/>
      <c r="X16" s="274"/>
      <c r="Y16" s="1"/>
      <c r="AG16" s="39"/>
      <c r="AH16" s="39"/>
      <c r="AI16" s="39"/>
      <c r="AJ16" s="39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</row>
    <row r="17" spans="1:55" ht="30" customHeight="1" thickTop="1" thickBot="1" x14ac:dyDescent="0.35">
      <c r="A17" s="1541" t="s">
        <v>188</v>
      </c>
      <c r="B17" s="1542"/>
      <c r="C17" s="1542"/>
      <c r="D17" s="1542"/>
      <c r="E17" s="1542"/>
      <c r="F17" s="1542"/>
      <c r="G17" s="1542"/>
      <c r="H17" s="1543" t="s">
        <v>37</v>
      </c>
      <c r="I17" s="1543"/>
      <c r="J17" s="962"/>
      <c r="K17" s="962"/>
      <c r="L17" s="962"/>
      <c r="M17" s="962"/>
      <c r="N17" s="1539"/>
      <c r="O17" s="1540"/>
      <c r="P17" s="886"/>
      <c r="Q17" s="900"/>
      <c r="R17" s="190"/>
      <c r="S17" s="190"/>
      <c r="T17" s="190"/>
      <c r="U17" s="190"/>
      <c r="V17" s="190"/>
      <c r="W17" s="190"/>
      <c r="X17" s="190"/>
      <c r="Y17" s="2"/>
      <c r="AG17" s="39"/>
      <c r="AH17" s="39"/>
      <c r="AI17" s="39"/>
      <c r="AJ17" s="39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</row>
    <row r="18" spans="1:55" ht="30" customHeight="1" thickTop="1" x14ac:dyDescent="0.3">
      <c r="A18" s="1541" t="s">
        <v>175</v>
      </c>
      <c r="B18" s="1542"/>
      <c r="C18" s="1542"/>
      <c r="D18" s="1542"/>
      <c r="E18" s="1542"/>
      <c r="F18" s="1542"/>
      <c r="G18" s="1542"/>
      <c r="H18" s="1543" t="s">
        <v>37</v>
      </c>
      <c r="I18" s="1543"/>
      <c r="J18" s="605" t="str">
        <f>IF(J17="","",+J17-J16)</f>
        <v/>
      </c>
      <c r="K18" s="605" t="str">
        <f>IF(K17="","",+K17-K16)</f>
        <v/>
      </c>
      <c r="L18" s="605" t="str">
        <f>IF(L17="","",+L17-L16)</f>
        <v/>
      </c>
      <c r="M18" s="605" t="str">
        <f>IF(M17="","",+M17-M16)</f>
        <v/>
      </c>
      <c r="N18" s="1567" t="s">
        <v>5</v>
      </c>
      <c r="O18" s="1568"/>
      <c r="P18" s="888"/>
      <c r="Q18" s="1631" t="s">
        <v>251</v>
      </c>
      <c r="R18" s="1631"/>
      <c r="S18" s="1631"/>
      <c r="T18" s="1631"/>
      <c r="U18" s="1631"/>
      <c r="V18" s="1631"/>
      <c r="W18" s="1631"/>
      <c r="X18" s="1632"/>
      <c r="Y18" s="39"/>
      <c r="Z18" s="525"/>
      <c r="AA18" s="166"/>
      <c r="AB18" s="166"/>
      <c r="AC18" s="192"/>
      <c r="AD18" s="192"/>
      <c r="AE18" s="39"/>
      <c r="AF18" s="39"/>
      <c r="AG18" s="39"/>
      <c r="AH18" s="39"/>
      <c r="AI18" s="39"/>
      <c r="AJ18" s="39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</row>
    <row r="19" spans="1:55" ht="30" customHeight="1" x14ac:dyDescent="0.3">
      <c r="A19" s="1559" t="s">
        <v>115</v>
      </c>
      <c r="B19" s="1560"/>
      <c r="C19" s="1560"/>
      <c r="D19" s="1560"/>
      <c r="E19" s="1560"/>
      <c r="F19" s="1560"/>
      <c r="G19" s="1560"/>
      <c r="H19" s="1561"/>
      <c r="I19" s="1561"/>
      <c r="J19" s="963" t="str">
        <f>IF(J15="","",+J15/J18)</f>
        <v/>
      </c>
      <c r="K19" s="963" t="str">
        <f>IF(K15="","",+K15/K18)</f>
        <v/>
      </c>
      <c r="L19" s="963" t="str">
        <f>IF(L15="","",+L15/L18)</f>
        <v/>
      </c>
      <c r="M19" s="963" t="str">
        <f>IF(M15="","",+M15/M18)</f>
        <v/>
      </c>
      <c r="N19" s="1562" t="str">
        <f>IF(J19="","",+AVERAGE(J19:M19))</f>
        <v/>
      </c>
      <c r="O19" s="1563"/>
      <c r="P19" s="888"/>
      <c r="Q19" s="1566">
        <v>1</v>
      </c>
      <c r="R19" s="1565"/>
      <c r="S19" s="1564">
        <v>2</v>
      </c>
      <c r="T19" s="1565"/>
      <c r="U19" s="1564">
        <v>3</v>
      </c>
      <c r="V19" s="1565"/>
      <c r="W19" s="1564">
        <v>4</v>
      </c>
      <c r="X19" s="1608"/>
      <c r="Y19" s="2"/>
      <c r="AH19" s="39"/>
      <c r="AI19" s="39"/>
      <c r="AJ19" s="84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15"/>
      <c r="BA19" s="15"/>
      <c r="BB19" s="15"/>
      <c r="BC19" s="15"/>
    </row>
    <row r="20" spans="1:55" ht="30" customHeight="1" thickBot="1" x14ac:dyDescent="0.35">
      <c r="A20" s="1544" t="s">
        <v>189</v>
      </c>
      <c r="B20" s="1545"/>
      <c r="C20" s="1545"/>
      <c r="D20" s="1545"/>
      <c r="E20" s="1545"/>
      <c r="F20" s="1545"/>
      <c r="G20" s="1545"/>
      <c r="H20" s="1543" t="s">
        <v>318</v>
      </c>
      <c r="I20" s="1543"/>
      <c r="J20" s="964" t="str">
        <f>IF(J19="","",+J19*997)</f>
        <v/>
      </c>
      <c r="K20" s="964" t="str">
        <f>IF(K19="","",+K19*997)</f>
        <v/>
      </c>
      <c r="L20" s="964" t="str">
        <f>IF(L19="","",+L19*997)</f>
        <v/>
      </c>
      <c r="M20" s="964" t="str">
        <f>IF(M19="","",+M19*997)</f>
        <v/>
      </c>
      <c r="N20" s="1589" t="str">
        <f>IF(J20="","",+AVERAGE(J20:M20))</f>
        <v/>
      </c>
      <c r="O20" s="1590"/>
      <c r="P20" s="888"/>
      <c r="Q20" s="446"/>
      <c r="R20" s="273"/>
      <c r="S20" s="273"/>
      <c r="T20" s="273"/>
      <c r="U20" s="273"/>
      <c r="V20" s="273"/>
      <c r="W20" s="273"/>
      <c r="X20" s="274"/>
      <c r="Y20" s="2"/>
      <c r="AH20" s="85"/>
      <c r="AI20" s="85"/>
      <c r="AJ20" s="84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15"/>
      <c r="BA20" s="15"/>
      <c r="BB20" s="15"/>
      <c r="BC20" s="15"/>
    </row>
    <row r="21" spans="1:55" ht="30" customHeight="1" thickTop="1" x14ac:dyDescent="0.3">
      <c r="A21" s="1591" t="s">
        <v>116</v>
      </c>
      <c r="B21" s="1592"/>
      <c r="C21" s="1592"/>
      <c r="D21" s="1592"/>
      <c r="E21" s="1592"/>
      <c r="F21" s="1592"/>
      <c r="G21" s="1592"/>
      <c r="H21" s="1593" t="s">
        <v>36</v>
      </c>
      <c r="I21" s="1593"/>
      <c r="J21" s="678" t="str">
        <f>IF(J17="","",+(J17-J15)/(J17-J16)*100)</f>
        <v/>
      </c>
      <c r="K21" s="678" t="str">
        <f>IF(K16="","",+(K17-K15)/(K17-K16)*100)</f>
        <v/>
      </c>
      <c r="L21" s="678" t="str">
        <f>IF(L17="","",+(L17-L15)/(L17-L16)*100)</f>
        <v/>
      </c>
      <c r="M21" s="678" t="str">
        <f>IF(M17="","",+(M17-M15)/(M17-M16)*100)</f>
        <v/>
      </c>
      <c r="N21" s="1594" t="str">
        <f>IF(J21="","",+AVERAGE(J21:M21))</f>
        <v/>
      </c>
      <c r="O21" s="1595"/>
      <c r="P21" s="150"/>
      <c r="Q21" s="190"/>
      <c r="R21" s="190"/>
      <c r="S21" s="190"/>
      <c r="T21" s="190"/>
      <c r="U21" s="190"/>
      <c r="V21" s="234"/>
      <c r="W21" s="234"/>
      <c r="X21" s="234"/>
      <c r="AH21" s="85"/>
      <c r="AI21" s="85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15"/>
      <c r="BA21" s="15"/>
      <c r="BB21" s="15"/>
      <c r="BC21" s="15"/>
    </row>
    <row r="22" spans="1:55" ht="30" customHeight="1" x14ac:dyDescent="0.3">
      <c r="A22" s="1596" t="s">
        <v>122</v>
      </c>
      <c r="B22" s="1597"/>
      <c r="C22" s="1597"/>
      <c r="D22" s="1597"/>
      <c r="E22" s="1597"/>
      <c r="F22" s="1597"/>
      <c r="G22" s="1597"/>
      <c r="H22" s="1597"/>
      <c r="I22" s="1597"/>
      <c r="J22" s="1597"/>
      <c r="K22" s="1597"/>
      <c r="L22" s="1597"/>
      <c r="M22" s="1597"/>
      <c r="N22" s="1597"/>
      <c r="O22" s="1598"/>
      <c r="P22" s="150"/>
      <c r="U22" s="190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15"/>
      <c r="BA22" s="15"/>
      <c r="BB22" s="15"/>
      <c r="BC22" s="15"/>
    </row>
    <row r="23" spans="1:55" ht="15" customHeight="1" x14ac:dyDescent="0.3">
      <c r="A23" s="1599" t="s">
        <v>80</v>
      </c>
      <c r="B23" s="1600"/>
      <c r="C23" s="1600"/>
      <c r="D23" s="1600"/>
      <c r="E23" s="1600"/>
      <c r="F23" s="679"/>
      <c r="G23" s="1601" t="str">
        <f>IF(K7="","","1")</f>
        <v/>
      </c>
      <c r="H23" s="1602"/>
      <c r="I23" s="1603" t="s">
        <v>177</v>
      </c>
      <c r="J23" s="1600"/>
      <c r="K23" s="1600"/>
      <c r="L23" s="1600" t="s">
        <v>319</v>
      </c>
      <c r="M23" s="1600"/>
      <c r="N23" s="1600"/>
      <c r="O23" s="1604"/>
      <c r="P23" s="150"/>
      <c r="U23" s="190"/>
      <c r="Z23" s="431"/>
      <c r="AA23" s="433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15"/>
      <c r="BA23" s="15"/>
      <c r="BB23" s="15"/>
      <c r="BC23" s="15"/>
    </row>
    <row r="24" spans="1:55" ht="30" customHeight="1" x14ac:dyDescent="0.3">
      <c r="A24" s="1626" t="s">
        <v>97</v>
      </c>
      <c r="B24" s="1627"/>
      <c r="C24" s="1627"/>
      <c r="D24" s="1627"/>
      <c r="E24" s="1627"/>
      <c r="F24" s="598" t="s">
        <v>37</v>
      </c>
      <c r="G24" s="1582"/>
      <c r="H24" s="1583"/>
      <c r="I24" s="1584" t="s">
        <v>81</v>
      </c>
      <c r="J24" s="1585"/>
      <c r="K24" s="1585"/>
      <c r="L24" s="1585" t="s">
        <v>320</v>
      </c>
      <c r="M24" s="1585"/>
      <c r="N24" s="1585"/>
      <c r="O24" s="1628"/>
      <c r="P24" s="150"/>
      <c r="Q24" s="1634" t="s">
        <v>424</v>
      </c>
      <c r="R24" s="889">
        <v>1</v>
      </c>
      <c r="S24" s="889">
        <v>2</v>
      </c>
      <c r="T24" s="896" t="s">
        <v>433</v>
      </c>
      <c r="U24" s="190"/>
      <c r="V24" s="897" t="s">
        <v>272</v>
      </c>
      <c r="W24" s="889" t="s">
        <v>273</v>
      </c>
      <c r="X24" s="896" t="s">
        <v>274</v>
      </c>
      <c r="Y24" s="892" t="s">
        <v>252</v>
      </c>
      <c r="Z24" s="432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15"/>
      <c r="BA24" s="15"/>
      <c r="BB24" s="15"/>
      <c r="BC24" s="15"/>
    </row>
    <row r="25" spans="1:55" ht="30" customHeight="1" x14ac:dyDescent="0.3">
      <c r="A25" s="1649" t="s">
        <v>114</v>
      </c>
      <c r="B25" s="1650"/>
      <c r="C25" s="1650"/>
      <c r="D25" s="1650"/>
      <c r="E25" s="1650"/>
      <c r="F25" s="598" t="s">
        <v>37</v>
      </c>
      <c r="G25" s="1582"/>
      <c r="H25" s="1583"/>
      <c r="I25" s="1584" t="s">
        <v>105</v>
      </c>
      <c r="J25" s="1585"/>
      <c r="K25" s="1585"/>
      <c r="L25" s="1586" t="str">
        <f>IF(K7="","",Y25)</f>
        <v/>
      </c>
      <c r="M25" s="1586"/>
      <c r="N25" s="1586"/>
      <c r="O25" s="1587"/>
      <c r="P25" s="82"/>
      <c r="Q25" s="1635"/>
      <c r="R25" s="890"/>
      <c r="S25" s="890"/>
      <c r="T25" s="121" t="str">
        <f>+IF(OR(R25="",S25=""),"",IF(ABS(R25-S25)&gt;1,"No Cumple","Cumple"))</f>
        <v/>
      </c>
      <c r="V25" s="429" t="str">
        <f>'4. Gradación'!E15</f>
        <v/>
      </c>
      <c r="W25" s="430" t="str">
        <f>+'4. Gradación'!E24</f>
        <v/>
      </c>
      <c r="X25" s="430" t="str">
        <f>IF(W25="","",100-W25)</f>
        <v/>
      </c>
      <c r="Y25" s="111" t="str">
        <f>IF('4. Gradación'!Q13="","",IF(X25&gt;=15,Q27,IF(X26&gt;=15,Q28,IF(X27&gt;=15,Q29,IF(OR(X28&gt;=15,X29&gt;=15,X30&gt;=15),Q30,"")))))</f>
        <v/>
      </c>
      <c r="AG25" s="1629"/>
      <c r="AH25" s="1629"/>
      <c r="AI25" s="1629"/>
      <c r="AK25" s="221"/>
      <c r="AL25" s="221"/>
      <c r="AM25" s="221"/>
      <c r="AN25" s="221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15"/>
      <c r="BA25" s="15"/>
      <c r="BB25" s="15"/>
      <c r="BC25" s="15"/>
    </row>
    <row r="26" spans="1:55" ht="30" customHeight="1" x14ac:dyDescent="0.3">
      <c r="A26" s="1616" t="s">
        <v>159</v>
      </c>
      <c r="B26" s="1617"/>
      <c r="C26" s="1617"/>
      <c r="D26" s="1617"/>
      <c r="E26" s="1617"/>
      <c r="F26" s="598" t="s">
        <v>37</v>
      </c>
      <c r="G26" s="1618" t="str">
        <f>IF(OR(R25="",T25=""),"",AVERAGE(R25:S25))</f>
        <v/>
      </c>
      <c r="H26" s="1619"/>
      <c r="I26" s="1610"/>
      <c r="J26" s="1611"/>
      <c r="K26" s="1611"/>
      <c r="L26" s="1611"/>
      <c r="M26" s="1611"/>
      <c r="N26" s="1611"/>
      <c r="O26" s="1612"/>
      <c r="Q26" s="892" t="s">
        <v>252</v>
      </c>
      <c r="R26" s="893" t="s">
        <v>253</v>
      </c>
      <c r="S26" s="1648" t="s">
        <v>254</v>
      </c>
      <c r="T26" s="1648"/>
      <c r="V26" s="429" t="str">
        <f>+'4. Gradación'!F15</f>
        <v/>
      </c>
      <c r="W26" s="430" t="str">
        <f>+'4. Gradación'!F24</f>
        <v/>
      </c>
      <c r="X26" s="430" t="str">
        <f t="shared" ref="X26" si="1">IF(W26="","",100-W26)</f>
        <v/>
      </c>
      <c r="Y26" s="234"/>
      <c r="Z26" s="434"/>
      <c r="AG26" s="680"/>
      <c r="AH26" s="680"/>
      <c r="AI26" s="680"/>
      <c r="AK26" s="223"/>
      <c r="AL26" s="223"/>
      <c r="AM26" s="223"/>
      <c r="AN26" s="223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15"/>
      <c r="BA26" s="15"/>
      <c r="BB26" s="15"/>
      <c r="BC26" s="15"/>
    </row>
    <row r="27" spans="1:55" ht="30" customHeight="1" x14ac:dyDescent="0.3">
      <c r="A27" s="1620" t="s">
        <v>117</v>
      </c>
      <c r="B27" s="1621"/>
      <c r="C27" s="1621"/>
      <c r="D27" s="1621"/>
      <c r="E27" s="1621"/>
      <c r="F27" s="681"/>
      <c r="G27" s="1622" t="str">
        <f>IF(G24="","",(G24/(G24+G25-G26)))</f>
        <v/>
      </c>
      <c r="H27" s="1623"/>
      <c r="I27" s="1613"/>
      <c r="J27" s="1614"/>
      <c r="K27" s="1614"/>
      <c r="L27" s="1614"/>
      <c r="M27" s="1614"/>
      <c r="N27" s="1614"/>
      <c r="O27" s="1615"/>
      <c r="Q27" s="891" t="s">
        <v>165</v>
      </c>
      <c r="R27" s="271">
        <v>5000</v>
      </c>
      <c r="S27" s="271" t="str">
        <f>IF(AND($L$25=Q27,$G$24&lt;R27),"No cumple","Cumple")</f>
        <v>Cumple</v>
      </c>
      <c r="T27" s="1630" t="str">
        <f>IF(L25="","",VLOOKUP(L25,Q27:S30,3,0))</f>
        <v/>
      </c>
      <c r="V27" s="429" t="str">
        <f>'4. Gradación'!G15</f>
        <v/>
      </c>
      <c r="W27" s="428" t="str">
        <f>+'4. Gradación'!G24</f>
        <v/>
      </c>
      <c r="X27" s="430" t="str">
        <f>IF(W27="","",100-W27)</f>
        <v/>
      </c>
      <c r="Y27" s="234"/>
      <c r="AG27" s="201"/>
      <c r="AH27" s="201"/>
      <c r="AI27" s="201"/>
      <c r="AK27" s="223"/>
      <c r="AL27" s="223"/>
      <c r="AM27" s="223"/>
      <c r="AN27" s="223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15"/>
      <c r="BA27" s="15"/>
      <c r="BB27" s="15"/>
      <c r="BC27" s="15"/>
    </row>
    <row r="28" spans="1:55" ht="15" customHeight="1" x14ac:dyDescent="0.3">
      <c r="A28" s="682"/>
      <c r="B28" s="683"/>
      <c r="C28" s="683"/>
      <c r="D28" s="683"/>
      <c r="E28" s="683"/>
      <c r="F28" s="684"/>
      <c r="G28" s="685"/>
      <c r="H28" s="685"/>
      <c r="I28" s="685"/>
      <c r="J28" s="685"/>
      <c r="K28" s="685"/>
      <c r="L28" s="685"/>
      <c r="M28" s="685"/>
      <c r="N28" s="685"/>
      <c r="O28" s="686"/>
      <c r="Q28" s="891" t="s">
        <v>0</v>
      </c>
      <c r="R28" s="271">
        <v>2500</v>
      </c>
      <c r="S28" s="271" t="str">
        <f>+IF(AND($L$25=Q28,$G$24&lt;R28),"No cumple","Cumple")</f>
        <v>Cumple</v>
      </c>
      <c r="T28" s="1630"/>
      <c r="V28" s="429" t="str">
        <f>+'4. Gradación'!H15</f>
        <v/>
      </c>
      <c r="W28" s="428" t="str">
        <f>+'4. Gradación'!H24</f>
        <v/>
      </c>
      <c r="X28" s="430" t="str">
        <f>IF(W28="","",100-W28)</f>
        <v/>
      </c>
      <c r="AK28" s="223"/>
      <c r="AL28" s="223"/>
      <c r="AM28" s="223"/>
      <c r="AN28" s="223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15"/>
      <c r="BA28" s="15"/>
      <c r="BB28" s="15"/>
      <c r="BC28" s="15"/>
    </row>
    <row r="29" spans="1:55" ht="15" customHeight="1" x14ac:dyDescent="0.3">
      <c r="A29" s="687"/>
      <c r="B29" s="1624" t="s">
        <v>50</v>
      </c>
      <c r="C29" s="1624"/>
      <c r="D29" s="1624"/>
      <c r="E29" s="980" t="str">
        <f>IF(K7="","","Bulk:")</f>
        <v/>
      </c>
      <c r="F29" s="1625"/>
      <c r="G29" s="1625"/>
      <c r="H29" s="1625"/>
      <c r="I29" s="981" t="str">
        <f>IF(G27="","","Rice:")</f>
        <v/>
      </c>
      <c r="J29" s="1625"/>
      <c r="K29" s="1625"/>
      <c r="L29" s="979"/>
      <c r="M29" s="688"/>
      <c r="N29" s="688"/>
      <c r="O29" s="689"/>
      <c r="Q29" s="891" t="s">
        <v>1</v>
      </c>
      <c r="R29" s="271">
        <v>2500</v>
      </c>
      <c r="S29" s="271" t="str">
        <f>+IF(AND($L$25=Q29,$G$24&lt;R29),"No cumple","Cumple")</f>
        <v>Cumple</v>
      </c>
      <c r="T29" s="1630"/>
      <c r="V29" s="429" t="str">
        <f>'4. Gradación'!I15</f>
        <v/>
      </c>
      <c r="W29" s="428" t="str">
        <f>+'4. Gradación'!I24</f>
        <v/>
      </c>
      <c r="X29" s="430" t="str">
        <f>IF(W29="","",100-W29)</f>
        <v/>
      </c>
      <c r="Y29" s="42"/>
      <c r="Z29" s="164"/>
      <c r="AA29" s="162"/>
      <c r="AB29" s="690"/>
      <c r="AC29" s="690"/>
      <c r="AD29" s="212"/>
      <c r="AE29" s="212"/>
      <c r="AF29" s="212"/>
      <c r="AG29" s="201"/>
      <c r="AH29" s="201"/>
      <c r="AI29" s="201"/>
      <c r="AK29" s="223"/>
      <c r="AL29" s="223"/>
      <c r="AM29" s="223"/>
      <c r="AN29" s="223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15"/>
      <c r="BA29" s="15"/>
      <c r="BB29" s="15"/>
      <c r="BC29" s="15"/>
    </row>
    <row r="30" spans="1:55" ht="15" customHeight="1" x14ac:dyDescent="0.3">
      <c r="A30" s="691"/>
      <c r="B30" s="692"/>
      <c r="C30" s="692"/>
      <c r="D30" s="692"/>
      <c r="E30" s="692"/>
      <c r="F30" s="692"/>
      <c r="G30" s="692"/>
      <c r="H30" s="692"/>
      <c r="I30" s="692"/>
      <c r="J30" s="692"/>
      <c r="K30" s="692"/>
      <c r="L30" s="692"/>
      <c r="M30" s="692"/>
      <c r="N30" s="692"/>
      <c r="O30" s="693"/>
      <c r="Q30" s="891" t="s">
        <v>4</v>
      </c>
      <c r="R30" s="271">
        <v>1500</v>
      </c>
      <c r="S30" s="271" t="str">
        <f>+IF(AND($L$25=Q30,$G$24&lt;R30),"No cumple","Cumple")</f>
        <v>Cumple</v>
      </c>
      <c r="T30" s="1630"/>
      <c r="U30" s="828"/>
      <c r="V30" s="429" t="str">
        <f>+'4. Gradación'!J15</f>
        <v/>
      </c>
      <c r="W30" s="428" t="str">
        <f>+'4. Gradación'!J25</f>
        <v/>
      </c>
      <c r="X30" s="430" t="str">
        <f>IF(W30="","",100-W30)</f>
        <v/>
      </c>
      <c r="AG30" s="201"/>
      <c r="AH30" s="201"/>
      <c r="AI30" s="201"/>
      <c r="AK30" s="223"/>
      <c r="AL30" s="223"/>
      <c r="AM30" s="223"/>
      <c r="AN30" s="223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15"/>
      <c r="BA30" s="15"/>
      <c r="BB30" s="15"/>
      <c r="BC30" s="15"/>
    </row>
    <row r="31" spans="1:55" ht="15" customHeight="1" x14ac:dyDescent="0.3">
      <c r="A31" s="1606" t="s">
        <v>3</v>
      </c>
      <c r="B31" s="1607"/>
      <c r="C31" s="1326"/>
      <c r="D31" s="1326"/>
      <c r="E31" s="1326"/>
      <c r="F31" s="1326"/>
      <c r="G31" s="1326"/>
      <c r="H31" s="1326"/>
      <c r="I31" s="1326"/>
      <c r="J31" s="1326"/>
      <c r="K31" s="1326"/>
      <c r="L31" s="1326"/>
      <c r="M31" s="1326"/>
      <c r="N31" s="1326"/>
      <c r="O31" s="1327"/>
      <c r="Q31" s="894"/>
      <c r="R31" s="894"/>
      <c r="Y31" s="42"/>
      <c r="Z31" s="164"/>
      <c r="AA31" s="163"/>
      <c r="AG31" s="201"/>
      <c r="AH31" s="201"/>
      <c r="AI31" s="201"/>
      <c r="AK31" s="223"/>
      <c r="AL31" s="223"/>
      <c r="AM31" s="223"/>
      <c r="AN31" s="223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15"/>
      <c r="BA31" s="15"/>
      <c r="BB31" s="15"/>
      <c r="BC31" s="15"/>
    </row>
    <row r="32" spans="1:55" ht="13.5" customHeight="1" x14ac:dyDescent="0.3">
      <c r="A32" s="698"/>
      <c r="B32" s="1605" t="str">
        <f>+IF(K7="","",S4)</f>
        <v/>
      </c>
      <c r="C32" s="1605"/>
      <c r="D32" s="1605"/>
      <c r="E32" s="1605"/>
      <c r="F32" s="1605"/>
      <c r="G32" s="1605"/>
      <c r="H32" s="1605"/>
      <c r="I32" s="1605"/>
      <c r="J32" s="1605"/>
      <c r="K32" s="1605"/>
      <c r="L32" s="1605"/>
      <c r="M32" s="1605"/>
      <c r="N32" s="1605"/>
      <c r="O32" s="699"/>
      <c r="W32" s="276"/>
      <c r="X32" s="277"/>
      <c r="Y32" s="42"/>
      <c r="Z32" s="164"/>
      <c r="AA32" s="163"/>
      <c r="AG32" s="201"/>
      <c r="AH32" s="201"/>
      <c r="AI32" s="201"/>
      <c r="AK32" s="223"/>
      <c r="AL32" s="223"/>
      <c r="AM32" s="223"/>
      <c r="AN32" s="223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15"/>
      <c r="BA32" s="15"/>
      <c r="BB32" s="15"/>
      <c r="BC32" s="15"/>
    </row>
    <row r="33" spans="1:57" ht="15" hidden="1" customHeight="1" x14ac:dyDescent="0.3">
      <c r="A33" s="698"/>
      <c r="B33" s="1605"/>
      <c r="C33" s="1605"/>
      <c r="D33" s="1605"/>
      <c r="E33" s="1605"/>
      <c r="F33" s="1605"/>
      <c r="G33" s="1605"/>
      <c r="H33" s="1605"/>
      <c r="I33" s="1605"/>
      <c r="J33" s="1605"/>
      <c r="K33" s="1605"/>
      <c r="L33" s="1605"/>
      <c r="M33" s="1605"/>
      <c r="N33" s="1605"/>
      <c r="O33" s="699"/>
      <c r="W33" s="276"/>
      <c r="X33" s="277"/>
      <c r="Y33" s="42"/>
      <c r="AG33" s="201"/>
      <c r="AH33" s="201"/>
      <c r="AI33" s="201"/>
      <c r="AK33" s="223"/>
      <c r="AL33" s="223"/>
      <c r="AM33" s="223"/>
      <c r="AN33" s="223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15"/>
      <c r="BA33" s="15"/>
      <c r="BB33" s="15"/>
      <c r="BC33" s="15"/>
    </row>
    <row r="34" spans="1:57" ht="8.25" customHeight="1" x14ac:dyDescent="0.3">
      <c r="A34" s="698"/>
      <c r="B34" s="1605"/>
      <c r="C34" s="1605"/>
      <c r="D34" s="1605"/>
      <c r="E34" s="1605"/>
      <c r="F34" s="1605"/>
      <c r="G34" s="1605"/>
      <c r="H34" s="1605"/>
      <c r="I34" s="1605"/>
      <c r="J34" s="1605"/>
      <c r="K34" s="1605"/>
      <c r="L34" s="1605"/>
      <c r="M34" s="1605"/>
      <c r="N34" s="1605"/>
      <c r="O34" s="699"/>
      <c r="W34" s="276"/>
      <c r="X34" s="277"/>
      <c r="AB34" s="700"/>
      <c r="AC34" s="700"/>
      <c r="AD34" s="212"/>
      <c r="AE34" s="212"/>
      <c r="AF34" s="212"/>
      <c r="AG34" s="201"/>
      <c r="AH34" s="201"/>
      <c r="AI34" s="201"/>
      <c r="AK34" s="223"/>
      <c r="AL34" s="223"/>
      <c r="AM34" s="223"/>
      <c r="AN34" s="223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15"/>
      <c r="BA34" s="15"/>
      <c r="BB34" s="15"/>
      <c r="BC34" s="15"/>
      <c r="BD34" s="15"/>
      <c r="BE34" s="15"/>
    </row>
    <row r="35" spans="1:57" ht="10.5" customHeight="1" thickBot="1" x14ac:dyDescent="0.35">
      <c r="A35" s="701"/>
      <c r="B35" s="702"/>
      <c r="C35" s="703"/>
      <c r="D35" s="703"/>
      <c r="E35" s="703"/>
      <c r="F35" s="703"/>
      <c r="G35" s="703"/>
      <c r="H35" s="703"/>
      <c r="I35" s="703"/>
      <c r="J35" s="703"/>
      <c r="K35" s="703"/>
      <c r="L35" s="703"/>
      <c r="M35" s="703"/>
      <c r="N35" s="703"/>
      <c r="O35" s="704"/>
      <c r="Y35" s="42"/>
      <c r="AG35" s="201"/>
      <c r="AH35" s="201"/>
      <c r="AI35" s="201"/>
      <c r="AK35" s="223"/>
      <c r="AL35" s="223"/>
      <c r="AM35" s="223"/>
      <c r="AN35" s="223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15"/>
      <c r="BA35" s="15"/>
      <c r="BB35" s="15"/>
      <c r="BC35" s="15"/>
      <c r="BD35" s="15"/>
      <c r="BE35" s="15"/>
    </row>
    <row r="36" spans="1:57" ht="15" customHeight="1" thickTop="1" thickBot="1" x14ac:dyDescent="0.35">
      <c r="A36" s="1588" t="s">
        <v>158</v>
      </c>
      <c r="B36" s="1588"/>
      <c r="C36" s="1588"/>
      <c r="D36" s="1588"/>
      <c r="E36" s="1588"/>
      <c r="F36" s="1588"/>
      <c r="G36" s="1588"/>
      <c r="H36" s="1588"/>
      <c r="I36" s="1588"/>
      <c r="J36" s="1588"/>
      <c r="K36" s="1588"/>
      <c r="L36" s="1588"/>
      <c r="M36" s="1588"/>
      <c r="N36" s="1588"/>
      <c r="O36" s="1588"/>
      <c r="W36" s="276"/>
      <c r="X36" s="277"/>
      <c r="Y36" s="42"/>
      <c r="AG36" s="201"/>
      <c r="AH36" s="201"/>
      <c r="AI36" s="201"/>
      <c r="AK36" s="223"/>
      <c r="AL36" s="223"/>
      <c r="AM36" s="223"/>
      <c r="AN36" s="223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15"/>
      <c r="BA36" s="15"/>
      <c r="BB36" s="15"/>
      <c r="BC36" s="15"/>
    </row>
    <row r="37" spans="1:57" ht="15" customHeight="1" thickTop="1" x14ac:dyDescent="0.3">
      <c r="A37" s="705"/>
      <c r="B37" s="705"/>
      <c r="C37" s="705"/>
      <c r="D37" s="705"/>
      <c r="E37" s="705"/>
      <c r="F37" s="706"/>
      <c r="G37" s="707"/>
      <c r="H37" s="707"/>
      <c r="I37" s="707"/>
      <c r="J37" s="707"/>
      <c r="K37" s="707"/>
      <c r="L37" s="707"/>
      <c r="M37" s="707"/>
      <c r="N37" s="707"/>
      <c r="O37" s="707"/>
      <c r="P37" s="76"/>
      <c r="Q37" s="190"/>
      <c r="R37" s="190"/>
      <c r="S37" s="190"/>
      <c r="T37" s="234"/>
      <c r="U37" s="278"/>
      <c r="V37" s="276"/>
      <c r="W37" s="276"/>
      <c r="X37" s="277"/>
      <c r="Y37" s="4"/>
      <c r="Z37" s="88"/>
      <c r="AA37" s="2"/>
      <c r="AK37" s="223"/>
      <c r="AL37" s="223"/>
      <c r="AM37" s="223"/>
      <c r="AN37" s="223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15"/>
      <c r="BA37" s="15"/>
      <c r="BB37" s="15"/>
      <c r="BC37" s="15"/>
      <c r="BD37" s="15"/>
      <c r="BE37" s="15"/>
    </row>
    <row r="38" spans="1:57" ht="15" customHeight="1" x14ac:dyDescent="0.3">
      <c r="A38" s="1369" t="s">
        <v>186</v>
      </c>
      <c r="B38" s="1369"/>
      <c r="C38" s="1369"/>
      <c r="D38" s="1369"/>
      <c r="E38" s="1369"/>
      <c r="F38" s="1369"/>
      <c r="G38" s="1369"/>
      <c r="H38" s="1369"/>
      <c r="I38" s="1369"/>
      <c r="J38" s="1369"/>
      <c r="K38" s="1369"/>
      <c r="L38" s="1369"/>
      <c r="M38" s="1369"/>
      <c r="N38" s="1369"/>
      <c r="O38" s="1369"/>
      <c r="U38" s="167"/>
      <c r="V38" s="167"/>
      <c r="W38" s="3"/>
      <c r="X38" s="4"/>
      <c r="Y38" s="42"/>
      <c r="AK38" s="223"/>
      <c r="AL38" s="223"/>
      <c r="AM38" s="223"/>
      <c r="AN38" s="223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15"/>
      <c r="BA38" s="15"/>
      <c r="BB38" s="15"/>
      <c r="BC38" s="15"/>
      <c r="BD38" s="15"/>
      <c r="BE38" s="15"/>
    </row>
    <row r="39" spans="1:57" ht="13" customHeight="1" x14ac:dyDescent="0.3">
      <c r="A39" s="1369"/>
      <c r="B39" s="1369"/>
      <c r="C39" s="1369"/>
      <c r="D39" s="1369"/>
      <c r="E39" s="1369"/>
      <c r="F39" s="1369"/>
      <c r="G39" s="1369"/>
      <c r="H39" s="1369"/>
      <c r="I39" s="1369"/>
      <c r="J39" s="1369"/>
      <c r="K39" s="1369"/>
      <c r="L39" s="1369"/>
      <c r="M39" s="1369"/>
      <c r="N39" s="1369"/>
      <c r="O39" s="1369"/>
      <c r="U39" s="278"/>
      <c r="V39" s="276"/>
      <c r="W39" s="276"/>
      <c r="X39" s="277"/>
      <c r="Y39" s="42"/>
      <c r="AC39" s="709"/>
      <c r="AD39" s="42"/>
      <c r="AE39" s="39"/>
      <c r="AF39" s="34"/>
      <c r="AG39" s="34"/>
      <c r="AH39" s="34"/>
      <c r="AI39" s="34"/>
      <c r="AK39" s="201"/>
      <c r="AL39" s="201"/>
      <c r="AM39" s="201"/>
      <c r="AN39" s="201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15"/>
      <c r="BA39" s="15"/>
      <c r="BB39" s="15"/>
      <c r="BC39" s="15"/>
      <c r="BD39" s="15"/>
      <c r="BE39" s="15"/>
    </row>
    <row r="40" spans="1:57" ht="13" customHeight="1" x14ac:dyDescent="0.3">
      <c r="A40" s="1234"/>
      <c r="B40" s="1235"/>
      <c r="C40" s="1235"/>
      <c r="D40" s="40"/>
      <c r="Q40" s="708"/>
      <c r="R40" s="275"/>
      <c r="S40" s="277"/>
      <c r="T40" s="275"/>
      <c r="U40" s="278"/>
      <c r="V40" s="276"/>
      <c r="W40" s="276"/>
      <c r="X40" s="277"/>
      <c r="Y40" s="42"/>
      <c r="AC40" s="709"/>
      <c r="AD40" s="42"/>
      <c r="AE40" s="39"/>
      <c r="AF40" s="34"/>
      <c r="AG40" s="34"/>
      <c r="AH40" s="34"/>
      <c r="AI40" s="34"/>
      <c r="AK40" s="201"/>
      <c r="AL40" s="201"/>
      <c r="AM40" s="201"/>
      <c r="AN40" s="201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15"/>
      <c r="BA40" s="15"/>
      <c r="BB40" s="15"/>
      <c r="BC40" s="15"/>
      <c r="BD40" s="15"/>
      <c r="BE40" s="15"/>
    </row>
    <row r="41" spans="1:57" ht="19.5" customHeight="1" x14ac:dyDescent="0.3">
      <c r="A41" s="1234"/>
      <c r="B41" s="1235"/>
      <c r="C41" s="1235"/>
      <c r="D41" s="40"/>
      <c r="Q41" s="708"/>
      <c r="R41" s="275"/>
      <c r="S41" s="277"/>
      <c r="T41" s="275"/>
      <c r="U41" s="278"/>
      <c r="V41" s="276"/>
      <c r="W41" s="276"/>
      <c r="X41" s="277"/>
      <c r="Y41" s="42"/>
      <c r="AC41" s="709"/>
      <c r="AD41" s="39"/>
      <c r="AE41" s="39"/>
      <c r="AF41" s="34"/>
      <c r="AG41" s="34"/>
      <c r="AH41" s="34"/>
      <c r="AI41" s="34"/>
      <c r="AJ41" s="34"/>
      <c r="AK41" s="34"/>
      <c r="AL41" s="34"/>
      <c r="AM41" s="34"/>
      <c r="AN41" s="201"/>
      <c r="AO41" s="201"/>
      <c r="AP41" s="201"/>
      <c r="AQ41" s="39"/>
      <c r="AR41" s="39"/>
      <c r="AS41" s="39"/>
      <c r="AT41" s="39"/>
      <c r="AU41" s="39"/>
      <c r="AV41" s="39"/>
      <c r="AW41" s="39"/>
      <c r="AX41" s="39"/>
      <c r="AY41" s="39"/>
      <c r="AZ41" s="15"/>
      <c r="BA41" s="15"/>
      <c r="BB41" s="15"/>
      <c r="BC41" s="15"/>
      <c r="BD41" s="15"/>
      <c r="BE41" s="15"/>
    </row>
    <row r="42" spans="1:57" ht="30" customHeight="1" x14ac:dyDescent="0.3">
      <c r="A42" s="1234"/>
      <c r="B42" s="1235"/>
      <c r="C42" s="1235"/>
      <c r="D42" s="40"/>
      <c r="Q42" s="708"/>
      <c r="R42" s="710"/>
      <c r="S42" s="270"/>
      <c r="T42" s="270"/>
      <c r="U42" s="278"/>
      <c r="V42" s="276"/>
      <c r="W42" s="276"/>
      <c r="X42" s="277"/>
      <c r="Y42" s="39"/>
      <c r="Z42" s="174"/>
      <c r="AA42" s="174"/>
      <c r="AB42" s="174"/>
      <c r="AC42" s="174"/>
      <c r="AD42" s="34"/>
      <c r="AE42" s="42"/>
      <c r="AF42" s="34"/>
      <c r="AG42" s="34"/>
      <c r="AH42" s="34"/>
      <c r="AI42" s="34"/>
      <c r="AJ42" s="34"/>
      <c r="AK42" s="34"/>
      <c r="AL42" s="34"/>
      <c r="AM42" s="34"/>
      <c r="AN42" s="201"/>
      <c r="AO42" s="201"/>
      <c r="AP42" s="201"/>
      <c r="AQ42" s="39"/>
      <c r="AR42" s="39"/>
      <c r="AS42" s="39"/>
      <c r="AT42" s="39"/>
      <c r="AU42" s="39"/>
      <c r="AV42" s="39"/>
      <c r="AW42" s="39"/>
      <c r="AX42" s="39"/>
      <c r="AY42" s="39"/>
      <c r="AZ42" s="15"/>
      <c r="BA42" s="15"/>
      <c r="BB42" s="15"/>
      <c r="BC42" s="15"/>
      <c r="BD42" s="15"/>
      <c r="BE42" s="15"/>
    </row>
    <row r="43" spans="1:57" ht="13" customHeight="1" x14ac:dyDescent="0.45">
      <c r="A43" s="1234"/>
      <c r="B43" s="1235"/>
      <c r="C43" s="1235"/>
      <c r="D43" s="40"/>
      <c r="Q43" s="708"/>
      <c r="R43" s="275"/>
      <c r="S43" s="277"/>
      <c r="T43" s="275"/>
      <c r="U43" s="278"/>
      <c r="V43" s="276"/>
      <c r="W43" s="276"/>
      <c r="X43" s="277"/>
      <c r="Y43" s="34"/>
      <c r="AF43" s="34"/>
      <c r="AG43" s="34"/>
      <c r="AH43" s="34"/>
      <c r="AI43" s="34"/>
      <c r="AJ43" s="34"/>
      <c r="AK43" s="715"/>
      <c r="AL43" s="715"/>
      <c r="AM43" s="715"/>
      <c r="AN43" s="715"/>
      <c r="AO43" s="715"/>
      <c r="AP43" s="715"/>
      <c r="AQ43" s="715"/>
      <c r="AR43" s="715"/>
      <c r="AS43" s="715"/>
      <c r="AT43" s="715"/>
      <c r="AU43" s="715"/>
      <c r="AV43" s="715"/>
      <c r="AW43" s="715"/>
      <c r="AX43" s="715"/>
      <c r="AY43" s="715"/>
      <c r="AZ43" s="715"/>
      <c r="BA43" s="715"/>
      <c r="BB43" s="715"/>
      <c r="BC43" s="715"/>
      <c r="BD43" s="15"/>
      <c r="BE43" s="15"/>
    </row>
    <row r="44" spans="1:57" ht="13" customHeight="1" x14ac:dyDescent="0.3">
      <c r="A44" s="1234"/>
      <c r="B44" s="1235"/>
      <c r="C44" s="1235"/>
      <c r="D44" s="40"/>
      <c r="Q44" s="711"/>
      <c r="R44" s="712"/>
      <c r="S44" s="713"/>
      <c r="T44" s="714"/>
      <c r="U44" s="278"/>
      <c r="V44" s="276"/>
      <c r="W44" s="276"/>
      <c r="X44" s="277"/>
      <c r="AF44" s="34"/>
      <c r="AG44" s="34"/>
      <c r="AH44" s="34"/>
      <c r="AI44" s="34"/>
      <c r="AJ44" s="34"/>
      <c r="AK44" s="155"/>
      <c r="AL44" s="34"/>
      <c r="AM44" s="34"/>
      <c r="AN44" s="201"/>
      <c r="AO44" s="201"/>
      <c r="AP44" s="201"/>
      <c r="AQ44" s="42"/>
      <c r="AR44" s="42"/>
      <c r="AS44" s="42"/>
      <c r="AT44" s="42"/>
      <c r="AU44" s="42"/>
      <c r="AV44" s="42"/>
      <c r="AW44" s="42"/>
      <c r="AX44" s="42"/>
      <c r="AY44" s="42"/>
      <c r="AZ44" s="16"/>
      <c r="BA44" s="16"/>
      <c r="BB44" s="16"/>
      <c r="BC44" s="16"/>
      <c r="BD44" s="15"/>
      <c r="BE44" s="15"/>
    </row>
    <row r="45" spans="1:57" ht="15.75" customHeight="1" x14ac:dyDescent="0.3">
      <c r="A45" s="1234"/>
      <c r="B45" s="1235"/>
      <c r="C45" s="1235"/>
      <c r="D45" s="40"/>
      <c r="Q45" s="716"/>
      <c r="R45" s="712"/>
      <c r="S45" s="270"/>
      <c r="T45" s="270"/>
      <c r="U45" s="278"/>
      <c r="V45" s="276"/>
      <c r="W45" s="276"/>
      <c r="X45" s="190"/>
      <c r="AF45" s="34"/>
      <c r="AG45" s="34"/>
      <c r="AH45" s="34"/>
      <c r="AI45" s="34"/>
      <c r="AJ45" s="34"/>
      <c r="AK45" s="155"/>
      <c r="AL45" s="522"/>
      <c r="AM45" s="522"/>
      <c r="AN45" s="522"/>
      <c r="AO45" s="522"/>
      <c r="AP45" s="522"/>
      <c r="AQ45" s="103"/>
      <c r="AR45" s="522"/>
      <c r="AS45" s="522"/>
      <c r="AT45" s="522"/>
      <c r="AU45" s="522"/>
      <c r="AV45" s="522"/>
      <c r="AW45" s="103"/>
      <c r="AX45" s="522"/>
      <c r="AY45" s="522"/>
      <c r="AZ45" s="522"/>
      <c r="BA45" s="522"/>
      <c r="BB45" s="522"/>
      <c r="BC45" s="16"/>
      <c r="BD45" s="15"/>
      <c r="BE45" s="15"/>
    </row>
    <row r="46" spans="1:57" ht="17.25" customHeight="1" x14ac:dyDescent="0.3">
      <c r="Q46" s="717"/>
      <c r="R46" s="718"/>
      <c r="S46" s="718"/>
      <c r="T46" s="718"/>
      <c r="U46" s="278"/>
      <c r="V46" s="276"/>
      <c r="W46" s="276"/>
      <c r="X46" s="190"/>
      <c r="AF46" s="34"/>
      <c r="AG46" s="34"/>
      <c r="AH46" s="34"/>
      <c r="AI46" s="34"/>
      <c r="AJ46" s="34"/>
      <c r="AK46" s="155"/>
      <c r="AL46" s="34"/>
      <c r="AM46" s="103"/>
      <c r="AN46" s="721"/>
      <c r="AO46" s="107"/>
      <c r="AP46" s="107"/>
      <c r="AQ46" s="103"/>
      <c r="AR46" s="34"/>
      <c r="AS46" s="103"/>
      <c r="AT46" s="721"/>
      <c r="AU46" s="107"/>
      <c r="AV46" s="107"/>
      <c r="AW46" s="103"/>
      <c r="AX46" s="34"/>
      <c r="AY46" s="103"/>
      <c r="AZ46" s="721"/>
      <c r="BA46" s="107"/>
      <c r="BB46" s="107"/>
      <c r="BC46" s="16"/>
      <c r="BD46" s="15"/>
      <c r="BE46" s="15"/>
    </row>
    <row r="47" spans="1:57" ht="14.25" customHeight="1" x14ac:dyDescent="0.3">
      <c r="Q47" s="719"/>
      <c r="R47" s="720"/>
      <c r="S47" s="720"/>
      <c r="T47" s="720"/>
      <c r="U47" s="278"/>
      <c r="V47" s="276"/>
      <c r="W47" s="276"/>
      <c r="X47" s="190"/>
      <c r="AF47" s="34"/>
      <c r="AG47" s="34"/>
      <c r="AH47" s="34"/>
      <c r="AI47" s="34"/>
      <c r="AJ47" s="34"/>
      <c r="AK47" s="155"/>
      <c r="AL47" s="34"/>
      <c r="AM47" s="74"/>
      <c r="AN47" s="74"/>
      <c r="AO47" s="74"/>
      <c r="AP47" s="74"/>
      <c r="AQ47" s="103"/>
      <c r="AR47" s="34"/>
      <c r="AS47" s="74"/>
      <c r="AT47" s="74"/>
      <c r="AU47" s="74"/>
      <c r="AV47" s="74"/>
      <c r="AW47" s="103"/>
      <c r="AX47" s="34"/>
      <c r="AY47" s="74"/>
      <c r="AZ47" s="74"/>
      <c r="BA47" s="74"/>
      <c r="BB47" s="74"/>
      <c r="BC47" s="16"/>
      <c r="BD47" s="15"/>
      <c r="BE47" s="15"/>
    </row>
    <row r="48" spans="1:57" ht="13.5" customHeight="1" x14ac:dyDescent="0.3">
      <c r="Q48" s="719"/>
      <c r="R48" s="720"/>
      <c r="S48" s="720"/>
      <c r="T48" s="720"/>
      <c r="U48" s="278"/>
      <c r="V48" s="276"/>
      <c r="W48" s="276"/>
      <c r="X48" s="190"/>
      <c r="AF48" s="34"/>
      <c r="AG48" s="34"/>
      <c r="AH48" s="34"/>
      <c r="AI48" s="34"/>
      <c r="AJ48" s="34"/>
      <c r="AK48" s="155"/>
      <c r="AL48" s="34"/>
      <c r="AM48" s="40"/>
      <c r="AN48" s="40"/>
      <c r="AO48" s="40"/>
      <c r="AP48" s="40"/>
      <c r="AQ48" s="103"/>
      <c r="AR48" s="34"/>
      <c r="AS48" s="40"/>
      <c r="AT48" s="40"/>
      <c r="AU48" s="40"/>
      <c r="AV48" s="40"/>
      <c r="AW48" s="103"/>
      <c r="AX48" s="34"/>
      <c r="AY48" s="40"/>
      <c r="AZ48" s="40"/>
      <c r="BA48" s="40"/>
      <c r="BB48" s="40"/>
      <c r="BC48" s="16"/>
      <c r="BD48" s="15"/>
      <c r="BE48" s="15"/>
    </row>
    <row r="49" spans="17:57" ht="12" customHeight="1" x14ac:dyDescent="0.3">
      <c r="Q49" s="722"/>
      <c r="R49" s="723"/>
      <c r="S49" s="723"/>
      <c r="T49" s="723"/>
      <c r="U49" s="278"/>
      <c r="V49" s="276"/>
      <c r="W49" s="276"/>
      <c r="X49" s="190"/>
      <c r="AF49" s="34"/>
      <c r="AG49" s="34"/>
      <c r="AH49" s="34"/>
      <c r="AI49" s="34"/>
      <c r="AJ49" s="34"/>
      <c r="AK49" s="725"/>
      <c r="AL49" s="156"/>
      <c r="AM49" s="721"/>
      <c r="AN49" s="721"/>
      <c r="AO49" s="721"/>
      <c r="AP49" s="721"/>
      <c r="AQ49" s="103"/>
      <c r="AR49" s="156"/>
      <c r="AS49" s="721"/>
      <c r="AT49" s="721"/>
      <c r="AU49" s="721"/>
      <c r="AV49" s="721"/>
      <c r="AW49" s="103"/>
      <c r="AX49" s="156"/>
      <c r="AY49" s="721"/>
      <c r="AZ49" s="721"/>
      <c r="BA49" s="721"/>
      <c r="BB49" s="721"/>
      <c r="BC49" s="16"/>
      <c r="BD49" s="15"/>
      <c r="BE49" s="15"/>
    </row>
    <row r="50" spans="17:57" ht="12" customHeight="1" x14ac:dyDescent="0.3">
      <c r="Q50" s="716"/>
      <c r="R50" s="712"/>
      <c r="S50" s="713"/>
      <c r="T50" s="724"/>
      <c r="U50" s="278"/>
      <c r="V50" s="276"/>
      <c r="W50" s="276"/>
      <c r="X50" s="190"/>
      <c r="AF50" s="34"/>
      <c r="AG50" s="34"/>
      <c r="AH50" s="34"/>
      <c r="AI50" s="34"/>
      <c r="AJ50" s="34"/>
      <c r="AK50" s="725"/>
      <c r="AL50" s="156"/>
      <c r="AM50" s="721"/>
      <c r="AN50" s="721"/>
      <c r="AO50" s="721"/>
      <c r="AP50" s="721"/>
      <c r="AQ50" s="103"/>
      <c r="AR50" s="156"/>
      <c r="AS50" s="721"/>
      <c r="AT50" s="721"/>
      <c r="AU50" s="721"/>
      <c r="AV50" s="721"/>
      <c r="AW50" s="103"/>
      <c r="AX50" s="156"/>
      <c r="AY50" s="721"/>
      <c r="AZ50" s="721"/>
      <c r="BA50" s="721"/>
      <c r="BB50" s="721"/>
      <c r="BC50" s="16"/>
      <c r="BD50" s="15"/>
      <c r="BE50" s="15"/>
    </row>
    <row r="51" spans="17:57" ht="12" customHeight="1" x14ac:dyDescent="0.3">
      <c r="Q51" s="726"/>
      <c r="R51" s="712"/>
      <c r="S51" s="713"/>
      <c r="T51" s="724"/>
      <c r="U51" s="278"/>
      <c r="V51" s="276"/>
      <c r="W51" s="276"/>
      <c r="X51" s="190"/>
      <c r="Z51" s="174"/>
      <c r="AA51" s="174"/>
      <c r="AB51" s="174"/>
      <c r="AC51" s="174"/>
      <c r="AD51" s="174"/>
      <c r="AE51" s="174"/>
      <c r="AF51" s="34"/>
      <c r="AG51" s="34"/>
      <c r="AH51" s="34"/>
      <c r="AI51" s="34"/>
      <c r="AJ51" s="34"/>
      <c r="AK51" s="728"/>
      <c r="AL51" s="74"/>
      <c r="AM51" s="124"/>
      <c r="AN51" s="124"/>
      <c r="AO51" s="124"/>
      <c r="AP51" s="124"/>
      <c r="AQ51" s="103"/>
      <c r="AR51" s="74"/>
      <c r="AS51" s="124"/>
      <c r="AT51" s="124"/>
      <c r="AU51" s="124"/>
      <c r="AV51" s="124"/>
      <c r="AW51" s="103"/>
      <c r="AX51" s="74"/>
      <c r="AY51" s="124"/>
      <c r="AZ51" s="124"/>
      <c r="BA51" s="124"/>
      <c r="BB51" s="124"/>
      <c r="BC51" s="16"/>
      <c r="BD51" s="15"/>
      <c r="BE51" s="15"/>
    </row>
    <row r="52" spans="17:57" ht="12" customHeight="1" x14ac:dyDescent="0.3">
      <c r="Q52" s="727"/>
      <c r="R52" s="270"/>
      <c r="S52" s="712"/>
      <c r="T52" s="724"/>
      <c r="U52" s="278"/>
      <c r="V52" s="276"/>
      <c r="W52" s="276"/>
      <c r="X52" s="190"/>
      <c r="Y52" s="34"/>
      <c r="Z52" s="174"/>
      <c r="AA52" s="174"/>
      <c r="AB52" s="174"/>
      <c r="AC52" s="174"/>
      <c r="AD52" s="174"/>
      <c r="AE52" s="174"/>
      <c r="AF52" s="34"/>
      <c r="AG52" s="34"/>
      <c r="AH52" s="34"/>
      <c r="AI52" s="34"/>
      <c r="AJ52" s="34"/>
      <c r="AK52" s="728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5"/>
      <c r="BE52" s="15"/>
    </row>
    <row r="53" spans="17:57" ht="13" customHeight="1" x14ac:dyDescent="0.3">
      <c r="Q53" s="727"/>
      <c r="R53" s="270"/>
      <c r="S53" s="712"/>
      <c r="T53" s="724"/>
      <c r="U53" s="278"/>
      <c r="V53" s="276"/>
      <c r="W53" s="276"/>
      <c r="X53" s="71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728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5"/>
      <c r="BE53" s="15"/>
    </row>
    <row r="54" spans="17:57" ht="13" customHeight="1" x14ac:dyDescent="0.3">
      <c r="Q54" s="727"/>
      <c r="R54" s="270"/>
      <c r="S54" s="712"/>
      <c r="T54" s="724"/>
      <c r="U54" s="278"/>
      <c r="V54" s="276"/>
      <c r="W54" s="276"/>
      <c r="X54" s="71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729"/>
      <c r="AL54" s="74"/>
      <c r="AM54" s="40"/>
      <c r="AN54" s="40"/>
      <c r="AO54" s="40"/>
      <c r="AP54" s="40"/>
      <c r="AQ54" s="117"/>
      <c r="AR54" s="74"/>
      <c r="AS54" s="40"/>
      <c r="AT54" s="40"/>
      <c r="AU54" s="40"/>
      <c r="AV54" s="40"/>
      <c r="AW54" s="117"/>
      <c r="AX54" s="74"/>
      <c r="AY54" s="40"/>
      <c r="AZ54" s="40"/>
      <c r="BA54" s="40"/>
      <c r="BB54" s="40"/>
      <c r="BC54" s="15"/>
      <c r="BD54" s="15"/>
      <c r="BE54" s="15"/>
    </row>
    <row r="55" spans="17:57" ht="24" customHeight="1" x14ac:dyDescent="0.3">
      <c r="Q55" s="81"/>
      <c r="R55" s="41"/>
      <c r="S55" s="42"/>
      <c r="T55" s="89"/>
      <c r="U55" s="3"/>
      <c r="V55" s="4"/>
      <c r="W55" s="4"/>
      <c r="X55" s="42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729"/>
      <c r="AL55" s="74"/>
      <c r="AM55" s="40"/>
      <c r="AN55" s="40"/>
      <c r="AO55" s="40"/>
      <c r="AP55" s="40"/>
      <c r="AQ55" s="117"/>
      <c r="AR55" s="74"/>
      <c r="AS55" s="40"/>
      <c r="AT55" s="40"/>
      <c r="AU55" s="40"/>
      <c r="AV55" s="40"/>
      <c r="AW55" s="117"/>
      <c r="AX55" s="74"/>
      <c r="AY55" s="40"/>
      <c r="AZ55" s="40"/>
      <c r="BA55" s="40"/>
      <c r="BB55" s="40"/>
      <c r="BC55" s="15"/>
      <c r="BD55" s="15"/>
      <c r="BE55" s="15"/>
    </row>
    <row r="56" spans="17:57" ht="13" customHeight="1" x14ac:dyDescent="0.3">
      <c r="Q56" s="81"/>
      <c r="R56" s="41"/>
      <c r="S56" s="42"/>
      <c r="T56" s="89"/>
      <c r="U56" s="3"/>
      <c r="V56" s="4"/>
      <c r="W56" s="4"/>
      <c r="X56" s="42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155"/>
      <c r="AL56" s="74"/>
      <c r="AM56" s="40"/>
      <c r="AN56" s="40"/>
      <c r="AO56" s="40"/>
      <c r="AP56" s="40"/>
      <c r="AQ56" s="34"/>
      <c r="AR56" s="74"/>
      <c r="AS56" s="40"/>
      <c r="AT56" s="40"/>
      <c r="AU56" s="40"/>
      <c r="AV56" s="40"/>
      <c r="AW56" s="34"/>
      <c r="AX56" s="74"/>
      <c r="AY56" s="40"/>
      <c r="AZ56" s="40"/>
      <c r="BA56" s="40"/>
      <c r="BB56" s="40"/>
      <c r="BD56" s="15"/>
      <c r="BE56" s="15"/>
    </row>
    <row r="57" spans="17:57" ht="13" customHeight="1" x14ac:dyDescent="0.3">
      <c r="Q57" s="143"/>
      <c r="R57" s="41"/>
      <c r="S57" s="42"/>
      <c r="T57" s="89"/>
      <c r="U57" s="5"/>
      <c r="V57" s="6"/>
      <c r="W57" s="6"/>
      <c r="X57" s="42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155"/>
      <c r="AL57" s="74"/>
      <c r="AM57" s="40"/>
      <c r="AN57" s="40"/>
      <c r="AO57" s="40"/>
      <c r="AP57" s="40"/>
      <c r="AQ57" s="34"/>
      <c r="AR57" s="74"/>
      <c r="AS57" s="40"/>
      <c r="AT57" s="40"/>
      <c r="AU57" s="40"/>
      <c r="AV57" s="40"/>
      <c r="AW57" s="34"/>
      <c r="AX57" s="74"/>
      <c r="AY57" s="40"/>
      <c r="AZ57" s="40"/>
      <c r="BA57" s="40"/>
      <c r="BB57" s="40"/>
      <c r="BD57" s="15"/>
      <c r="BE57" s="15"/>
    </row>
    <row r="58" spans="17:57" ht="13" customHeight="1" x14ac:dyDescent="0.3">
      <c r="Q58" s="143"/>
      <c r="R58" s="41"/>
      <c r="S58" s="42"/>
      <c r="T58" s="34"/>
      <c r="U58" s="3"/>
      <c r="V58" s="4"/>
      <c r="W58" s="4"/>
      <c r="X58" s="42"/>
      <c r="Y58" s="50"/>
      <c r="Z58" s="49"/>
      <c r="AA58" s="49"/>
      <c r="AB58" s="49"/>
      <c r="AC58" s="34"/>
      <c r="AD58" s="34"/>
      <c r="AE58" s="34"/>
      <c r="AF58" s="34"/>
      <c r="AG58" s="34"/>
      <c r="AH58" s="34"/>
      <c r="AI58" s="34"/>
      <c r="AJ58" s="34"/>
      <c r="AK58" s="155"/>
      <c r="AL58" s="74"/>
      <c r="AM58" s="40"/>
      <c r="AN58" s="40"/>
      <c r="AO58" s="40"/>
      <c r="AP58" s="40"/>
      <c r="AQ58" s="34"/>
      <c r="AR58" s="74"/>
      <c r="AS58" s="40"/>
      <c r="AT58" s="40"/>
      <c r="AU58" s="40"/>
      <c r="AV58" s="40"/>
      <c r="AW58" s="34"/>
      <c r="AX58" s="74"/>
      <c r="AY58" s="40"/>
      <c r="AZ58" s="40"/>
      <c r="BA58" s="40"/>
      <c r="BB58" s="40"/>
      <c r="BD58" s="15"/>
      <c r="BE58" s="15"/>
    </row>
    <row r="59" spans="17:57" ht="13" customHeight="1" x14ac:dyDescent="0.3">
      <c r="Q59" s="145"/>
      <c r="R59" s="41"/>
      <c r="S59" s="34"/>
      <c r="T59" s="34"/>
      <c r="U59" s="3"/>
      <c r="V59" s="4"/>
      <c r="W59" s="4"/>
      <c r="X59" s="50"/>
      <c r="Y59" s="50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155"/>
      <c r="AL59" s="74"/>
      <c r="AM59" s="74"/>
      <c r="AN59" s="74"/>
      <c r="AO59" s="74"/>
      <c r="AP59" s="74"/>
      <c r="AQ59" s="34"/>
      <c r="AR59" s="74"/>
      <c r="AS59" s="74"/>
      <c r="AT59" s="74"/>
      <c r="AU59" s="74"/>
      <c r="AV59" s="74"/>
      <c r="AW59" s="34"/>
      <c r="AX59" s="74"/>
      <c r="AY59" s="74"/>
      <c r="AZ59" s="74"/>
      <c r="BA59" s="74"/>
      <c r="BB59" s="74"/>
      <c r="BD59" s="15"/>
      <c r="BE59" s="15"/>
    </row>
    <row r="60" spans="17:57" ht="13" customHeight="1" x14ac:dyDescent="0.3">
      <c r="Q60" s="81"/>
      <c r="R60" s="41"/>
      <c r="S60" s="41"/>
      <c r="T60" s="34"/>
      <c r="U60" s="3"/>
      <c r="V60" s="4"/>
      <c r="W60" s="4"/>
      <c r="X60" s="50"/>
      <c r="Y60" s="50"/>
      <c r="Z60" s="51"/>
      <c r="AA60" s="51"/>
      <c r="AB60" s="51"/>
      <c r="AC60" s="51"/>
      <c r="AD60" s="34"/>
      <c r="AE60" s="34"/>
      <c r="AF60" s="34"/>
      <c r="AG60" s="34"/>
      <c r="AH60" s="34"/>
      <c r="AI60" s="34"/>
      <c r="AJ60" s="34"/>
      <c r="AK60" s="155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BD60" s="15"/>
      <c r="BE60" s="15"/>
    </row>
    <row r="61" spans="17:57" ht="13" customHeight="1" x14ac:dyDescent="0.3">
      <c r="Q61" s="145"/>
      <c r="R61" s="34"/>
      <c r="S61" s="34"/>
      <c r="T61" s="34"/>
      <c r="U61" s="3"/>
      <c r="V61" s="4"/>
      <c r="W61" s="4"/>
      <c r="X61" s="50"/>
      <c r="Y61" s="51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155"/>
      <c r="AL61" s="1609"/>
      <c r="AM61" s="1609"/>
      <c r="AN61" s="1609"/>
      <c r="AO61" s="1609"/>
      <c r="AP61" s="1609"/>
      <c r="AQ61" s="34"/>
      <c r="AR61" s="1609"/>
      <c r="AS61" s="1609"/>
      <c r="AT61" s="1609"/>
      <c r="AU61" s="1609"/>
      <c r="AV61" s="1609"/>
      <c r="AW61" s="34"/>
      <c r="AX61" s="34"/>
      <c r="AY61" s="34"/>
      <c r="BD61" s="15"/>
      <c r="BE61" s="15"/>
    </row>
    <row r="62" spans="17:57" ht="13" customHeight="1" x14ac:dyDescent="0.3">
      <c r="Q62" s="652"/>
      <c r="R62" s="34"/>
      <c r="S62" s="34"/>
      <c r="T62" s="34"/>
      <c r="U62" s="3"/>
      <c r="V62" s="4"/>
      <c r="W62" s="4"/>
      <c r="X62" s="51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155"/>
      <c r="AL62" s="34"/>
      <c r="AM62" s="103"/>
      <c r="AN62" s="721"/>
      <c r="AO62" s="107"/>
      <c r="AP62" s="107"/>
      <c r="AQ62" s="34"/>
      <c r="AR62" s="34"/>
      <c r="AS62" s="103"/>
      <c r="AT62" s="721"/>
      <c r="AU62" s="107"/>
      <c r="AV62" s="107"/>
      <c r="AW62" s="34"/>
      <c r="AX62" s="34"/>
      <c r="AY62" s="34"/>
      <c r="BD62" s="15"/>
      <c r="BE62" s="15"/>
    </row>
    <row r="63" spans="17:57" ht="13" customHeight="1" x14ac:dyDescent="0.3">
      <c r="Q63" s="1510"/>
      <c r="R63" s="1510"/>
      <c r="S63" s="34"/>
      <c r="T63" s="34"/>
      <c r="U63" s="3"/>
      <c r="V63" s="4"/>
      <c r="W63" s="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155"/>
      <c r="AL63" s="34"/>
      <c r="AM63" s="74"/>
      <c r="AN63" s="74"/>
      <c r="AO63" s="74"/>
      <c r="AP63" s="74"/>
      <c r="AQ63" s="34"/>
      <c r="AR63" s="34"/>
      <c r="AS63" s="74"/>
      <c r="AT63" s="74"/>
      <c r="AU63" s="74"/>
      <c r="AV63" s="74"/>
      <c r="AW63" s="74"/>
      <c r="AX63" s="34"/>
      <c r="AY63" s="34"/>
      <c r="BD63" s="15"/>
      <c r="BE63" s="15"/>
    </row>
    <row r="64" spans="17:57" ht="13" customHeight="1" x14ac:dyDescent="0.3">
      <c r="Q64" s="520"/>
      <c r="R64" s="2"/>
      <c r="S64" s="34"/>
      <c r="T64" s="34"/>
      <c r="U64" s="3"/>
      <c r="V64" s="4"/>
      <c r="W64" s="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155"/>
      <c r="AL64" s="34"/>
      <c r="AM64" s="40"/>
      <c r="AN64" s="40"/>
      <c r="AO64" s="40"/>
      <c r="AP64" s="40"/>
      <c r="AQ64" s="34"/>
      <c r="AR64" s="34"/>
      <c r="AS64" s="124"/>
      <c r="AT64" s="124"/>
      <c r="AU64" s="124"/>
      <c r="AV64" s="124"/>
      <c r="AW64" s="124"/>
      <c r="AX64" s="34"/>
      <c r="AY64" s="34"/>
      <c r="BD64" s="15"/>
      <c r="BE64" s="15"/>
    </row>
    <row r="65" spans="1:57" ht="13" customHeight="1" x14ac:dyDescent="0.3">
      <c r="Q65" s="520"/>
      <c r="R65" s="2"/>
      <c r="S65" s="34"/>
      <c r="T65" s="34"/>
      <c r="U65" s="3"/>
      <c r="V65" s="4"/>
      <c r="W65" s="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155"/>
      <c r="AL65" s="156"/>
      <c r="AM65" s="721"/>
      <c r="AN65" s="721"/>
      <c r="AO65" s="721"/>
      <c r="AP65" s="721"/>
      <c r="AQ65" s="34"/>
      <c r="AR65" s="156"/>
      <c r="AS65" s="730"/>
      <c r="AT65" s="730"/>
      <c r="AU65" s="730"/>
      <c r="AV65" s="730"/>
      <c r="AW65" s="730"/>
      <c r="AX65" s="34"/>
      <c r="AY65" s="34"/>
      <c r="BD65" s="15"/>
      <c r="BE65" s="15"/>
    </row>
    <row r="66" spans="1:57" ht="13" customHeight="1" x14ac:dyDescent="0.3">
      <c r="Q66" s="1511"/>
      <c r="R66" s="1511"/>
      <c r="S66" s="34"/>
      <c r="T66" s="34"/>
      <c r="U66" s="3"/>
      <c r="V66" s="4"/>
      <c r="W66" s="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155"/>
      <c r="AL66" s="156"/>
      <c r="AM66" s="721"/>
      <c r="AN66" s="721"/>
      <c r="AO66" s="721"/>
      <c r="AP66" s="721"/>
      <c r="AQ66" s="34"/>
      <c r="AR66" s="156"/>
      <c r="AS66" s="721"/>
      <c r="AT66" s="721"/>
      <c r="AU66" s="721"/>
      <c r="AV66" s="721"/>
      <c r="AW66" s="721"/>
      <c r="AX66" s="34"/>
      <c r="AY66" s="34"/>
      <c r="BD66" s="15"/>
      <c r="BE66" s="15"/>
    </row>
    <row r="67" spans="1:57" ht="13" customHeight="1" x14ac:dyDescent="0.3">
      <c r="Q67" s="1511"/>
      <c r="R67" s="1511"/>
      <c r="S67" s="34"/>
      <c r="T67" s="34"/>
      <c r="U67" s="3"/>
      <c r="V67" s="4"/>
      <c r="W67" s="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155"/>
      <c r="AL67" s="74"/>
      <c r="AM67" s="124"/>
      <c r="AN67" s="124"/>
      <c r="AO67" s="124"/>
      <c r="AP67" s="124"/>
      <c r="AQ67" s="34"/>
      <c r="AR67" s="74"/>
      <c r="AS67" s="731"/>
      <c r="AT67" s="731"/>
      <c r="AU67" s="731"/>
      <c r="AV67" s="731"/>
      <c r="AW67" s="731"/>
      <c r="AX67" s="34"/>
      <c r="AY67" s="34"/>
      <c r="BD67" s="15"/>
      <c r="BE67" s="15"/>
    </row>
    <row r="68" spans="1:57" ht="13" customHeight="1" x14ac:dyDescent="0.3">
      <c r="Q68" s="1512"/>
      <c r="R68" s="1512"/>
      <c r="S68" s="34"/>
      <c r="T68" s="34"/>
      <c r="U68" s="3"/>
      <c r="V68" s="4"/>
      <c r="W68" s="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155"/>
      <c r="AL68" s="74"/>
      <c r="AM68" s="40"/>
      <c r="AN68" s="40"/>
      <c r="AO68" s="40"/>
      <c r="AP68" s="40"/>
      <c r="AQ68" s="34"/>
      <c r="AR68" s="74"/>
      <c r="AS68" s="518"/>
      <c r="AT68" s="518"/>
      <c r="AU68" s="518"/>
      <c r="AV68" s="518"/>
      <c r="AW68" s="518"/>
      <c r="AX68" s="34"/>
      <c r="AY68" s="34"/>
      <c r="BD68" s="15"/>
      <c r="BE68" s="15"/>
    </row>
    <row r="69" spans="1:57" ht="13" customHeight="1" x14ac:dyDescent="0.3">
      <c r="Q69" s="193"/>
      <c r="R69" s="40"/>
      <c r="S69" s="34"/>
      <c r="T69" s="34"/>
      <c r="U69" s="3"/>
      <c r="V69" s="4"/>
      <c r="W69" s="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155"/>
      <c r="AL69" s="74"/>
      <c r="AM69" s="40"/>
      <c r="AN69" s="40"/>
      <c r="AO69" s="40"/>
      <c r="AP69" s="40"/>
      <c r="AQ69" s="34"/>
      <c r="AR69" s="74"/>
      <c r="AS69" s="124"/>
      <c r="AT69" s="124"/>
      <c r="AU69" s="124"/>
      <c r="AV69" s="124"/>
      <c r="AW69" s="124"/>
      <c r="AX69" s="34"/>
      <c r="AY69" s="34"/>
      <c r="BD69" s="15"/>
      <c r="BE69" s="15"/>
    </row>
    <row r="70" spans="1:57" ht="13" customHeight="1" x14ac:dyDescent="0.3">
      <c r="S70" s="34"/>
      <c r="T70" s="34"/>
      <c r="U70" s="3"/>
      <c r="V70" s="4"/>
      <c r="W70" s="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155"/>
      <c r="AL70" s="74"/>
      <c r="AM70" s="40"/>
      <c r="AN70" s="40"/>
      <c r="AO70" s="40"/>
      <c r="AP70" s="40"/>
      <c r="AQ70" s="34"/>
      <c r="AR70" s="74"/>
      <c r="AS70" s="40"/>
      <c r="AT70" s="40"/>
      <c r="AU70" s="40"/>
      <c r="AV70" s="40"/>
      <c r="AW70" s="40"/>
      <c r="AX70" s="34"/>
      <c r="AY70" s="34"/>
      <c r="BD70" s="15"/>
      <c r="BE70" s="15"/>
    </row>
    <row r="71" spans="1:57" s="14" customFormat="1" ht="13" customHeight="1" x14ac:dyDescent="0.3">
      <c r="A71" s="120"/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Q71" s="120"/>
      <c r="R71" s="120"/>
      <c r="S71" s="34"/>
      <c r="T71" s="34"/>
      <c r="U71" s="3"/>
      <c r="V71" s="4"/>
      <c r="W71" s="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155"/>
      <c r="AL71" s="74"/>
      <c r="AM71" s="40"/>
      <c r="AN71" s="40"/>
      <c r="AO71" s="40"/>
      <c r="AP71" s="40"/>
      <c r="AQ71" s="34"/>
      <c r="AR71" s="74"/>
      <c r="AS71" s="156"/>
      <c r="AT71" s="156"/>
      <c r="AU71" s="156"/>
      <c r="AV71" s="156"/>
      <c r="AW71" s="156"/>
      <c r="AX71" s="34"/>
      <c r="AY71" s="34"/>
      <c r="AZ71" s="120"/>
      <c r="BA71" s="120"/>
      <c r="BB71" s="120"/>
      <c r="BC71" s="120"/>
      <c r="BD71" s="15"/>
      <c r="BE71" s="15"/>
    </row>
    <row r="72" spans="1:57" s="14" customFormat="1" ht="13" customHeight="1" x14ac:dyDescent="0.3">
      <c r="A72" s="120"/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Q72" s="120"/>
      <c r="R72" s="120"/>
      <c r="S72" s="34"/>
      <c r="T72" s="34"/>
      <c r="U72" s="3"/>
      <c r="V72" s="4"/>
      <c r="W72" s="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155"/>
      <c r="AL72" s="74"/>
      <c r="AM72" s="74"/>
      <c r="AN72" s="74"/>
      <c r="AO72" s="74"/>
      <c r="AP72" s="74"/>
      <c r="AQ72" s="34"/>
      <c r="AR72" s="74"/>
      <c r="AS72" s="124"/>
      <c r="AT72" s="74"/>
      <c r="AU72" s="74"/>
      <c r="AV72" s="74"/>
      <c r="AW72" s="34"/>
      <c r="AX72" s="34"/>
      <c r="AY72" s="34"/>
      <c r="AZ72" s="120"/>
      <c r="BA72" s="120"/>
      <c r="BB72" s="120"/>
      <c r="BC72" s="120"/>
      <c r="BD72" s="16"/>
      <c r="BE72" s="16"/>
    </row>
    <row r="73" spans="1:57" s="14" customFormat="1" ht="13" customHeight="1" x14ac:dyDescent="0.3">
      <c r="A73" s="120"/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Q73" s="120"/>
      <c r="R73" s="120"/>
      <c r="S73" s="34"/>
      <c r="T73" s="34"/>
      <c r="U73" s="5"/>
      <c r="V73" s="6"/>
      <c r="W73" s="6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155"/>
      <c r="AL73" s="34"/>
      <c r="AM73" s="34"/>
      <c r="AN73" s="34"/>
      <c r="AO73" s="34"/>
      <c r="AP73" s="34"/>
      <c r="AQ73" s="34"/>
      <c r="AR73" s="34"/>
      <c r="AS73" s="40"/>
      <c r="AT73" s="34"/>
      <c r="AU73" s="34"/>
      <c r="AV73" s="34"/>
      <c r="AW73" s="34"/>
      <c r="AX73" s="34"/>
      <c r="AY73" s="34"/>
      <c r="AZ73" s="120"/>
      <c r="BA73" s="120"/>
      <c r="BB73" s="120"/>
      <c r="BC73" s="120"/>
      <c r="BD73" s="16"/>
      <c r="BE73" s="16"/>
    </row>
    <row r="74" spans="1:57" s="14" customFormat="1" ht="13" customHeight="1" x14ac:dyDescent="0.3">
      <c r="A74" s="120"/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Q74" s="120"/>
      <c r="R74" s="120"/>
      <c r="S74" s="34"/>
      <c r="T74" s="34"/>
      <c r="U74" s="3"/>
      <c r="V74" s="4"/>
      <c r="W74" s="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155"/>
      <c r="AL74" s="34"/>
      <c r="AM74" s="34"/>
      <c r="AN74" s="34"/>
      <c r="AO74" s="34"/>
      <c r="AP74" s="34"/>
      <c r="AQ74" s="34"/>
      <c r="AR74" s="34"/>
      <c r="AS74" s="40"/>
      <c r="AT74" s="34"/>
      <c r="AU74" s="34"/>
      <c r="AV74" s="34"/>
      <c r="AW74" s="34"/>
      <c r="AX74" s="34"/>
      <c r="AY74" s="34"/>
      <c r="AZ74" s="120"/>
      <c r="BA74" s="120"/>
      <c r="BB74" s="120"/>
      <c r="BC74" s="120"/>
      <c r="BD74" s="16"/>
      <c r="BE74" s="16"/>
    </row>
    <row r="75" spans="1:57" s="14" customFormat="1" ht="11.15" customHeight="1" x14ac:dyDescent="0.3">
      <c r="A75" s="120"/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Q75" s="120"/>
      <c r="R75" s="120"/>
      <c r="S75" s="34"/>
      <c r="T75" s="34"/>
      <c r="U75" s="3"/>
      <c r="V75" s="4"/>
      <c r="W75" s="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120"/>
      <c r="BA75" s="120"/>
      <c r="BB75" s="120"/>
      <c r="BC75" s="120"/>
      <c r="BD75" s="16"/>
      <c r="BE75" s="16"/>
    </row>
    <row r="76" spans="1:57" s="14" customFormat="1" ht="11.15" customHeight="1" x14ac:dyDescent="0.3">
      <c r="A76" s="120"/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Q76" s="34"/>
      <c r="R76" s="34"/>
      <c r="S76" s="34"/>
      <c r="T76" s="34"/>
      <c r="U76" s="3"/>
      <c r="V76" s="4"/>
      <c r="W76" s="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120"/>
      <c r="BA76" s="120"/>
      <c r="BB76" s="120"/>
      <c r="BC76" s="120"/>
      <c r="BD76" s="16"/>
      <c r="BE76" s="16"/>
    </row>
    <row r="77" spans="1:57" ht="11.15" customHeight="1" x14ac:dyDescent="0.3">
      <c r="Q77" s="34"/>
      <c r="R77" s="34"/>
      <c r="S77" s="34"/>
      <c r="T77" s="34"/>
      <c r="U77" s="3"/>
      <c r="V77" s="4"/>
      <c r="W77" s="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BD77" s="16"/>
      <c r="BE77" s="16"/>
    </row>
    <row r="78" spans="1:57" ht="11.15" customHeight="1" x14ac:dyDescent="0.3">
      <c r="Q78" s="34"/>
      <c r="R78" s="34"/>
      <c r="S78" s="34"/>
      <c r="T78" s="34"/>
      <c r="U78" s="3"/>
      <c r="V78" s="4"/>
      <c r="W78" s="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BD78" s="16"/>
      <c r="BE78" s="16"/>
    </row>
    <row r="79" spans="1:57" ht="11.15" customHeight="1" x14ac:dyDescent="0.3">
      <c r="Q79" s="34"/>
      <c r="R79" s="34"/>
      <c r="S79" s="34"/>
      <c r="T79" s="34"/>
      <c r="U79" s="3"/>
      <c r="V79" s="4"/>
      <c r="W79" s="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BD79" s="16"/>
      <c r="BE79" s="16"/>
    </row>
    <row r="80" spans="1:57" ht="11.15" customHeight="1" x14ac:dyDescent="0.3">
      <c r="Q80" s="34"/>
      <c r="R80" s="34"/>
      <c r="S80" s="34"/>
      <c r="T80" s="34"/>
      <c r="U80" s="3"/>
      <c r="V80" s="4"/>
      <c r="W80" s="4"/>
      <c r="X80" s="34"/>
      <c r="Y80" s="34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BD80" s="16"/>
      <c r="BE80" s="16"/>
    </row>
    <row r="81" spans="1:57" ht="11.15" customHeight="1" x14ac:dyDescent="0.3">
      <c r="Q81" s="34"/>
      <c r="R81" s="34"/>
      <c r="S81" s="34"/>
      <c r="T81" s="34"/>
      <c r="U81" s="3"/>
      <c r="V81" s="4"/>
      <c r="W81" s="4"/>
      <c r="X81" s="34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1.15" customHeight="1" x14ac:dyDescent="0.3">
      <c r="Q82" s="16"/>
      <c r="R82" s="16"/>
      <c r="S82" s="16"/>
      <c r="T82" s="16"/>
      <c r="U82" s="16"/>
      <c r="V82" s="16"/>
      <c r="W82" s="16"/>
      <c r="X82" s="16"/>
      <c r="Y82" s="16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1.15" customHeight="1" x14ac:dyDescent="0.3">
      <c r="Q83" s="16"/>
      <c r="R83" s="16"/>
      <c r="S83" s="16"/>
      <c r="T83" s="16"/>
      <c r="U83" s="16"/>
      <c r="V83" s="16"/>
      <c r="W83" s="16"/>
      <c r="X83" s="16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1.15" customHeight="1" x14ac:dyDescent="0.3">
      <c r="Q84" s="15"/>
      <c r="R84" s="15"/>
      <c r="S84" s="15"/>
      <c r="T84" s="15"/>
      <c r="U84" s="15"/>
      <c r="V84" s="15"/>
      <c r="W84" s="15"/>
      <c r="X84" s="15"/>
      <c r="Y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1.15" customHeight="1" x14ac:dyDescent="0.3">
      <c r="Q85" s="15"/>
      <c r="R85" s="15"/>
      <c r="S85" s="15"/>
      <c r="T85" s="15"/>
      <c r="U85" s="15"/>
      <c r="V85" s="15"/>
      <c r="W85" s="15"/>
      <c r="X85" s="15"/>
    </row>
    <row r="86" spans="1:57" ht="11.15" customHeight="1" x14ac:dyDescent="0.3"/>
    <row r="87" spans="1:57" s="15" customFormat="1" ht="11.15" customHeight="1" x14ac:dyDescent="0.3">
      <c r="A87" s="120"/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Q87" s="120"/>
      <c r="R87" s="120"/>
      <c r="S87" s="120"/>
      <c r="T87" s="120"/>
      <c r="U87" s="120"/>
      <c r="V87" s="120"/>
      <c r="W87" s="120"/>
      <c r="X87" s="120"/>
      <c r="Y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20"/>
      <c r="AV87" s="120"/>
      <c r="AW87" s="120"/>
      <c r="AX87" s="120"/>
      <c r="AY87" s="120"/>
      <c r="AZ87" s="120"/>
      <c r="BA87" s="120"/>
      <c r="BB87" s="120"/>
      <c r="BC87" s="120"/>
      <c r="BD87" s="120"/>
      <c r="BE87" s="120"/>
    </row>
    <row r="88" spans="1:57" s="15" customFormat="1" ht="11.15" customHeight="1" x14ac:dyDescent="0.3">
      <c r="A88" s="120"/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Q88" s="120"/>
      <c r="R88" s="120"/>
      <c r="S88" s="120"/>
      <c r="T88" s="120"/>
      <c r="U88" s="120"/>
      <c r="V88" s="120"/>
      <c r="W88" s="120"/>
      <c r="X88" s="120"/>
    </row>
    <row r="89" spans="1:57" s="15" customFormat="1" ht="11.15" customHeight="1" x14ac:dyDescent="0.3">
      <c r="A89" s="120"/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</row>
    <row r="90" spans="1:57" s="15" customFormat="1" ht="11.15" customHeight="1" x14ac:dyDescent="0.3">
      <c r="A90" s="120"/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</row>
    <row r="91" spans="1:57" s="15" customFormat="1" ht="11.15" customHeight="1" x14ac:dyDescent="0.3">
      <c r="A91" s="120"/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</row>
    <row r="92" spans="1:57" s="15" customFormat="1" ht="11.15" customHeight="1" x14ac:dyDescent="0.3">
      <c r="A92" s="120"/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</row>
    <row r="93" spans="1:57" s="15" customFormat="1" ht="10.5" customHeight="1" x14ac:dyDescent="0.3">
      <c r="A93" s="120"/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</row>
    <row r="94" spans="1:57" s="15" customFormat="1" ht="18" customHeight="1" x14ac:dyDescent="0.3">
      <c r="A94" s="120"/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</row>
    <row r="95" spans="1:57" s="15" customFormat="1" ht="28" customHeight="1" x14ac:dyDescent="0.3">
      <c r="A95" s="120"/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</row>
    <row r="96" spans="1:57" s="15" customFormat="1" ht="9.75" customHeight="1" x14ac:dyDescent="0.3">
      <c r="A96" s="120"/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</row>
    <row r="97" spans="1:15" s="15" customFormat="1" ht="14.15" customHeight="1" x14ac:dyDescent="0.3">
      <c r="A97" s="120"/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</row>
    <row r="98" spans="1:15" s="15" customFormat="1" ht="14.15" customHeight="1" x14ac:dyDescent="0.3">
      <c r="A98" s="120"/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</row>
    <row r="99" spans="1:15" s="15" customFormat="1" ht="14.15" customHeight="1" x14ac:dyDescent="0.3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</row>
    <row r="100" spans="1:15" s="15" customFormat="1" ht="12" customHeight="1" x14ac:dyDescent="0.3">
      <c r="A100" s="120"/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</row>
    <row r="101" spans="1:15" s="15" customFormat="1" ht="12" customHeight="1" x14ac:dyDescent="0.3">
      <c r="A101" s="120"/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</row>
    <row r="102" spans="1:15" s="15" customFormat="1" ht="14.15" customHeight="1" x14ac:dyDescent="0.3">
      <c r="A102" s="120"/>
      <c r="B102" s="120"/>
      <c r="C102" s="120"/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</row>
    <row r="103" spans="1:15" s="15" customFormat="1" ht="14.15" customHeight="1" x14ac:dyDescent="0.3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</row>
    <row r="104" spans="1:15" s="15" customFormat="1" ht="14.15" customHeight="1" x14ac:dyDescent="0.3">
      <c r="A104" s="120"/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</row>
    <row r="105" spans="1:15" s="15" customFormat="1" ht="14.15" customHeight="1" x14ac:dyDescent="0.3">
      <c r="A105" s="120"/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</row>
    <row r="106" spans="1:15" s="15" customFormat="1" ht="13.5" customHeight="1" x14ac:dyDescent="0.3">
      <c r="A106" s="120"/>
      <c r="B106" s="120"/>
      <c r="C106" s="120"/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</row>
    <row r="107" spans="1:15" s="15" customFormat="1" ht="15" customHeight="1" x14ac:dyDescent="0.3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</row>
    <row r="108" spans="1:15" s="15" customFormat="1" ht="20.149999999999999" customHeight="1" x14ac:dyDescent="0.3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</row>
    <row r="109" spans="1:15" s="15" customFormat="1" ht="15" customHeight="1" x14ac:dyDescent="0.3">
      <c r="A109" s="120"/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</row>
    <row r="110" spans="1:15" s="15" customFormat="1" ht="15" customHeight="1" x14ac:dyDescent="0.3">
      <c r="A110" s="120"/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</row>
    <row r="111" spans="1:15" s="15" customFormat="1" ht="15" customHeight="1" x14ac:dyDescent="0.3">
      <c r="A111" s="120"/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</row>
    <row r="112" spans="1:15" s="15" customFormat="1" ht="15" customHeight="1" x14ac:dyDescent="0.3">
      <c r="A112" s="120"/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</row>
    <row r="113" spans="1:35" s="15" customFormat="1" ht="20.149999999999999" customHeight="1" x14ac:dyDescent="0.3">
      <c r="A113" s="120"/>
      <c r="B113" s="120"/>
      <c r="C113" s="120"/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</row>
    <row r="114" spans="1:35" s="15" customFormat="1" ht="20.149999999999999" customHeight="1" x14ac:dyDescent="0.3">
      <c r="A114" s="120"/>
      <c r="B114" s="120"/>
      <c r="C114" s="120"/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</row>
    <row r="115" spans="1:35" s="15" customFormat="1" ht="21" customHeight="1" x14ac:dyDescent="0.3">
      <c r="A115" s="120"/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</row>
    <row r="116" spans="1:35" s="15" customFormat="1" ht="15" customHeight="1" x14ac:dyDescent="0.3">
      <c r="A116" s="120"/>
      <c r="B116" s="120"/>
      <c r="C116" s="120"/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</row>
    <row r="117" spans="1:35" s="15" customFormat="1" ht="15" customHeight="1" x14ac:dyDescent="0.3">
      <c r="A117" s="120"/>
      <c r="B117" s="120"/>
      <c r="C117" s="120"/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</row>
    <row r="118" spans="1:35" s="15" customFormat="1" ht="14.15" customHeight="1" x14ac:dyDescent="0.3">
      <c r="A118" s="120"/>
      <c r="B118" s="120"/>
      <c r="C118" s="120"/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</row>
    <row r="119" spans="1:35" s="15" customFormat="1" ht="14.15" customHeight="1" x14ac:dyDescent="0.3">
      <c r="A119" s="120"/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</row>
    <row r="120" spans="1:35" s="15" customFormat="1" ht="14.15" customHeight="1" x14ac:dyDescent="0.3">
      <c r="A120" s="120"/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</row>
    <row r="121" spans="1:35" s="15" customFormat="1" ht="14.15" customHeight="1" x14ac:dyDescent="0.3">
      <c r="A121" s="120"/>
      <c r="B121" s="120"/>
      <c r="C121" s="120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</row>
    <row r="122" spans="1:35" s="15" customFormat="1" ht="15" customHeight="1" x14ac:dyDescent="0.3">
      <c r="A122" s="120"/>
      <c r="B122" s="120"/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</row>
    <row r="123" spans="1:35" s="16" customFormat="1" ht="15" customHeight="1" x14ac:dyDescent="0.3">
      <c r="A123" s="120"/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  <c r="Q123" s="15"/>
      <c r="R123" s="15"/>
      <c r="S123" s="15"/>
      <c r="T123" s="15"/>
      <c r="U123" s="15"/>
      <c r="V123" s="15"/>
      <c r="W123" s="15"/>
      <c r="X123" s="15"/>
    </row>
    <row r="124" spans="1:35" s="16" customFormat="1" ht="15" customHeight="1" x14ac:dyDescent="0.3">
      <c r="A124" s="120"/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</row>
    <row r="125" spans="1:35" s="16" customFormat="1" ht="15" hidden="1" customHeight="1" x14ac:dyDescent="0.3">
      <c r="A125" s="120"/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</row>
    <row r="126" spans="1:35" s="16" customFormat="1" ht="15" customHeight="1" x14ac:dyDescent="0.3">
      <c r="A126" s="120"/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</row>
    <row r="127" spans="1:35" s="16" customFormat="1" ht="15" customHeight="1" x14ac:dyDescent="0.3">
      <c r="A127" s="120"/>
      <c r="B127" s="120"/>
      <c r="C127" s="120"/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</row>
    <row r="128" spans="1:35" s="16" customFormat="1" ht="15" hidden="1" customHeight="1" x14ac:dyDescent="0.3">
      <c r="A128" s="120"/>
      <c r="B128" s="120"/>
      <c r="C128" s="120"/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</row>
    <row r="129" spans="1:35" s="16" customFormat="1" ht="15" customHeight="1" x14ac:dyDescent="0.3">
      <c r="A129" s="120"/>
      <c r="B129" s="120"/>
      <c r="C129" s="120"/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</row>
    <row r="130" spans="1:35" s="16" customFormat="1" ht="15" customHeight="1" x14ac:dyDescent="0.3">
      <c r="A130" s="120"/>
      <c r="B130" s="120"/>
      <c r="C130" s="120"/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</row>
    <row r="131" spans="1:35" s="16" customFormat="1" ht="15" hidden="1" customHeight="1" x14ac:dyDescent="0.3">
      <c r="A131" s="120"/>
      <c r="B131" s="120"/>
      <c r="C131" s="120"/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</row>
    <row r="132" spans="1:35" s="16" customFormat="1" ht="15" hidden="1" customHeight="1" x14ac:dyDescent="0.3">
      <c r="A132" s="120"/>
      <c r="B132" s="120"/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</row>
    <row r="133" spans="1:35" s="16" customFormat="1" ht="15" customHeight="1" x14ac:dyDescent="0.3">
      <c r="A133" s="120"/>
      <c r="B133" s="120"/>
      <c r="C133" s="120"/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</row>
    <row r="134" spans="1:35" s="15" customFormat="1" ht="15" customHeight="1" x14ac:dyDescent="0.3">
      <c r="A134" s="120"/>
      <c r="B134" s="120"/>
      <c r="C134" s="120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  <c r="Q134" s="16"/>
      <c r="R134" s="16"/>
      <c r="S134" s="16"/>
      <c r="T134" s="16"/>
      <c r="U134" s="16"/>
      <c r="V134" s="16"/>
      <c r="W134" s="16"/>
      <c r="X134" s="16"/>
    </row>
    <row r="135" spans="1:35" s="15" customFormat="1" ht="15" hidden="1" customHeight="1" x14ac:dyDescent="0.3">
      <c r="A135" s="120"/>
      <c r="B135" s="120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</row>
    <row r="136" spans="1:35" ht="15" customHeight="1" x14ac:dyDescent="0.3">
      <c r="Q136" s="15"/>
      <c r="R136" s="15"/>
      <c r="S136" s="15"/>
      <c r="T136" s="15"/>
      <c r="U136" s="15"/>
      <c r="V136" s="15"/>
      <c r="W136" s="15"/>
      <c r="X136" s="15"/>
    </row>
    <row r="137" spans="1:35" ht="15" customHeight="1" x14ac:dyDescent="0.3"/>
    <row r="138" spans="1:35" ht="15" customHeight="1" x14ac:dyDescent="0.3"/>
    <row r="139" spans="1:35" ht="15" customHeight="1" x14ac:dyDescent="0.3"/>
    <row r="140" spans="1:35" ht="15" customHeight="1" x14ac:dyDescent="0.3"/>
    <row r="141" spans="1:35" ht="15" customHeight="1" x14ac:dyDescent="0.3"/>
    <row r="142" spans="1:35" ht="15" customHeight="1" x14ac:dyDescent="0.3"/>
    <row r="143" spans="1:35" ht="24" customHeight="1" x14ac:dyDescent="0.3"/>
    <row r="144" spans="1:35" ht="22" customHeight="1" x14ac:dyDescent="0.3"/>
    <row r="145" spans="26:35" ht="21" customHeight="1" x14ac:dyDescent="0.3"/>
    <row r="146" spans="26:35" ht="15.75" customHeight="1" x14ac:dyDescent="0.3"/>
    <row r="147" spans="26:35" ht="12.75" customHeight="1" x14ac:dyDescent="0.3"/>
    <row r="148" spans="26:35" ht="18.75" customHeight="1" x14ac:dyDescent="0.3"/>
    <row r="149" spans="26:35" ht="29.25" customHeight="1" x14ac:dyDescent="0.3"/>
    <row r="150" spans="26:35" ht="28" customHeight="1" x14ac:dyDescent="0.3"/>
    <row r="151" spans="26:35" ht="28" customHeight="1" x14ac:dyDescent="0.3"/>
    <row r="152" spans="26:35" ht="13" customHeight="1" x14ac:dyDescent="0.3"/>
    <row r="153" spans="26:35" ht="12" customHeight="1" x14ac:dyDescent="0.3"/>
    <row r="160" spans="26:35" x14ac:dyDescent="0.3"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</row>
    <row r="161" spans="16:50" x14ac:dyDescent="0.3">
      <c r="P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</row>
    <row r="162" spans="16:50" x14ac:dyDescent="0.3">
      <c r="P162" s="34"/>
      <c r="Q162" s="34"/>
      <c r="R162" s="34"/>
      <c r="S162" s="34"/>
      <c r="T162" s="3">
        <v>66</v>
      </c>
      <c r="U162" s="4">
        <f>+$W$73+((T79-$U$73)*(($V$169-$W$73)/($T$169-$U$73)))</f>
        <v>0</v>
      </c>
      <c r="V162" s="4">
        <f t="shared" ref="V162:V168" si="2">+$W$73+((T162-$U$73)*(($V$169-$W$73)/($T$169-$U$73)))</f>
        <v>0.92023988005997004</v>
      </c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</row>
    <row r="163" spans="16:50" x14ac:dyDescent="0.3">
      <c r="P163" s="34"/>
      <c r="Q163" s="34"/>
      <c r="R163" s="34"/>
      <c r="S163" s="34"/>
      <c r="T163" s="3">
        <v>66.099999999999994</v>
      </c>
      <c r="U163" s="4">
        <f>+$W$73+((T80-$U$73)*(($V$169-$W$73)/($T$169-$U$73)))</f>
        <v>0</v>
      </c>
      <c r="V163" s="4">
        <f t="shared" si="2"/>
        <v>0.92163418290854571</v>
      </c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</row>
    <row r="164" spans="16:50" x14ac:dyDescent="0.3">
      <c r="P164" s="34"/>
      <c r="Q164" s="34"/>
      <c r="R164" s="34"/>
      <c r="S164" s="34"/>
      <c r="T164" s="3">
        <v>66.2</v>
      </c>
      <c r="U164" s="4">
        <f>+$W$73+((T81-$U$73)*(($V$169-$W$73)/($T$169-$U$73)))</f>
        <v>0</v>
      </c>
      <c r="V164" s="4">
        <f t="shared" si="2"/>
        <v>0.92302848575712149</v>
      </c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</row>
    <row r="165" spans="16:50" x14ac:dyDescent="0.3">
      <c r="P165" s="34"/>
      <c r="Q165" s="34"/>
      <c r="R165" s="34"/>
      <c r="S165" s="34"/>
      <c r="T165" s="3">
        <v>66.300000000000097</v>
      </c>
      <c r="U165" s="4">
        <f>+$W$73+((S162-$U$73)*(($V$169-$W$73)/($T$169-$U$73)))</f>
        <v>0</v>
      </c>
      <c r="V165" s="4">
        <f t="shared" si="2"/>
        <v>0.92442278860569849</v>
      </c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</row>
    <row r="166" spans="16:50" x14ac:dyDescent="0.3">
      <c r="P166" s="34"/>
      <c r="Q166" s="34"/>
      <c r="R166" s="34"/>
      <c r="S166" s="34"/>
      <c r="T166" s="3">
        <v>66.400000000000006</v>
      </c>
      <c r="U166" s="4">
        <f>+$W$73+((S163-$U$73)*(($V$169-$W$73)/($T$169-$U$73)))</f>
        <v>0</v>
      </c>
      <c r="V166" s="4">
        <f t="shared" si="2"/>
        <v>0.92581709145427293</v>
      </c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</row>
    <row r="167" spans="16:50" x14ac:dyDescent="0.3">
      <c r="P167" s="34"/>
      <c r="Q167" s="34"/>
      <c r="R167" s="34"/>
      <c r="S167" s="34"/>
      <c r="T167" s="3">
        <v>66.500000000000099</v>
      </c>
      <c r="U167" s="4">
        <f>+$W$73+((S164-$U$73)*(($V$169-$W$73)/($T$169-$U$73)))</f>
        <v>0</v>
      </c>
      <c r="V167" s="4">
        <f t="shared" si="2"/>
        <v>0.92721139430284993</v>
      </c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</row>
    <row r="168" spans="16:50" x14ac:dyDescent="0.3">
      <c r="P168" s="34"/>
      <c r="Q168" s="34"/>
      <c r="R168" s="34"/>
      <c r="S168" s="34"/>
      <c r="T168" s="3">
        <v>66.600000000000094</v>
      </c>
      <c r="U168" s="4">
        <f>+$W$73+((S165-$U$73)*(($V$169-$W$73)/($T$169-$U$73)))</f>
        <v>0</v>
      </c>
      <c r="V168" s="4">
        <f t="shared" si="2"/>
        <v>0.9286056971514256</v>
      </c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</row>
    <row r="169" spans="16:50" x14ac:dyDescent="0.3">
      <c r="P169" s="34"/>
      <c r="Q169" s="34"/>
      <c r="R169" s="34"/>
      <c r="S169" s="34"/>
      <c r="T169" s="5">
        <v>66.7</v>
      </c>
      <c r="U169" s="6">
        <v>0.93</v>
      </c>
      <c r="V169" s="6">
        <v>0.93</v>
      </c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</row>
    <row r="170" spans="16:50" x14ac:dyDescent="0.3"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</row>
    <row r="171" spans="16:50" x14ac:dyDescent="0.3"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</row>
    <row r="172" spans="16:50" x14ac:dyDescent="0.3"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</row>
    <row r="173" spans="16:50" x14ac:dyDescent="0.3"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</row>
    <row r="174" spans="16:50" x14ac:dyDescent="0.3"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</row>
    <row r="175" spans="16:50" x14ac:dyDescent="0.3"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</row>
    <row r="176" spans="16:50" x14ac:dyDescent="0.3"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</row>
    <row r="177" spans="16:50" x14ac:dyDescent="0.3"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</row>
    <row r="178" spans="16:50" x14ac:dyDescent="0.3">
      <c r="Q178" s="34"/>
      <c r="R178" s="34"/>
      <c r="S178" s="34"/>
      <c r="T178" s="34"/>
      <c r="U178" s="34"/>
      <c r="V178" s="34"/>
      <c r="W178" s="34"/>
      <c r="X178" s="34"/>
    </row>
  </sheetData>
  <sheetProtection password="B39D" sheet="1" formatCells="0" formatColumns="0" formatRows="0"/>
  <protectedRanges>
    <protectedRange sqref="M2:N4" name="Rango1_1_1_1"/>
  </protectedRanges>
  <mergeCells count="103">
    <mergeCell ref="AR61:AV61"/>
    <mergeCell ref="Q63:R63"/>
    <mergeCell ref="AG25:AI25"/>
    <mergeCell ref="T27:T30"/>
    <mergeCell ref="Q19:R19"/>
    <mergeCell ref="S19:T19"/>
    <mergeCell ref="Q18:X18"/>
    <mergeCell ref="I7:J7"/>
    <mergeCell ref="K7:N7"/>
    <mergeCell ref="Q24:Q25"/>
    <mergeCell ref="Q7:R7"/>
    <mergeCell ref="Q8:R8"/>
    <mergeCell ref="Q9:R9"/>
    <mergeCell ref="Q13:X13"/>
    <mergeCell ref="Q10:R10"/>
    <mergeCell ref="Q11:R11"/>
    <mergeCell ref="Q12:R12"/>
    <mergeCell ref="W7:X7"/>
    <mergeCell ref="S8:X8"/>
    <mergeCell ref="W9:X9"/>
    <mergeCell ref="W19:X19"/>
    <mergeCell ref="S26:T26"/>
    <mergeCell ref="C31:O31"/>
    <mergeCell ref="A25:E25"/>
    <mergeCell ref="Q66:R67"/>
    <mergeCell ref="A41:C41"/>
    <mergeCell ref="A42:C42"/>
    <mergeCell ref="Q68:R68"/>
    <mergeCell ref="A44:C44"/>
    <mergeCell ref="A45:C45"/>
    <mergeCell ref="A43:C43"/>
    <mergeCell ref="W14:X14"/>
    <mergeCell ref="AL61:AP61"/>
    <mergeCell ref="A38:O39"/>
    <mergeCell ref="A40:C40"/>
    <mergeCell ref="I26:O26"/>
    <mergeCell ref="I27:O27"/>
    <mergeCell ref="A26:E26"/>
    <mergeCell ref="G26:H26"/>
    <mergeCell ref="A27:E27"/>
    <mergeCell ref="G27:H27"/>
    <mergeCell ref="B29:D29"/>
    <mergeCell ref="F29:H29"/>
    <mergeCell ref="J29:K29"/>
    <mergeCell ref="A24:E24"/>
    <mergeCell ref="G24:H24"/>
    <mergeCell ref="I24:K24"/>
    <mergeCell ref="L24:O24"/>
    <mergeCell ref="G25:H25"/>
    <mergeCell ref="I25:K25"/>
    <mergeCell ref="L25:O25"/>
    <mergeCell ref="A36:O36"/>
    <mergeCell ref="H20:I20"/>
    <mergeCell ref="N20:O20"/>
    <mergeCell ref="A21:G21"/>
    <mergeCell ref="H21:I21"/>
    <mergeCell ref="N21:O21"/>
    <mergeCell ref="A22:O22"/>
    <mergeCell ref="A23:E23"/>
    <mergeCell ref="G23:H23"/>
    <mergeCell ref="I23:K23"/>
    <mergeCell ref="L23:O23"/>
    <mergeCell ref="B32:N34"/>
    <mergeCell ref="A20:G20"/>
    <mergeCell ref="A31:B31"/>
    <mergeCell ref="A1:D5"/>
    <mergeCell ref="E1:O3"/>
    <mergeCell ref="E4:L4"/>
    <mergeCell ref="M4:O4"/>
    <mergeCell ref="E5:O5"/>
    <mergeCell ref="A19:G19"/>
    <mergeCell ref="H19:I19"/>
    <mergeCell ref="N19:O19"/>
    <mergeCell ref="U19:V19"/>
    <mergeCell ref="H13:I13"/>
    <mergeCell ref="Q14:R14"/>
    <mergeCell ref="S14:T14"/>
    <mergeCell ref="A18:G18"/>
    <mergeCell ref="H18:I18"/>
    <mergeCell ref="N18:O18"/>
    <mergeCell ref="Q6:R6"/>
    <mergeCell ref="S6:X6"/>
    <mergeCell ref="S10:T10"/>
    <mergeCell ref="U10:V10"/>
    <mergeCell ref="S11:T11"/>
    <mergeCell ref="U11:V11"/>
    <mergeCell ref="U14:V14"/>
    <mergeCell ref="L8:N8"/>
    <mergeCell ref="A10:O10"/>
    <mergeCell ref="A11:D11"/>
    <mergeCell ref="H11:I11"/>
    <mergeCell ref="N11:O17"/>
    <mergeCell ref="A12:G12"/>
    <mergeCell ref="H12:I12"/>
    <mergeCell ref="A14:G14"/>
    <mergeCell ref="H14:I14"/>
    <mergeCell ref="A15:G15"/>
    <mergeCell ref="H15:I15"/>
    <mergeCell ref="A16:G16"/>
    <mergeCell ref="H16:I16"/>
    <mergeCell ref="A17:G17"/>
    <mergeCell ref="H17:I17"/>
    <mergeCell ref="A13:G13"/>
  </mergeCells>
  <conditionalFormatting sqref="W7 W9">
    <cfRule type="cellIs" dxfId="2" priority="1" operator="equal">
      <formula>"ESTA FUERA DEL ALCANCE"</formula>
    </cfRule>
  </conditionalFormatting>
  <printOptions horizontalCentered="1"/>
  <pageMargins left="0.59055118110236227" right="0.39370078740157483" top="0.59055118110236227" bottom="0.59055118110236227" header="0" footer="0.19685039370078741"/>
  <pageSetup paperSize="9" pageOrder="overThenDown"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de 1
</oddFooter>
  </headerFooter>
  <ignoredErrors>
    <ignoredError sqref="J13:M13" formulaRange="1"/>
    <ignoredError sqref="K21" formula="1"/>
    <ignoredError sqref="S27:S30 L25 V11 P8:P9 U10:V10 R11 R12 Q10:R10 E29 R9 N11" unlockedFormula="1"/>
  </ignoredError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0"/>
  </sheetPr>
  <dimension ref="A1:BE177"/>
  <sheetViews>
    <sheetView showGridLines="0" view="pageBreakPreview" topLeftCell="A25" zoomScaleSheetLayoutView="100" workbookViewId="0">
      <selection activeCell="I30" sqref="I30"/>
    </sheetView>
  </sheetViews>
  <sheetFormatPr baseColWidth="10" defaultColWidth="11.453125" defaultRowHeight="13" x14ac:dyDescent="0.3"/>
  <cols>
    <col min="1" max="1" width="6.453125" style="120" customWidth="1"/>
    <col min="2" max="2" width="7" style="120" customWidth="1"/>
    <col min="3" max="3" width="6" style="120" customWidth="1"/>
    <col min="4" max="4" width="5.1796875" style="120" customWidth="1"/>
    <col min="5" max="5" width="6.1796875" style="120" customWidth="1"/>
    <col min="6" max="6" width="5.1796875" style="120" customWidth="1"/>
    <col min="7" max="7" width="5" style="120" customWidth="1"/>
    <col min="8" max="8" width="5.81640625" style="120" customWidth="1"/>
    <col min="9" max="9" width="4.7265625" style="120" customWidth="1"/>
    <col min="10" max="10" width="7.453125" style="120" customWidth="1"/>
    <col min="11" max="12" width="8.26953125" style="120" customWidth="1"/>
    <col min="13" max="13" width="7.7265625" style="120" customWidth="1"/>
    <col min="14" max="14" width="6.7265625" style="120" customWidth="1"/>
    <col min="15" max="15" width="3.54296875" style="120" customWidth="1"/>
    <col min="16" max="16" width="11" style="120" customWidth="1"/>
    <col min="17" max="25" width="13.1796875" style="120" customWidth="1"/>
    <col min="26" max="36" width="11.453125" style="120" customWidth="1"/>
    <col min="37" max="16384" width="11.453125" style="120"/>
  </cols>
  <sheetData>
    <row r="1" spans="1:51" ht="15" customHeight="1" x14ac:dyDescent="0.3">
      <c r="A1" s="1275"/>
      <c r="B1" s="1276"/>
      <c r="C1" s="1550" t="s">
        <v>444</v>
      </c>
      <c r="D1" s="1551"/>
      <c r="E1" s="1551"/>
      <c r="F1" s="1551"/>
      <c r="G1" s="1551"/>
      <c r="H1" s="1551"/>
      <c r="I1" s="1551"/>
      <c r="J1" s="1551"/>
      <c r="K1" s="1551"/>
      <c r="L1" s="1551"/>
      <c r="M1" s="1551"/>
      <c r="N1" s="1551"/>
      <c r="O1" s="1552"/>
      <c r="P1" s="72"/>
      <c r="Q1" s="130"/>
      <c r="R1" s="131"/>
      <c r="S1" s="131"/>
      <c r="T1" s="131"/>
      <c r="U1" s="34"/>
      <c r="V1" s="34"/>
      <c r="W1" s="34"/>
      <c r="X1" s="34"/>
      <c r="Y1" s="34"/>
      <c r="AH1" s="34"/>
      <c r="AI1" s="34"/>
      <c r="AQ1" s="34"/>
      <c r="AR1" s="34"/>
      <c r="AS1" s="34"/>
      <c r="AT1" s="34"/>
      <c r="AU1" s="34"/>
      <c r="AV1" s="34"/>
      <c r="AW1" s="34"/>
      <c r="AX1" s="34"/>
    </row>
    <row r="2" spans="1:51" ht="15" customHeight="1" x14ac:dyDescent="0.3">
      <c r="A2" s="1277"/>
      <c r="B2" s="1278"/>
      <c r="C2" s="1553"/>
      <c r="D2" s="1554"/>
      <c r="E2" s="1554"/>
      <c r="F2" s="1554"/>
      <c r="G2" s="1554"/>
      <c r="H2" s="1554"/>
      <c r="I2" s="1554"/>
      <c r="J2" s="1554"/>
      <c r="K2" s="1554"/>
      <c r="L2" s="1554"/>
      <c r="M2" s="1554"/>
      <c r="N2" s="1554"/>
      <c r="O2" s="1555"/>
      <c r="P2" s="152"/>
      <c r="Q2" s="130"/>
      <c r="R2" s="131"/>
      <c r="S2" s="131"/>
      <c r="T2" s="131"/>
      <c r="U2" s="34"/>
      <c r="AQ2" s="34"/>
      <c r="AR2" s="34"/>
      <c r="AS2" s="34"/>
      <c r="AT2" s="34"/>
      <c r="AU2" s="34"/>
      <c r="AV2" s="34"/>
      <c r="AW2" s="34"/>
      <c r="AX2" s="34"/>
    </row>
    <row r="3" spans="1:51" ht="15" customHeight="1" x14ac:dyDescent="0.3">
      <c r="A3" s="1277"/>
      <c r="B3" s="1278"/>
      <c r="C3" s="1553"/>
      <c r="D3" s="1554"/>
      <c r="E3" s="1554"/>
      <c r="F3" s="1554"/>
      <c r="G3" s="1554"/>
      <c r="H3" s="1554"/>
      <c r="I3" s="1554"/>
      <c r="J3" s="1554"/>
      <c r="K3" s="1554"/>
      <c r="L3" s="1554"/>
      <c r="M3" s="1554"/>
      <c r="N3" s="1554"/>
      <c r="O3" s="1555"/>
      <c r="P3" s="152"/>
      <c r="Q3" s="130"/>
      <c r="R3" s="131"/>
      <c r="S3" s="131"/>
      <c r="T3" s="131"/>
      <c r="U3" s="34"/>
      <c r="AQ3" s="34"/>
      <c r="AR3" s="34"/>
      <c r="AS3" s="34"/>
      <c r="AT3" s="34"/>
      <c r="AU3" s="34"/>
      <c r="AV3" s="34"/>
      <c r="AW3" s="34"/>
      <c r="AX3" s="34"/>
    </row>
    <row r="4" spans="1:51" ht="15" customHeight="1" x14ac:dyDescent="0.3">
      <c r="A4" s="1277"/>
      <c r="B4" s="1278"/>
      <c r="C4" s="1438" t="s">
        <v>443</v>
      </c>
      <c r="D4" s="1439"/>
      <c r="E4" s="1439"/>
      <c r="F4" s="1439"/>
      <c r="G4" s="1439"/>
      <c r="H4" s="1439"/>
      <c r="I4" s="1439"/>
      <c r="J4" s="1439"/>
      <c r="K4" s="1439"/>
      <c r="L4" s="1440"/>
      <c r="M4" s="1677" t="s">
        <v>263</v>
      </c>
      <c r="N4" s="1678"/>
      <c r="O4" s="1679"/>
      <c r="P4" s="73"/>
      <c r="Q4" s="109"/>
      <c r="R4" s="109"/>
      <c r="S4" s="109"/>
      <c r="T4" s="109"/>
      <c r="U4" s="34"/>
      <c r="V4" s="34"/>
      <c r="W4" s="34"/>
      <c r="X4" s="34"/>
      <c r="Y4" s="34"/>
      <c r="AH4" s="34"/>
      <c r="AI4" s="34"/>
      <c r="AQ4" s="34"/>
      <c r="AR4" s="34"/>
      <c r="AS4" s="34"/>
      <c r="AT4" s="34"/>
      <c r="AU4" s="34"/>
      <c r="AV4" s="34"/>
      <c r="AW4" s="34"/>
      <c r="AX4" s="34"/>
    </row>
    <row r="5" spans="1:51" ht="15" customHeight="1" x14ac:dyDescent="0.3">
      <c r="A5" s="1279"/>
      <c r="B5" s="1280"/>
      <c r="C5" s="1438" t="s">
        <v>468</v>
      </c>
      <c r="D5" s="1439"/>
      <c r="E5" s="1439"/>
      <c r="F5" s="1439"/>
      <c r="G5" s="1439"/>
      <c r="H5" s="1439"/>
      <c r="I5" s="1439"/>
      <c r="J5" s="1439"/>
      <c r="K5" s="1439"/>
      <c r="L5" s="1439"/>
      <c r="M5" s="1439"/>
      <c r="N5" s="1439"/>
      <c r="O5" s="1440"/>
      <c r="P5" s="73"/>
      <c r="Y5" s="34"/>
      <c r="AH5" s="34"/>
      <c r="AI5" s="34"/>
      <c r="AQ5" s="34"/>
      <c r="AR5" s="34"/>
      <c r="AS5" s="34"/>
      <c r="AT5" s="34"/>
      <c r="AU5" s="34"/>
      <c r="AV5" s="34"/>
      <c r="AW5" s="34"/>
      <c r="AX5" s="34"/>
    </row>
    <row r="6" spans="1:51" ht="15" customHeight="1" x14ac:dyDescent="0.3">
      <c r="A6" s="631"/>
      <c r="B6" s="632"/>
      <c r="C6" s="632"/>
      <c r="D6" s="653"/>
      <c r="E6" s="653"/>
      <c r="F6" s="653"/>
      <c r="G6" s="653"/>
      <c r="H6" s="653"/>
      <c r="I6" s="653"/>
      <c r="J6" s="653"/>
      <c r="K6" s="632"/>
      <c r="L6" s="632"/>
      <c r="M6" s="653"/>
      <c r="N6" s="653"/>
      <c r="O6" s="654"/>
      <c r="P6" s="539" t="s">
        <v>305</v>
      </c>
      <c r="AH6" s="34"/>
      <c r="AI6" s="34"/>
      <c r="AQ6" s="34"/>
      <c r="AR6" s="34"/>
      <c r="AS6" s="34"/>
      <c r="AT6" s="34"/>
      <c r="AU6" s="34"/>
      <c r="AV6" s="34"/>
      <c r="AW6" s="34"/>
      <c r="AX6" s="34"/>
    </row>
    <row r="7" spans="1:51" ht="15" customHeight="1" x14ac:dyDescent="0.3">
      <c r="A7" s="635"/>
      <c r="B7" s="636"/>
      <c r="C7" s="636"/>
      <c r="G7" s="676"/>
      <c r="H7" s="676"/>
      <c r="I7" s="676"/>
      <c r="J7" s="1450" t="s">
        <v>55</v>
      </c>
      <c r="K7" s="1450"/>
      <c r="L7" s="1654" t="str">
        <f>IF('5. Bulk y Rice'!K7="","",'5. Bulk y Rice'!K7)</f>
        <v/>
      </c>
      <c r="M7" s="1654"/>
      <c r="N7" s="1654"/>
      <c r="O7" s="656"/>
      <c r="P7" s="542" t="s">
        <v>306</v>
      </c>
      <c r="AH7" s="34"/>
      <c r="AI7" s="34"/>
      <c r="AQ7" s="34"/>
      <c r="AR7" s="34"/>
      <c r="AS7" s="34"/>
      <c r="AT7" s="34"/>
      <c r="AU7" s="34"/>
      <c r="AV7" s="34"/>
      <c r="AW7" s="34"/>
      <c r="AX7" s="34"/>
    </row>
    <row r="8" spans="1:51" ht="15" customHeight="1" x14ac:dyDescent="0.3">
      <c r="A8" s="635"/>
      <c r="B8" s="636"/>
      <c r="C8" s="636"/>
      <c r="D8" s="676"/>
      <c r="E8" s="676"/>
      <c r="G8" s="677"/>
      <c r="H8" s="677"/>
      <c r="I8" s="677"/>
      <c r="J8" s="677"/>
      <c r="L8" s="1336" t="str">
        <f>'5. Bulk y Rice'!L8</f>
        <v>Pagina xx de xx</v>
      </c>
      <c r="M8" s="1336"/>
      <c r="N8" s="1336"/>
      <c r="O8" s="657"/>
      <c r="P8" s="546">
        <v>0</v>
      </c>
      <c r="AH8" s="34"/>
      <c r="AI8" s="34"/>
      <c r="AQ8" s="34"/>
      <c r="AR8" s="34"/>
      <c r="AS8" s="34"/>
      <c r="AT8" s="34"/>
      <c r="AU8" s="34"/>
      <c r="AV8" s="34"/>
      <c r="AW8" s="34"/>
      <c r="AX8" s="34"/>
    </row>
    <row r="9" spans="1:51" ht="15" customHeight="1" x14ac:dyDescent="0.3">
      <c r="A9" s="640"/>
      <c r="B9" s="641"/>
      <c r="C9" s="641"/>
      <c r="D9" s="655"/>
      <c r="E9" s="655"/>
      <c r="F9" s="655"/>
      <c r="G9" s="655"/>
      <c r="H9" s="655"/>
      <c r="I9" s="655"/>
      <c r="J9" s="655"/>
      <c r="K9" s="641"/>
      <c r="L9" s="641"/>
      <c r="M9" s="658"/>
      <c r="N9" s="658"/>
      <c r="O9" s="657"/>
      <c r="P9" s="550" t="s">
        <v>307</v>
      </c>
      <c r="Q9" s="34"/>
      <c r="R9" s="34"/>
      <c r="S9" s="34"/>
      <c r="T9" s="34"/>
      <c r="U9" s="34"/>
      <c r="V9" s="34"/>
      <c r="W9" s="34"/>
      <c r="X9" s="34"/>
      <c r="Y9" s="34"/>
      <c r="AH9" s="34"/>
      <c r="AI9" s="34"/>
      <c r="AQ9" s="34"/>
      <c r="AR9" s="34"/>
      <c r="AS9" s="34"/>
      <c r="AT9" s="34"/>
      <c r="AU9" s="34"/>
      <c r="AV9" s="34"/>
      <c r="AW9" s="34"/>
      <c r="AX9" s="34"/>
    </row>
    <row r="10" spans="1:51" ht="30" customHeight="1" x14ac:dyDescent="0.3">
      <c r="A10" s="1579" t="s">
        <v>472</v>
      </c>
      <c r="B10" s="1580"/>
      <c r="C10" s="1580"/>
      <c r="D10" s="1580"/>
      <c r="E10" s="1580"/>
      <c r="F10" s="1580"/>
      <c r="G10" s="1580"/>
      <c r="H10" s="1580"/>
      <c r="I10" s="1580"/>
      <c r="J10" s="1580"/>
      <c r="K10" s="1580"/>
      <c r="L10" s="1580"/>
      <c r="M10" s="1580"/>
      <c r="N10" s="1580"/>
      <c r="O10" s="1581"/>
      <c r="P10" s="550">
        <v>0</v>
      </c>
      <c r="Q10" s="190"/>
      <c r="R10" s="190"/>
      <c r="S10" s="190"/>
      <c r="T10" s="190"/>
      <c r="U10" s="190"/>
      <c r="V10" s="190"/>
      <c r="W10" s="190"/>
      <c r="X10" s="190"/>
      <c r="Y10" s="34"/>
      <c r="AB10" s="2"/>
      <c r="AH10" s="34"/>
      <c r="AI10" s="34"/>
      <c r="AQ10" s="34"/>
      <c r="AR10" s="34"/>
      <c r="AS10" s="34"/>
      <c r="AT10" s="34"/>
      <c r="AU10" s="34"/>
      <c r="AV10" s="34"/>
      <c r="AW10" s="34"/>
      <c r="AX10" s="34"/>
    </row>
    <row r="11" spans="1:51" ht="15" customHeight="1" thickBot="1" x14ac:dyDescent="0.35">
      <c r="A11" s="1536" t="s">
        <v>124</v>
      </c>
      <c r="B11" s="1537"/>
      <c r="C11" s="1537"/>
      <c r="D11" s="1537"/>
      <c r="E11" s="517"/>
      <c r="F11" s="517"/>
      <c r="G11" s="960"/>
      <c r="H11" s="1538" t="s">
        <v>6</v>
      </c>
      <c r="I11" s="1538"/>
      <c r="J11" s="961">
        <v>1</v>
      </c>
      <c r="K11" s="961">
        <v>2</v>
      </c>
      <c r="L11" s="961">
        <v>3</v>
      </c>
      <c r="M11" s="961">
        <v>4</v>
      </c>
      <c r="N11" s="1671"/>
      <c r="O11" s="1672"/>
      <c r="P11" s="552" t="s">
        <v>308</v>
      </c>
      <c r="Q11" s="190"/>
      <c r="R11" s="190"/>
      <c r="S11" s="190"/>
      <c r="T11" s="190"/>
      <c r="U11" s="190"/>
      <c r="V11" s="190"/>
      <c r="W11" s="190"/>
      <c r="X11" s="190"/>
      <c r="Y11" s="34"/>
      <c r="AB11" s="2"/>
      <c r="AH11" s="34"/>
      <c r="AI11" s="34"/>
      <c r="AQ11" s="34"/>
      <c r="AR11" s="34"/>
      <c r="AS11" s="34"/>
      <c r="AT11" s="34"/>
      <c r="AU11" s="34"/>
      <c r="AV11" s="34"/>
      <c r="AW11" s="34"/>
      <c r="AX11" s="34"/>
    </row>
    <row r="12" spans="1:51" ht="15" customHeight="1" thickTop="1" x14ac:dyDescent="0.3">
      <c r="A12" s="1541" t="s">
        <v>187</v>
      </c>
      <c r="B12" s="1542"/>
      <c r="C12" s="1542"/>
      <c r="D12" s="1542"/>
      <c r="E12" s="1542"/>
      <c r="F12" s="1542"/>
      <c r="G12" s="1542"/>
      <c r="H12" s="1543" t="s">
        <v>10</v>
      </c>
      <c r="I12" s="1543"/>
      <c r="J12" s="605" t="str">
        <f>'5. Bulk y Rice'!J12</f>
        <v/>
      </c>
      <c r="K12" s="605" t="str">
        <f>'5. Bulk y Rice'!K12</f>
        <v/>
      </c>
      <c r="L12" s="605" t="str">
        <f>'5. Bulk y Rice'!L12</f>
        <v/>
      </c>
      <c r="M12" s="605" t="str">
        <f>'5. Bulk y Rice'!M12</f>
        <v/>
      </c>
      <c r="N12" s="1671"/>
      <c r="O12" s="1672"/>
      <c r="P12" s="154"/>
      <c r="Q12" s="1668" t="s">
        <v>231</v>
      </c>
      <c r="R12" s="1669"/>
      <c r="S12" s="1669"/>
      <c r="T12" s="1669"/>
      <c r="U12" s="1669"/>
      <c r="V12" s="1669"/>
      <c r="W12" s="1669"/>
      <c r="X12" s="1670"/>
      <c r="Y12" s="34"/>
      <c r="AB12" s="2"/>
      <c r="AH12" s="34"/>
      <c r="AI12" s="34"/>
      <c r="AQ12" s="34"/>
      <c r="AR12" s="34"/>
      <c r="AS12" s="34"/>
      <c r="AT12" s="34"/>
      <c r="AU12" s="34"/>
      <c r="AV12" s="34"/>
      <c r="AW12" s="34"/>
      <c r="AX12" s="34"/>
    </row>
    <row r="13" spans="1:51" ht="15" customHeight="1" x14ac:dyDescent="0.3">
      <c r="A13" s="1541" t="s">
        <v>317</v>
      </c>
      <c r="B13" s="1545"/>
      <c r="C13" s="1545"/>
      <c r="D13" s="1545"/>
      <c r="E13" s="1545"/>
      <c r="F13" s="1545"/>
      <c r="G13" s="1545"/>
      <c r="H13" s="1543" t="s">
        <v>10</v>
      </c>
      <c r="I13" s="1543"/>
      <c r="J13" s="605" t="str">
        <f>'5. Bulk y Rice'!J13</f>
        <v/>
      </c>
      <c r="K13" s="605" t="str">
        <f>'5. Bulk y Rice'!K13</f>
        <v/>
      </c>
      <c r="L13" s="605" t="str">
        <f>'5. Bulk y Rice'!L13</f>
        <v/>
      </c>
      <c r="M13" s="605" t="str">
        <f>'5. Bulk y Rice'!M13</f>
        <v/>
      </c>
      <c r="N13" s="1671"/>
      <c r="O13" s="1672"/>
      <c r="P13" s="1007"/>
      <c r="Q13" s="1662">
        <v>1</v>
      </c>
      <c r="R13" s="1663"/>
      <c r="S13" s="1664">
        <v>2</v>
      </c>
      <c r="T13" s="1663"/>
      <c r="U13" s="1664">
        <v>3</v>
      </c>
      <c r="V13" s="1663"/>
      <c r="W13" s="1664">
        <v>4</v>
      </c>
      <c r="X13" s="1667"/>
      <c r="Y13" s="34"/>
      <c r="AB13" s="2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</row>
    <row r="14" spans="1:51" ht="15" customHeight="1" x14ac:dyDescent="0.3">
      <c r="A14" s="1544" t="s">
        <v>71</v>
      </c>
      <c r="B14" s="1545"/>
      <c r="C14" s="1545"/>
      <c r="D14" s="1545"/>
      <c r="E14" s="1545"/>
      <c r="F14" s="1545"/>
      <c r="G14" s="1545"/>
      <c r="H14" s="1546" t="s">
        <v>60</v>
      </c>
      <c r="I14" s="1546"/>
      <c r="J14" s="605">
        <f>'5. Bulk y Rice'!J14</f>
        <v>0</v>
      </c>
      <c r="K14" s="605" t="str">
        <f>'5. Bulk y Rice'!K14</f>
        <v/>
      </c>
      <c r="L14" s="605" t="str">
        <f>'5. Bulk y Rice'!L14</f>
        <v/>
      </c>
      <c r="M14" s="605" t="str">
        <f>'5. Bulk y Rice'!M14</f>
        <v/>
      </c>
      <c r="N14" s="1671"/>
      <c r="O14" s="1672"/>
      <c r="P14" s="1007"/>
      <c r="Q14" s="1006"/>
      <c r="R14" s="271"/>
      <c r="S14" s="271"/>
      <c r="T14" s="271"/>
      <c r="U14" s="271"/>
      <c r="V14" s="271"/>
      <c r="W14" s="271"/>
      <c r="X14" s="272"/>
      <c r="Y14" s="39"/>
      <c r="AB14" s="2"/>
      <c r="AH14" s="39"/>
      <c r="AI14" s="39"/>
      <c r="AJ14" s="39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</row>
    <row r="15" spans="1:51" ht="30" customHeight="1" thickBot="1" x14ac:dyDescent="0.35">
      <c r="A15" s="1544" t="s">
        <v>125</v>
      </c>
      <c r="B15" s="1545"/>
      <c r="C15" s="1545"/>
      <c r="D15" s="1545"/>
      <c r="E15" s="1545"/>
      <c r="F15" s="1545"/>
      <c r="G15" s="1545"/>
      <c r="H15" s="1543" t="s">
        <v>37</v>
      </c>
      <c r="I15" s="1543"/>
      <c r="J15" s="605">
        <f>'5. Bulk y Rice'!J15</f>
        <v>0</v>
      </c>
      <c r="K15" s="605">
        <f>'5. Bulk y Rice'!K15</f>
        <v>0</v>
      </c>
      <c r="L15" s="605">
        <f>'5. Bulk y Rice'!L15</f>
        <v>0</v>
      </c>
      <c r="M15" s="605">
        <f>'5. Bulk y Rice'!M15</f>
        <v>0</v>
      </c>
      <c r="N15" s="1671"/>
      <c r="O15" s="1672"/>
      <c r="P15" s="1005"/>
      <c r="Q15" s="1004"/>
      <c r="R15" s="273"/>
      <c r="S15" s="273"/>
      <c r="T15" s="273"/>
      <c r="U15" s="273"/>
      <c r="V15" s="273"/>
      <c r="W15" s="273"/>
      <c r="X15" s="274"/>
      <c r="Y15" s="1"/>
      <c r="AB15" s="2"/>
      <c r="AH15" s="39"/>
      <c r="AI15" s="39"/>
      <c r="AJ15" s="39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</row>
    <row r="16" spans="1:51" ht="30" customHeight="1" thickTop="1" thickBot="1" x14ac:dyDescent="0.35">
      <c r="A16" s="1544" t="s">
        <v>126</v>
      </c>
      <c r="B16" s="1545"/>
      <c r="C16" s="1545"/>
      <c r="D16" s="1545"/>
      <c r="E16" s="1545"/>
      <c r="F16" s="1545"/>
      <c r="G16" s="1545"/>
      <c r="H16" s="1543" t="s">
        <v>37</v>
      </c>
      <c r="I16" s="1543"/>
      <c r="J16" s="605">
        <f>'5. Bulk y Rice'!J16</f>
        <v>0</v>
      </c>
      <c r="K16" s="605">
        <f>'5. Bulk y Rice'!K16</f>
        <v>0</v>
      </c>
      <c r="L16" s="605">
        <f>'5. Bulk y Rice'!L16</f>
        <v>0</v>
      </c>
      <c r="M16" s="605">
        <f>'5. Bulk y Rice'!M16</f>
        <v>0</v>
      </c>
      <c r="N16" s="1671"/>
      <c r="O16" s="1672"/>
      <c r="P16" s="1005"/>
      <c r="Q16" s="190"/>
      <c r="R16" s="190"/>
      <c r="S16" s="190"/>
      <c r="T16" s="190"/>
      <c r="U16" s="190"/>
      <c r="V16" s="190"/>
      <c r="W16" s="190"/>
      <c r="X16" s="190"/>
      <c r="Y16" s="1"/>
      <c r="AG16" s="39"/>
      <c r="AH16" s="39"/>
      <c r="AI16" s="39"/>
      <c r="AJ16" s="39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</row>
    <row r="17" spans="1:55" ht="30" customHeight="1" thickTop="1" x14ac:dyDescent="0.3">
      <c r="A17" s="1541" t="s">
        <v>188</v>
      </c>
      <c r="B17" s="1542"/>
      <c r="C17" s="1542"/>
      <c r="D17" s="1542"/>
      <c r="E17" s="1542"/>
      <c r="F17" s="1542"/>
      <c r="G17" s="1542"/>
      <c r="H17" s="1543" t="s">
        <v>37</v>
      </c>
      <c r="I17" s="1543"/>
      <c r="J17" s="605">
        <f>'5. Bulk y Rice'!J17</f>
        <v>0</v>
      </c>
      <c r="K17" s="605">
        <f>'5. Bulk y Rice'!K17</f>
        <v>0</v>
      </c>
      <c r="L17" s="605">
        <f>'5. Bulk y Rice'!L17</f>
        <v>0</v>
      </c>
      <c r="M17" s="605">
        <f>'5. Bulk y Rice'!M17</f>
        <v>0</v>
      </c>
      <c r="N17" s="1671"/>
      <c r="O17" s="1672"/>
      <c r="P17" s="1003"/>
      <c r="Q17" s="1668" t="s">
        <v>251</v>
      </c>
      <c r="R17" s="1669"/>
      <c r="S17" s="1669"/>
      <c r="T17" s="1669"/>
      <c r="U17" s="1669"/>
      <c r="V17" s="1669"/>
      <c r="W17" s="1669"/>
      <c r="X17" s="1670"/>
      <c r="Y17" s="2"/>
      <c r="AG17" s="39"/>
      <c r="AH17" s="39"/>
      <c r="AI17" s="39"/>
      <c r="AJ17" s="39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</row>
    <row r="18" spans="1:55" ht="30" customHeight="1" x14ac:dyDescent="0.3">
      <c r="A18" s="1541" t="s">
        <v>175</v>
      </c>
      <c r="B18" s="1542"/>
      <c r="C18" s="1542"/>
      <c r="D18" s="1542"/>
      <c r="E18" s="1542"/>
      <c r="F18" s="1542"/>
      <c r="G18" s="1542"/>
      <c r="H18" s="1543" t="s">
        <v>37</v>
      </c>
      <c r="I18" s="1543"/>
      <c r="J18" s="605" t="str">
        <f>'5. Bulk y Rice'!J18</f>
        <v/>
      </c>
      <c r="K18" s="605" t="str">
        <f>'5. Bulk y Rice'!K18</f>
        <v/>
      </c>
      <c r="L18" s="605" t="str">
        <f>'5. Bulk y Rice'!L18</f>
        <v/>
      </c>
      <c r="M18" s="605" t="str">
        <f>'5. Bulk y Rice'!M18</f>
        <v/>
      </c>
      <c r="N18" s="1567" t="s">
        <v>5</v>
      </c>
      <c r="O18" s="1568"/>
      <c r="P18" s="1003"/>
      <c r="Q18" s="1662">
        <v>1</v>
      </c>
      <c r="R18" s="1663"/>
      <c r="S18" s="1664">
        <v>2</v>
      </c>
      <c r="T18" s="1663"/>
      <c r="U18" s="1664">
        <v>3</v>
      </c>
      <c r="V18" s="1663"/>
      <c r="W18" s="1664">
        <v>4</v>
      </c>
      <c r="X18" s="1667"/>
      <c r="Y18" s="39"/>
      <c r="Z18" s="525"/>
      <c r="AA18" s="166"/>
      <c r="AB18" s="166"/>
      <c r="AC18" s="192"/>
      <c r="AD18" s="192"/>
      <c r="AE18" s="39"/>
      <c r="AF18" s="39"/>
      <c r="AG18" s="39"/>
      <c r="AH18" s="39"/>
      <c r="AI18" s="39"/>
      <c r="AJ18" s="39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</row>
    <row r="19" spans="1:55" ht="30" customHeight="1" thickBot="1" x14ac:dyDescent="0.35">
      <c r="A19" s="1559" t="s">
        <v>115</v>
      </c>
      <c r="B19" s="1560"/>
      <c r="C19" s="1560"/>
      <c r="D19" s="1560"/>
      <c r="E19" s="1560"/>
      <c r="F19" s="1560"/>
      <c r="G19" s="1560"/>
      <c r="H19" s="1561"/>
      <c r="I19" s="1561"/>
      <c r="J19" s="963" t="str">
        <f>'5. Bulk y Rice'!J19</f>
        <v/>
      </c>
      <c r="K19" s="963" t="str">
        <f>'5. Bulk y Rice'!K19</f>
        <v/>
      </c>
      <c r="L19" s="963" t="str">
        <f>'5. Bulk y Rice'!L19</f>
        <v/>
      </c>
      <c r="M19" s="963" t="str">
        <f>'5. Bulk y Rice'!M19</f>
        <v/>
      </c>
      <c r="N19" s="1655" t="str">
        <f>IF(J19="","",+AVERAGE(J19:M19))</f>
        <v/>
      </c>
      <c r="O19" s="1656"/>
      <c r="P19" s="1003"/>
      <c r="Q19" s="1004"/>
      <c r="R19" s="273"/>
      <c r="S19" s="273"/>
      <c r="T19" s="273"/>
      <c r="U19" s="273"/>
      <c r="V19" s="273"/>
      <c r="W19" s="273"/>
      <c r="X19" s="274"/>
      <c r="Y19" s="2"/>
      <c r="AH19" s="39"/>
      <c r="AI19" s="39"/>
      <c r="AJ19" s="84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15"/>
      <c r="BA19" s="15"/>
      <c r="BB19" s="15"/>
      <c r="BC19" s="15"/>
    </row>
    <row r="20" spans="1:55" ht="30" customHeight="1" thickTop="1" x14ac:dyDescent="0.3">
      <c r="A20" s="1544" t="s">
        <v>189</v>
      </c>
      <c r="B20" s="1545"/>
      <c r="C20" s="1545"/>
      <c r="D20" s="1545"/>
      <c r="E20" s="1545"/>
      <c r="F20" s="1545"/>
      <c r="G20" s="1545"/>
      <c r="H20" s="1543" t="s">
        <v>318</v>
      </c>
      <c r="I20" s="1543"/>
      <c r="J20" s="605" t="str">
        <f>'5. Bulk y Rice'!J20</f>
        <v/>
      </c>
      <c r="K20" s="605" t="str">
        <f>'5. Bulk y Rice'!K20</f>
        <v/>
      </c>
      <c r="L20" s="605" t="str">
        <f>'5. Bulk y Rice'!L20</f>
        <v/>
      </c>
      <c r="M20" s="605" t="str">
        <f>'5. Bulk y Rice'!M20</f>
        <v/>
      </c>
      <c r="N20" s="1675" t="str">
        <f>IF(J20="","",+AVERAGE(J20:M20))</f>
        <v/>
      </c>
      <c r="O20" s="1676"/>
      <c r="P20" s="1003"/>
      <c r="Q20" s="190"/>
      <c r="R20" s="190"/>
      <c r="S20" s="190"/>
      <c r="T20" s="190"/>
      <c r="U20" s="190"/>
      <c r="V20" s="234"/>
      <c r="W20" s="234"/>
      <c r="X20" s="234"/>
      <c r="Y20" s="2"/>
      <c r="AH20" s="85"/>
      <c r="AI20" s="85"/>
      <c r="AJ20" s="84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15"/>
      <c r="BA20" s="15"/>
      <c r="BB20" s="15"/>
      <c r="BC20" s="15"/>
    </row>
    <row r="21" spans="1:55" ht="30" customHeight="1" x14ac:dyDescent="0.3">
      <c r="A21" s="1591" t="s">
        <v>116</v>
      </c>
      <c r="B21" s="1592"/>
      <c r="C21" s="1592"/>
      <c r="D21" s="1592"/>
      <c r="E21" s="1592"/>
      <c r="F21" s="1592"/>
      <c r="G21" s="1592"/>
      <c r="H21" s="1593" t="s">
        <v>36</v>
      </c>
      <c r="I21" s="1593"/>
      <c r="J21" s="605" t="str">
        <f>'5. Bulk y Rice'!J21</f>
        <v/>
      </c>
      <c r="K21" s="605" t="str">
        <f>'5. Bulk y Rice'!K21</f>
        <v/>
      </c>
      <c r="L21" s="605" t="str">
        <f>'5. Bulk y Rice'!L21</f>
        <v/>
      </c>
      <c r="M21" s="605" t="str">
        <f>'5. Bulk y Rice'!M21</f>
        <v/>
      </c>
      <c r="N21" s="1657" t="str">
        <f>IF(J21="","",+AVERAGE(J21:M21))</f>
        <v/>
      </c>
      <c r="O21" s="1658"/>
      <c r="P21" s="1003"/>
      <c r="Q21" s="190"/>
      <c r="R21" s="190"/>
      <c r="S21" s="190"/>
      <c r="T21" s="190"/>
      <c r="U21" s="190"/>
      <c r="V21" s="234"/>
      <c r="W21" s="234"/>
      <c r="X21" s="234"/>
      <c r="Y21" s="2"/>
      <c r="AH21" s="85"/>
      <c r="AI21" s="85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15"/>
      <c r="BA21" s="15"/>
      <c r="BB21" s="15"/>
      <c r="BC21" s="15"/>
    </row>
    <row r="22" spans="1:55" ht="30" customHeight="1" x14ac:dyDescent="0.3">
      <c r="A22" s="1659" t="s">
        <v>122</v>
      </c>
      <c r="B22" s="1660"/>
      <c r="C22" s="1660"/>
      <c r="D22" s="1660"/>
      <c r="E22" s="1660"/>
      <c r="F22" s="1660"/>
      <c r="G22" s="1660"/>
      <c r="H22" s="1660"/>
      <c r="I22" s="1660"/>
      <c r="J22" s="1660"/>
      <c r="K22" s="1660"/>
      <c r="L22" s="1660"/>
      <c r="M22" s="1660"/>
      <c r="N22" s="1660"/>
      <c r="O22" s="1661"/>
      <c r="P22" s="1003"/>
      <c r="Q22" s="190"/>
      <c r="R22" s="190"/>
      <c r="S22" s="190"/>
      <c r="T22" s="190"/>
      <c r="U22" s="190"/>
      <c r="V22" s="234"/>
      <c r="W22" s="234"/>
      <c r="X22" s="234"/>
      <c r="Y22" s="2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15"/>
      <c r="BA22" s="15"/>
      <c r="BB22" s="15"/>
      <c r="BC22" s="15"/>
    </row>
    <row r="23" spans="1:55" ht="15" customHeight="1" x14ac:dyDescent="0.3">
      <c r="A23" s="1599" t="s">
        <v>80</v>
      </c>
      <c r="B23" s="1600"/>
      <c r="C23" s="1600"/>
      <c r="D23" s="1600"/>
      <c r="E23" s="1600"/>
      <c r="F23" s="679"/>
      <c r="G23" s="1601" t="str">
        <f>'5. Bulk y Rice'!G23</f>
        <v/>
      </c>
      <c r="H23" s="1602"/>
      <c r="I23" s="1603" t="s">
        <v>177</v>
      </c>
      <c r="J23" s="1600"/>
      <c r="K23" s="1600"/>
      <c r="L23" s="1600" t="s">
        <v>319</v>
      </c>
      <c r="M23" s="1600"/>
      <c r="N23" s="1600"/>
      <c r="O23" s="1604"/>
      <c r="P23" s="1003"/>
      <c r="Q23" s="190"/>
      <c r="R23" s="190"/>
      <c r="S23" s="190"/>
      <c r="T23" s="190"/>
      <c r="U23" s="190"/>
      <c r="V23" s="234"/>
      <c r="W23" s="234"/>
      <c r="X23" s="234"/>
      <c r="Y23" s="2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15"/>
      <c r="BA23" s="15"/>
      <c r="BB23" s="15"/>
      <c r="BC23" s="15"/>
    </row>
    <row r="24" spans="1:55" ht="30" customHeight="1" thickBot="1" x14ac:dyDescent="0.35">
      <c r="A24" s="1626" t="s">
        <v>97</v>
      </c>
      <c r="B24" s="1627"/>
      <c r="C24" s="1627"/>
      <c r="D24" s="1627"/>
      <c r="E24" s="1627"/>
      <c r="F24" s="598" t="s">
        <v>37</v>
      </c>
      <c r="G24" s="1582">
        <f>'5. Bulk y Rice'!G24</f>
        <v>0</v>
      </c>
      <c r="H24" s="1583"/>
      <c r="I24" s="1584" t="s">
        <v>81</v>
      </c>
      <c r="J24" s="1585"/>
      <c r="K24" s="1585"/>
      <c r="L24" s="1585" t="s">
        <v>320</v>
      </c>
      <c r="M24" s="1585"/>
      <c r="N24" s="1585"/>
      <c r="O24" s="1628"/>
      <c r="P24" s="1003"/>
      <c r="Q24" s="190"/>
      <c r="R24" s="190"/>
      <c r="S24" s="190"/>
      <c r="T24" s="190"/>
      <c r="U24" s="190"/>
      <c r="V24" s="234"/>
      <c r="W24" s="190"/>
      <c r="X24" s="190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15"/>
      <c r="BA24" s="15"/>
      <c r="BB24" s="15"/>
      <c r="BC24" s="15"/>
    </row>
    <row r="25" spans="1:55" ht="30" customHeight="1" thickTop="1" x14ac:dyDescent="0.3">
      <c r="A25" s="1649" t="s">
        <v>114</v>
      </c>
      <c r="B25" s="1650"/>
      <c r="C25" s="1650"/>
      <c r="D25" s="1650"/>
      <c r="E25" s="1650"/>
      <c r="F25" s="598" t="s">
        <v>37</v>
      </c>
      <c r="G25" s="1582">
        <f>'5. Bulk y Rice'!G25</f>
        <v>0</v>
      </c>
      <c r="H25" s="1583"/>
      <c r="I25" s="1584" t="s">
        <v>105</v>
      </c>
      <c r="J25" s="1585"/>
      <c r="K25" s="1585"/>
      <c r="L25" s="1586" t="str">
        <f>'5. Bulk y Rice'!L25</f>
        <v/>
      </c>
      <c r="M25" s="1586"/>
      <c r="N25" s="1586"/>
      <c r="O25" s="1587"/>
      <c r="P25" s="82"/>
      <c r="Q25" s="190"/>
      <c r="R25" s="1002" t="s">
        <v>442</v>
      </c>
      <c r="S25" s="1001" t="s">
        <v>441</v>
      </c>
      <c r="T25" s="1000" t="s">
        <v>254</v>
      </c>
      <c r="U25" s="999"/>
      <c r="V25" s="190"/>
      <c r="W25" s="190"/>
      <c r="X25" s="190"/>
      <c r="AG25" s="1629"/>
      <c r="AH25" s="1629"/>
      <c r="AI25" s="1629"/>
      <c r="AK25" s="221"/>
      <c r="AL25" s="221"/>
      <c r="AM25" s="221"/>
      <c r="AN25" s="221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15"/>
      <c r="BA25" s="15"/>
      <c r="BB25" s="15"/>
      <c r="BC25" s="15"/>
    </row>
    <row r="26" spans="1:55" ht="30" customHeight="1" x14ac:dyDescent="0.3">
      <c r="A26" s="1616" t="s">
        <v>159</v>
      </c>
      <c r="B26" s="1617"/>
      <c r="C26" s="1617"/>
      <c r="D26" s="1617"/>
      <c r="E26" s="1617"/>
      <c r="F26" s="598" t="s">
        <v>37</v>
      </c>
      <c r="G26" s="1582" t="str">
        <f>'5. Bulk y Rice'!G26</f>
        <v/>
      </c>
      <c r="H26" s="1583"/>
      <c r="I26" s="998" t="str">
        <f>+IF(D8="","",IF(U26="No cumple"," La muestra no cumple con el tamaño minimo",""))</f>
        <v/>
      </c>
      <c r="J26" s="997"/>
      <c r="K26" s="997"/>
      <c r="L26" s="997"/>
      <c r="M26" s="997"/>
      <c r="N26" s="997"/>
      <c r="O26" s="996"/>
      <c r="Q26" s="190"/>
      <c r="R26" s="992" t="s">
        <v>165</v>
      </c>
      <c r="S26" s="991">
        <v>5000</v>
      </c>
      <c r="T26" s="190" t="str">
        <f>+IF(AND($L$25=R26,$G$24&lt;S26),"No cumple","Cumple")</f>
        <v>Cumple</v>
      </c>
      <c r="U26" s="1665" t="e">
        <f>+VLOOKUP(L25,R26:T29,3,0)</f>
        <v>#N/A</v>
      </c>
      <c r="V26" s="523"/>
      <c r="W26" s="190"/>
      <c r="X26" s="190"/>
      <c r="AG26" s="680"/>
      <c r="AH26" s="680"/>
      <c r="AI26" s="680"/>
      <c r="AK26" s="223"/>
      <c r="AL26" s="223"/>
      <c r="AM26" s="223"/>
      <c r="AN26" s="223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15"/>
      <c r="BA26" s="15"/>
      <c r="BB26" s="15"/>
      <c r="BC26" s="15"/>
    </row>
    <row r="27" spans="1:55" ht="30" customHeight="1" x14ac:dyDescent="0.3">
      <c r="A27" s="1620" t="s">
        <v>117</v>
      </c>
      <c r="B27" s="1621"/>
      <c r="C27" s="1621"/>
      <c r="D27" s="1621"/>
      <c r="E27" s="1621"/>
      <c r="F27" s="681"/>
      <c r="G27" s="1673" t="str">
        <f>+'5. Bulk y Rice'!G27</f>
        <v/>
      </c>
      <c r="H27" s="1674"/>
      <c r="I27" s="995"/>
      <c r="J27" s="994"/>
      <c r="K27" s="994"/>
      <c r="L27" s="994"/>
      <c r="M27" s="994"/>
      <c r="N27" s="994"/>
      <c r="O27" s="993"/>
      <c r="Q27" s="190"/>
      <c r="R27" s="992" t="s">
        <v>0</v>
      </c>
      <c r="S27" s="991">
        <v>2500</v>
      </c>
      <c r="T27" s="190" t="str">
        <f>+IF(AND($L$25=R27,$G$24&lt;S27),"No cumple","Cumple")</f>
        <v>Cumple</v>
      </c>
      <c r="U27" s="1665"/>
      <c r="V27" s="275"/>
      <c r="W27" s="190"/>
      <c r="X27" s="190"/>
      <c r="AG27" s="201"/>
      <c r="AH27" s="201"/>
      <c r="AI27" s="201"/>
      <c r="AK27" s="223"/>
      <c r="AL27" s="223"/>
      <c r="AM27" s="223"/>
      <c r="AN27" s="223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15"/>
      <c r="BA27" s="15"/>
      <c r="BB27" s="15"/>
      <c r="BC27" s="15"/>
    </row>
    <row r="28" spans="1:55" ht="15" customHeight="1" x14ac:dyDescent="0.3">
      <c r="A28" s="682"/>
      <c r="B28" s="683"/>
      <c r="C28" s="683"/>
      <c r="D28" s="683"/>
      <c r="E28" s="683"/>
      <c r="F28" s="684"/>
      <c r="G28" s="685"/>
      <c r="H28" s="685"/>
      <c r="I28" s="685"/>
      <c r="J28" s="685"/>
      <c r="K28" s="685"/>
      <c r="L28" s="685"/>
      <c r="M28" s="685"/>
      <c r="N28" s="685"/>
      <c r="O28" s="686"/>
      <c r="Q28" s="190"/>
      <c r="R28" s="992" t="s">
        <v>1</v>
      </c>
      <c r="S28" s="991">
        <v>2500</v>
      </c>
      <c r="T28" s="190" t="str">
        <f>+IF(AND($L$25=R28,$G$24&lt;S28),"No cumple","Cumple")</f>
        <v>Cumple</v>
      </c>
      <c r="U28" s="1665"/>
      <c r="V28" s="275"/>
      <c r="W28" s="190"/>
      <c r="X28" s="190"/>
      <c r="AK28" s="223"/>
      <c r="AL28" s="223"/>
      <c r="AM28" s="223"/>
      <c r="AN28" s="223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15"/>
      <c r="BA28" s="15"/>
      <c r="BB28" s="15"/>
      <c r="BC28" s="15"/>
    </row>
    <row r="29" spans="1:55" ht="15" customHeight="1" thickBot="1" x14ac:dyDescent="0.35">
      <c r="A29" s="687"/>
      <c r="B29" s="1624" t="s">
        <v>50</v>
      </c>
      <c r="C29" s="1624"/>
      <c r="D29" s="1624"/>
      <c r="E29" s="980" t="str">
        <f>IF(L7="","","Bulk:")</f>
        <v/>
      </c>
      <c r="F29" s="1625">
        <f>'5. Bulk y Rice'!F29</f>
        <v>0</v>
      </c>
      <c r="G29" s="1625"/>
      <c r="H29" s="1625"/>
      <c r="I29" s="981" t="str">
        <f>IF(L7="","","Rice:")</f>
        <v/>
      </c>
      <c r="J29" s="1625">
        <f>'5. Bulk y Rice'!J29</f>
        <v>0</v>
      </c>
      <c r="K29" s="1625"/>
      <c r="L29" s="688"/>
      <c r="M29" s="688"/>
      <c r="N29" s="688"/>
      <c r="O29" s="689"/>
      <c r="Q29" s="190"/>
      <c r="R29" s="990" t="s">
        <v>4</v>
      </c>
      <c r="S29" s="989">
        <v>1500</v>
      </c>
      <c r="T29" s="988" t="str">
        <f>+IF(AND($L$25=R29,$G$24&lt;S29),"No cumple","Cumple")</f>
        <v>Cumple</v>
      </c>
      <c r="U29" s="1666"/>
      <c r="V29" s="828"/>
      <c r="W29" s="190"/>
      <c r="X29" s="190"/>
      <c r="Z29" s="164"/>
      <c r="AA29" s="162"/>
      <c r="AB29" s="690"/>
      <c r="AC29" s="690"/>
      <c r="AD29" s="212"/>
      <c r="AE29" s="212"/>
      <c r="AF29" s="212"/>
      <c r="AG29" s="201"/>
      <c r="AH29" s="201"/>
      <c r="AI29" s="201"/>
      <c r="AK29" s="223"/>
      <c r="AL29" s="223"/>
      <c r="AM29" s="223"/>
      <c r="AN29" s="223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15"/>
      <c r="BA29" s="15"/>
      <c r="BB29" s="15"/>
      <c r="BC29" s="15"/>
    </row>
    <row r="30" spans="1:55" ht="15" customHeight="1" thickTop="1" x14ac:dyDescent="0.3">
      <c r="A30" s="691"/>
      <c r="B30" s="692"/>
      <c r="C30" s="692"/>
      <c r="D30" s="692"/>
      <c r="E30" s="692"/>
      <c r="F30" s="692"/>
      <c r="G30" s="692"/>
      <c r="H30" s="692"/>
      <c r="I30" s="692"/>
      <c r="J30" s="692"/>
      <c r="K30" s="692"/>
      <c r="L30" s="692"/>
      <c r="M30" s="692"/>
      <c r="N30" s="692"/>
      <c r="O30" s="693"/>
      <c r="Q30" s="190"/>
      <c r="R30" s="283"/>
      <c r="S30" s="283"/>
      <c r="T30" s="234"/>
      <c r="U30" s="828"/>
      <c r="V30" s="828"/>
      <c r="W30" s="190"/>
      <c r="X30" s="190"/>
      <c r="AG30" s="201"/>
      <c r="AH30" s="201"/>
      <c r="AI30" s="201"/>
      <c r="AK30" s="223"/>
      <c r="AL30" s="223"/>
      <c r="AM30" s="223"/>
      <c r="AN30" s="223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15"/>
      <c r="BA30" s="15"/>
      <c r="BB30" s="15"/>
      <c r="BC30" s="15"/>
    </row>
    <row r="31" spans="1:55" ht="15" customHeight="1" x14ac:dyDescent="0.3">
      <c r="A31" s="694" t="s">
        <v>3</v>
      </c>
      <c r="B31" s="695"/>
      <c r="C31" s="696"/>
      <c r="D31" s="1653"/>
      <c r="E31" s="1653"/>
      <c r="F31" s="1653"/>
      <c r="G31" s="1653"/>
      <c r="H31" s="1653"/>
      <c r="I31" s="1653"/>
      <c r="J31" s="1653"/>
      <c r="K31" s="1653"/>
      <c r="L31" s="1653"/>
      <c r="M31" s="1653"/>
      <c r="N31" s="1653"/>
      <c r="O31" s="697"/>
      <c r="Q31" s="190"/>
      <c r="R31" s="283"/>
      <c r="S31" s="283"/>
      <c r="T31" s="234"/>
      <c r="U31" s="828"/>
      <c r="V31" s="828"/>
      <c r="W31" s="190"/>
      <c r="X31" s="190"/>
      <c r="AG31" s="201"/>
      <c r="AH31" s="201"/>
      <c r="AI31" s="201"/>
      <c r="AK31" s="223"/>
      <c r="AL31" s="223"/>
      <c r="AM31" s="223"/>
      <c r="AN31" s="223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15"/>
      <c r="BA31" s="15"/>
      <c r="BB31" s="15"/>
      <c r="BC31" s="15"/>
    </row>
    <row r="32" spans="1:55" ht="15" customHeight="1" x14ac:dyDescent="0.3">
      <c r="A32" s="698"/>
      <c r="B32" s="1651"/>
      <c r="C32" s="1651"/>
      <c r="D32" s="1651"/>
      <c r="E32" s="1651"/>
      <c r="F32" s="1651"/>
      <c r="G32" s="1651"/>
      <c r="H32" s="1651"/>
      <c r="I32" s="1651"/>
      <c r="J32" s="1651"/>
      <c r="K32" s="1651"/>
      <c r="L32" s="1651"/>
      <c r="M32" s="1651"/>
      <c r="N32" s="1651"/>
      <c r="O32" s="699"/>
      <c r="Q32" s="190"/>
      <c r="R32" s="283"/>
      <c r="S32" s="283"/>
      <c r="T32" s="234"/>
      <c r="U32" s="828"/>
      <c r="V32" s="828"/>
      <c r="W32" s="190"/>
      <c r="X32" s="190"/>
      <c r="AG32" s="201"/>
      <c r="AH32" s="201"/>
      <c r="AI32" s="201"/>
      <c r="AK32" s="223"/>
      <c r="AL32" s="223"/>
      <c r="AM32" s="223"/>
      <c r="AN32" s="223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15"/>
      <c r="BA32" s="15"/>
      <c r="BB32" s="15"/>
      <c r="BC32" s="15"/>
    </row>
    <row r="33" spans="1:57" ht="15" customHeight="1" x14ac:dyDescent="0.3">
      <c r="A33" s="698"/>
      <c r="B33" s="1651"/>
      <c r="C33" s="1651"/>
      <c r="D33" s="1651"/>
      <c r="E33" s="1651"/>
      <c r="F33" s="1651"/>
      <c r="G33" s="1651"/>
      <c r="H33" s="1651"/>
      <c r="I33" s="1651"/>
      <c r="J33" s="1651"/>
      <c r="K33" s="1651"/>
      <c r="L33" s="1651"/>
      <c r="M33" s="1651"/>
      <c r="N33" s="1651"/>
      <c r="O33" s="699"/>
      <c r="Q33" s="190"/>
      <c r="R33" s="283"/>
      <c r="S33" s="283"/>
      <c r="T33" s="234"/>
      <c r="U33" s="828"/>
      <c r="V33" s="828"/>
      <c r="W33" s="190"/>
      <c r="X33" s="190"/>
      <c r="AG33" s="201"/>
      <c r="AH33" s="201"/>
      <c r="AI33" s="201"/>
      <c r="AK33" s="223"/>
      <c r="AL33" s="223"/>
      <c r="AM33" s="223"/>
      <c r="AN33" s="223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15"/>
      <c r="BA33" s="15"/>
      <c r="BB33" s="15"/>
      <c r="BC33" s="15"/>
    </row>
    <row r="34" spans="1:57" ht="15" customHeight="1" x14ac:dyDescent="0.3">
      <c r="A34" s="698"/>
      <c r="B34" s="1651"/>
      <c r="C34" s="1651"/>
      <c r="D34" s="1651"/>
      <c r="E34" s="1651"/>
      <c r="F34" s="1651"/>
      <c r="G34" s="1651"/>
      <c r="H34" s="1651"/>
      <c r="I34" s="1651"/>
      <c r="J34" s="1651"/>
      <c r="K34" s="1651"/>
      <c r="L34" s="1651"/>
      <c r="M34" s="1651"/>
      <c r="N34" s="1651"/>
      <c r="O34" s="699"/>
      <c r="Q34" s="190"/>
      <c r="R34" s="190"/>
      <c r="S34" s="190"/>
      <c r="T34" s="234"/>
      <c r="U34" s="987"/>
      <c r="V34" s="987"/>
      <c r="W34" s="276"/>
      <c r="X34" s="277"/>
      <c r="Y34" s="42"/>
      <c r="Z34" s="164"/>
      <c r="AA34" s="163"/>
      <c r="AB34" s="700"/>
      <c r="AC34" s="700"/>
      <c r="AD34" s="212"/>
      <c r="AE34" s="212"/>
      <c r="AF34" s="212"/>
      <c r="AG34" s="201"/>
      <c r="AH34" s="201"/>
      <c r="AI34" s="201"/>
      <c r="AK34" s="223"/>
      <c r="AL34" s="223"/>
      <c r="AM34" s="223"/>
      <c r="AN34" s="223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15"/>
      <c r="BA34" s="15"/>
      <c r="BB34" s="15"/>
      <c r="BC34" s="15"/>
      <c r="BD34" s="15"/>
      <c r="BE34" s="15"/>
    </row>
    <row r="35" spans="1:57" ht="15" customHeight="1" thickBot="1" x14ac:dyDescent="0.35">
      <c r="A35" s="701"/>
      <c r="B35" s="1652"/>
      <c r="C35" s="1652"/>
      <c r="D35" s="1652"/>
      <c r="E35" s="1652"/>
      <c r="F35" s="1652"/>
      <c r="G35" s="1652"/>
      <c r="H35" s="1652"/>
      <c r="I35" s="1652"/>
      <c r="J35" s="1652"/>
      <c r="K35" s="1652"/>
      <c r="L35" s="1652"/>
      <c r="M35" s="1652"/>
      <c r="N35" s="1652"/>
      <c r="O35" s="704"/>
      <c r="Q35" s="986"/>
      <c r="R35" s="275"/>
      <c r="S35" s="277"/>
      <c r="T35" s="275"/>
      <c r="U35" s="278"/>
      <c r="V35" s="276"/>
      <c r="W35" s="276"/>
      <c r="X35" s="277"/>
      <c r="Y35" s="42"/>
      <c r="AG35" s="201"/>
      <c r="AH35" s="201"/>
      <c r="AI35" s="201"/>
      <c r="AK35" s="223"/>
      <c r="AL35" s="223"/>
      <c r="AM35" s="223"/>
      <c r="AN35" s="223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15"/>
      <c r="BA35" s="15"/>
      <c r="BB35" s="15"/>
      <c r="BC35" s="15"/>
      <c r="BD35" s="15"/>
      <c r="BE35" s="15"/>
    </row>
    <row r="36" spans="1:57" ht="15" customHeight="1" thickTop="1" thickBot="1" x14ac:dyDescent="0.35">
      <c r="A36" s="1588" t="s">
        <v>158</v>
      </c>
      <c r="B36" s="1588"/>
      <c r="C36" s="1588"/>
      <c r="D36" s="1588"/>
      <c r="E36" s="1588"/>
      <c r="F36" s="1588"/>
      <c r="G36" s="1588"/>
      <c r="H36" s="1588"/>
      <c r="I36" s="1588"/>
      <c r="J36" s="1588"/>
      <c r="K36" s="1588"/>
      <c r="L36" s="1588"/>
      <c r="M36" s="1588"/>
      <c r="N36" s="1588"/>
      <c r="O36" s="1588"/>
      <c r="Q36" s="190"/>
      <c r="R36" s="283"/>
      <c r="S36" s="283"/>
      <c r="T36" s="234"/>
      <c r="U36" s="828"/>
      <c r="V36" s="828"/>
      <c r="W36" s="190"/>
      <c r="X36" s="190"/>
      <c r="AG36" s="201"/>
      <c r="AH36" s="201"/>
      <c r="AI36" s="201"/>
      <c r="AK36" s="223"/>
      <c r="AL36" s="223"/>
      <c r="AM36" s="223"/>
      <c r="AN36" s="223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15"/>
      <c r="BA36" s="15"/>
      <c r="BB36" s="15"/>
      <c r="BC36" s="15"/>
    </row>
    <row r="37" spans="1:57" ht="15" customHeight="1" thickTop="1" x14ac:dyDescent="0.3">
      <c r="A37" s="705"/>
      <c r="B37" s="705"/>
      <c r="C37" s="705"/>
      <c r="D37" s="705"/>
      <c r="E37" s="705"/>
      <c r="F37" s="706"/>
      <c r="G37" s="707"/>
      <c r="H37" s="707"/>
      <c r="I37" s="707"/>
      <c r="J37" s="707"/>
      <c r="K37" s="707"/>
      <c r="L37" s="707"/>
      <c r="M37" s="707"/>
      <c r="N37" s="707"/>
      <c r="O37" s="707"/>
      <c r="Q37" s="901"/>
      <c r="R37" s="275"/>
      <c r="S37" s="277"/>
      <c r="T37" s="275"/>
      <c r="U37" s="278"/>
      <c r="V37" s="276"/>
      <c r="W37" s="276"/>
      <c r="X37" s="277"/>
      <c r="Y37" s="42"/>
      <c r="AK37" s="223"/>
      <c r="AL37" s="223"/>
      <c r="AM37" s="223"/>
      <c r="AN37" s="223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15"/>
      <c r="BA37" s="15"/>
      <c r="BB37" s="15"/>
      <c r="BC37" s="15"/>
      <c r="BD37" s="15"/>
      <c r="BE37" s="15"/>
    </row>
    <row r="38" spans="1:57" ht="15" customHeight="1" x14ac:dyDescent="0.3">
      <c r="A38" s="1369" t="s">
        <v>186</v>
      </c>
      <c r="B38" s="1369"/>
      <c r="C38" s="1369"/>
      <c r="D38" s="1369"/>
      <c r="E38" s="1369"/>
      <c r="F38" s="1369"/>
      <c r="G38" s="1369"/>
      <c r="H38" s="1369"/>
      <c r="I38" s="1369"/>
      <c r="J38" s="1369"/>
      <c r="K38" s="1369"/>
      <c r="L38" s="1369"/>
      <c r="M38" s="1369"/>
      <c r="N38" s="1369"/>
      <c r="O38" s="1369"/>
      <c r="Q38" s="80"/>
      <c r="R38" s="275"/>
      <c r="S38" s="277"/>
      <c r="T38" s="275"/>
      <c r="U38" s="278"/>
      <c r="V38" s="276"/>
      <c r="W38" s="276"/>
      <c r="X38" s="277"/>
      <c r="Y38" s="42"/>
      <c r="AK38" s="223"/>
      <c r="AL38" s="223"/>
      <c r="AM38" s="223"/>
      <c r="AN38" s="223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15"/>
      <c r="BA38" s="15"/>
      <c r="BB38" s="15"/>
      <c r="BC38" s="15"/>
      <c r="BD38" s="15"/>
      <c r="BE38" s="15"/>
    </row>
    <row r="39" spans="1:57" ht="13" customHeight="1" x14ac:dyDescent="0.3">
      <c r="A39" s="1369"/>
      <c r="B39" s="1369"/>
      <c r="C39" s="1369"/>
      <c r="D39" s="1369"/>
      <c r="E39" s="1369"/>
      <c r="F39" s="1369"/>
      <c r="G39" s="1369"/>
      <c r="H39" s="1369"/>
      <c r="I39" s="1369"/>
      <c r="J39" s="1369"/>
      <c r="K39" s="1369"/>
      <c r="L39" s="1369"/>
      <c r="M39" s="1369"/>
      <c r="N39" s="1369"/>
      <c r="O39" s="1369"/>
      <c r="Q39" s="708"/>
      <c r="R39" s="275"/>
      <c r="S39" s="277"/>
      <c r="T39" s="275"/>
      <c r="U39" s="278"/>
      <c r="V39" s="276"/>
      <c r="W39" s="276"/>
      <c r="X39" s="277"/>
      <c r="Y39" s="42"/>
      <c r="AC39" s="709"/>
      <c r="AD39" s="42"/>
      <c r="AE39" s="39"/>
      <c r="AF39" s="34"/>
      <c r="AG39" s="34"/>
      <c r="AH39" s="34"/>
      <c r="AI39" s="34"/>
      <c r="AK39" s="201"/>
      <c r="AL39" s="201"/>
      <c r="AM39" s="201"/>
      <c r="AN39" s="201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15"/>
      <c r="BA39" s="15"/>
      <c r="BB39" s="15"/>
      <c r="BC39" s="15"/>
      <c r="BD39" s="15"/>
      <c r="BE39" s="15"/>
    </row>
    <row r="40" spans="1:57" ht="13" customHeight="1" x14ac:dyDescent="0.3">
      <c r="A40" s="1234"/>
      <c r="B40" s="1235"/>
      <c r="C40" s="1235"/>
      <c r="D40" s="40"/>
      <c r="Q40" s="708"/>
      <c r="R40" s="275"/>
      <c r="S40" s="277"/>
      <c r="T40" s="275"/>
      <c r="U40" s="278"/>
      <c r="V40" s="276"/>
      <c r="W40" s="276"/>
      <c r="X40" s="277"/>
      <c r="Y40" s="42"/>
      <c r="AC40" s="709"/>
      <c r="AD40" s="42"/>
      <c r="AE40" s="39"/>
      <c r="AF40" s="34"/>
      <c r="AG40" s="34"/>
      <c r="AH40" s="34"/>
      <c r="AI40" s="34"/>
      <c r="AK40" s="201"/>
      <c r="AL40" s="201"/>
      <c r="AM40" s="201"/>
      <c r="AN40" s="201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15"/>
      <c r="BA40" s="15"/>
      <c r="BB40" s="15"/>
      <c r="BC40" s="15"/>
      <c r="BD40" s="15"/>
      <c r="BE40" s="15"/>
    </row>
    <row r="41" spans="1:57" ht="19.5" customHeight="1" x14ac:dyDescent="0.3">
      <c r="A41" s="1234"/>
      <c r="B41" s="1235"/>
      <c r="C41" s="1235"/>
      <c r="D41" s="40"/>
      <c r="Q41" s="708"/>
      <c r="R41" s="710"/>
      <c r="S41" s="270"/>
      <c r="T41" s="270"/>
      <c r="U41" s="278"/>
      <c r="V41" s="276"/>
      <c r="W41" s="276"/>
      <c r="X41" s="277"/>
      <c r="Y41" s="42"/>
      <c r="AC41" s="709"/>
      <c r="AD41" s="39"/>
      <c r="AE41" s="39"/>
      <c r="AF41" s="34"/>
      <c r="AG41" s="34"/>
      <c r="AH41" s="34"/>
      <c r="AI41" s="34"/>
      <c r="AJ41" s="34"/>
      <c r="AK41" s="34"/>
      <c r="AL41" s="34"/>
      <c r="AM41" s="34"/>
      <c r="AN41" s="201"/>
      <c r="AO41" s="201"/>
      <c r="AP41" s="201"/>
      <c r="AQ41" s="39"/>
      <c r="AR41" s="39"/>
      <c r="AS41" s="39"/>
      <c r="AT41" s="39"/>
      <c r="AU41" s="39"/>
      <c r="AV41" s="39"/>
      <c r="AW41" s="39"/>
      <c r="AX41" s="39"/>
      <c r="AY41" s="39"/>
      <c r="AZ41" s="15"/>
      <c r="BA41" s="15"/>
      <c r="BB41" s="15"/>
      <c r="BC41" s="15"/>
      <c r="BD41" s="15"/>
      <c r="BE41" s="15"/>
    </row>
    <row r="42" spans="1:57" ht="30" customHeight="1" x14ac:dyDescent="0.3">
      <c r="A42" s="1234"/>
      <c r="B42" s="1235"/>
      <c r="C42" s="1235"/>
      <c r="D42" s="40"/>
      <c r="Q42" s="708"/>
      <c r="R42" s="275"/>
      <c r="S42" s="277"/>
      <c r="T42" s="275"/>
      <c r="U42" s="278"/>
      <c r="V42" s="276"/>
      <c r="W42" s="276"/>
      <c r="X42" s="277"/>
      <c r="Y42" s="39"/>
      <c r="Z42" s="174"/>
      <c r="AA42" s="174"/>
      <c r="AB42" s="174"/>
      <c r="AC42" s="174"/>
      <c r="AD42" s="34"/>
      <c r="AE42" s="42"/>
      <c r="AF42" s="34"/>
      <c r="AG42" s="34"/>
      <c r="AH42" s="34"/>
      <c r="AI42" s="34"/>
      <c r="AJ42" s="34"/>
      <c r="AK42" s="34"/>
      <c r="AL42" s="34"/>
      <c r="AM42" s="34"/>
      <c r="AN42" s="201"/>
      <c r="AO42" s="201"/>
      <c r="AP42" s="201"/>
      <c r="AQ42" s="39"/>
      <c r="AR42" s="39"/>
      <c r="AS42" s="39"/>
      <c r="AT42" s="39"/>
      <c r="AU42" s="39"/>
      <c r="AV42" s="39"/>
      <c r="AW42" s="39"/>
      <c r="AX42" s="39"/>
      <c r="AY42" s="39"/>
      <c r="AZ42" s="15"/>
      <c r="BA42" s="15"/>
      <c r="BB42" s="15"/>
      <c r="BC42" s="15"/>
      <c r="BD42" s="15"/>
      <c r="BE42" s="15"/>
    </row>
    <row r="43" spans="1:57" ht="13" customHeight="1" x14ac:dyDescent="0.45">
      <c r="A43" s="1234"/>
      <c r="B43" s="1235"/>
      <c r="C43" s="1235"/>
      <c r="D43" s="40"/>
      <c r="Q43" s="985"/>
      <c r="R43" s="712"/>
      <c r="S43" s="713"/>
      <c r="T43" s="714"/>
      <c r="U43" s="278"/>
      <c r="V43" s="276"/>
      <c r="W43" s="276"/>
      <c r="X43" s="277"/>
      <c r="Y43" s="34"/>
      <c r="AF43" s="34"/>
      <c r="AG43" s="34"/>
      <c r="AH43" s="34"/>
      <c r="AI43" s="34"/>
      <c r="AJ43" s="34"/>
      <c r="AK43" s="715"/>
      <c r="AL43" s="715"/>
      <c r="AM43" s="715"/>
      <c r="AN43" s="715"/>
      <c r="AO43" s="715"/>
      <c r="AP43" s="715"/>
      <c r="AQ43" s="715"/>
      <c r="AR43" s="715"/>
      <c r="AS43" s="715"/>
      <c r="AT43" s="715"/>
      <c r="AU43" s="715"/>
      <c r="AV43" s="715"/>
      <c r="AW43" s="715"/>
      <c r="AX43" s="715"/>
      <c r="AY43" s="715"/>
      <c r="AZ43" s="715"/>
      <c r="BA43" s="715"/>
      <c r="BB43" s="715"/>
      <c r="BC43" s="715"/>
      <c r="BD43" s="15"/>
      <c r="BE43" s="15"/>
    </row>
    <row r="44" spans="1:57" ht="13" customHeight="1" x14ac:dyDescent="0.3">
      <c r="A44" s="1234"/>
      <c r="B44" s="1235"/>
      <c r="C44" s="1235"/>
      <c r="D44" s="40"/>
      <c r="Q44" s="716"/>
      <c r="R44" s="712"/>
      <c r="S44" s="270"/>
      <c r="T44" s="270"/>
      <c r="U44" s="278"/>
      <c r="V44" s="276"/>
      <c r="W44" s="276"/>
      <c r="X44" s="190"/>
      <c r="AF44" s="34"/>
      <c r="AG44" s="34"/>
      <c r="AH44" s="34"/>
      <c r="AI44" s="34"/>
      <c r="AJ44" s="34"/>
      <c r="AK44" s="155"/>
      <c r="AL44" s="34"/>
      <c r="AM44" s="34"/>
      <c r="AN44" s="201"/>
      <c r="AO44" s="201"/>
      <c r="AP44" s="201"/>
      <c r="AQ44" s="42"/>
      <c r="AR44" s="42"/>
      <c r="AS44" s="42"/>
      <c r="AT44" s="42"/>
      <c r="AU44" s="42"/>
      <c r="AV44" s="42"/>
      <c r="AW44" s="42"/>
      <c r="AX44" s="42"/>
      <c r="AY44" s="42"/>
      <c r="AZ44" s="16"/>
      <c r="BA44" s="16"/>
      <c r="BB44" s="16"/>
      <c r="BC44" s="16"/>
      <c r="BD44" s="15"/>
      <c r="BE44" s="15"/>
    </row>
    <row r="45" spans="1:57" ht="15.75" customHeight="1" x14ac:dyDescent="0.3">
      <c r="A45" s="1234"/>
      <c r="B45" s="1235"/>
      <c r="C45" s="1235"/>
      <c r="D45" s="40"/>
      <c r="Q45" s="717"/>
      <c r="R45" s="718"/>
      <c r="S45" s="718"/>
      <c r="T45" s="718"/>
      <c r="U45" s="278"/>
      <c r="V45" s="276"/>
      <c r="W45" s="276"/>
      <c r="X45" s="190"/>
      <c r="AF45" s="34"/>
      <c r="AG45" s="34"/>
      <c r="AH45" s="34"/>
      <c r="AI45" s="34"/>
      <c r="AJ45" s="34"/>
      <c r="AK45" s="155"/>
      <c r="AL45" s="522"/>
      <c r="AM45" s="522"/>
      <c r="AN45" s="522"/>
      <c r="AO45" s="522"/>
      <c r="AP45" s="522"/>
      <c r="AQ45" s="103"/>
      <c r="AR45" s="522"/>
      <c r="AS45" s="522"/>
      <c r="AT45" s="522"/>
      <c r="AU45" s="522"/>
      <c r="AV45" s="522"/>
      <c r="AW45" s="103"/>
      <c r="AX45" s="522"/>
      <c r="AY45" s="522"/>
      <c r="AZ45" s="522"/>
      <c r="BA45" s="522"/>
      <c r="BB45" s="522"/>
      <c r="BC45" s="16"/>
      <c r="BD45" s="15"/>
      <c r="BE45" s="15"/>
    </row>
    <row r="46" spans="1:57" ht="17.25" customHeight="1" x14ac:dyDescent="0.3">
      <c r="Q46" s="719"/>
      <c r="R46" s="720"/>
      <c r="S46" s="720"/>
      <c r="T46" s="720"/>
      <c r="U46" s="278"/>
      <c r="V46" s="276"/>
      <c r="W46" s="276"/>
      <c r="X46" s="190"/>
      <c r="AF46" s="34"/>
      <c r="AG46" s="34"/>
      <c r="AH46" s="34"/>
      <c r="AI46" s="34"/>
      <c r="AJ46" s="34"/>
      <c r="AK46" s="155"/>
      <c r="AL46" s="34"/>
      <c r="AM46" s="103"/>
      <c r="AN46" s="721"/>
      <c r="AO46" s="107"/>
      <c r="AP46" s="107"/>
      <c r="AQ46" s="103"/>
      <c r="AR46" s="34"/>
      <c r="AS46" s="103"/>
      <c r="AT46" s="721"/>
      <c r="AU46" s="107"/>
      <c r="AV46" s="107"/>
      <c r="AW46" s="103"/>
      <c r="AX46" s="34"/>
      <c r="AY46" s="103"/>
      <c r="AZ46" s="721"/>
      <c r="BA46" s="107"/>
      <c r="BB46" s="107"/>
      <c r="BC46" s="16"/>
      <c r="BD46" s="15"/>
      <c r="BE46" s="15"/>
    </row>
    <row r="47" spans="1:57" ht="14.25" customHeight="1" x14ac:dyDescent="0.3">
      <c r="Q47" s="719"/>
      <c r="R47" s="720"/>
      <c r="S47" s="720"/>
      <c r="T47" s="720"/>
      <c r="U47" s="278"/>
      <c r="V47" s="276"/>
      <c r="W47" s="276"/>
      <c r="X47" s="190"/>
      <c r="AF47" s="34"/>
      <c r="AG47" s="34"/>
      <c r="AH47" s="34"/>
      <c r="AI47" s="34"/>
      <c r="AJ47" s="34"/>
      <c r="AK47" s="155"/>
      <c r="AL47" s="34"/>
      <c r="AM47" s="74"/>
      <c r="AN47" s="74"/>
      <c r="AO47" s="74"/>
      <c r="AP47" s="74"/>
      <c r="AQ47" s="103"/>
      <c r="AR47" s="34"/>
      <c r="AS47" s="74"/>
      <c r="AT47" s="74"/>
      <c r="AU47" s="74"/>
      <c r="AV47" s="74"/>
      <c r="AW47" s="103"/>
      <c r="AX47" s="34"/>
      <c r="AY47" s="74"/>
      <c r="AZ47" s="74"/>
      <c r="BA47" s="74"/>
      <c r="BB47" s="74"/>
      <c r="BC47" s="16"/>
      <c r="BD47" s="15"/>
      <c r="BE47" s="15"/>
    </row>
    <row r="48" spans="1:57" ht="13.5" customHeight="1" x14ac:dyDescent="0.3">
      <c r="Q48" s="722"/>
      <c r="R48" s="723"/>
      <c r="S48" s="723"/>
      <c r="T48" s="723"/>
      <c r="U48" s="278"/>
      <c r="V48" s="276"/>
      <c r="W48" s="276"/>
      <c r="X48" s="190"/>
      <c r="AF48" s="34"/>
      <c r="AG48" s="34"/>
      <c r="AH48" s="34"/>
      <c r="AI48" s="34"/>
      <c r="AJ48" s="34"/>
      <c r="AK48" s="155"/>
      <c r="AL48" s="34"/>
      <c r="AM48" s="40"/>
      <c r="AN48" s="40"/>
      <c r="AO48" s="40"/>
      <c r="AP48" s="40"/>
      <c r="AQ48" s="103"/>
      <c r="AR48" s="34"/>
      <c r="AS48" s="40"/>
      <c r="AT48" s="40"/>
      <c r="AU48" s="40"/>
      <c r="AV48" s="40"/>
      <c r="AW48" s="103"/>
      <c r="AX48" s="34"/>
      <c r="AY48" s="40"/>
      <c r="AZ48" s="40"/>
      <c r="BA48" s="40"/>
      <c r="BB48" s="40"/>
      <c r="BC48" s="16"/>
      <c r="BD48" s="15"/>
      <c r="BE48" s="15"/>
    </row>
    <row r="49" spans="17:57" ht="12" customHeight="1" x14ac:dyDescent="0.3">
      <c r="Q49" s="716"/>
      <c r="R49" s="712"/>
      <c r="S49" s="713"/>
      <c r="T49" s="724"/>
      <c r="U49" s="278"/>
      <c r="V49" s="276"/>
      <c r="W49" s="276"/>
      <c r="X49" s="190"/>
      <c r="AF49" s="34"/>
      <c r="AG49" s="34"/>
      <c r="AH49" s="34"/>
      <c r="AI49" s="34"/>
      <c r="AJ49" s="34"/>
      <c r="AK49" s="725"/>
      <c r="AL49" s="156"/>
      <c r="AM49" s="721"/>
      <c r="AN49" s="721"/>
      <c r="AO49" s="721"/>
      <c r="AP49" s="721"/>
      <c r="AQ49" s="103"/>
      <c r="AR49" s="156"/>
      <c r="AS49" s="721"/>
      <c r="AT49" s="721"/>
      <c r="AU49" s="721"/>
      <c r="AV49" s="721"/>
      <c r="AW49" s="103"/>
      <c r="AX49" s="156"/>
      <c r="AY49" s="721"/>
      <c r="AZ49" s="721"/>
      <c r="BA49" s="721"/>
      <c r="BB49" s="721"/>
      <c r="BC49" s="16"/>
      <c r="BD49" s="15"/>
      <c r="BE49" s="15"/>
    </row>
    <row r="50" spans="17:57" ht="12" customHeight="1" x14ac:dyDescent="0.3">
      <c r="Q50" s="726"/>
      <c r="R50" s="712"/>
      <c r="S50" s="713"/>
      <c r="T50" s="724"/>
      <c r="U50" s="278"/>
      <c r="V50" s="276"/>
      <c r="W50" s="276"/>
      <c r="X50" s="190"/>
      <c r="AF50" s="34"/>
      <c r="AG50" s="34"/>
      <c r="AH50" s="34"/>
      <c r="AI50" s="34"/>
      <c r="AJ50" s="34"/>
      <c r="AK50" s="725"/>
      <c r="AL50" s="156"/>
      <c r="AM50" s="721"/>
      <c r="AN50" s="721"/>
      <c r="AO50" s="721"/>
      <c r="AP50" s="721"/>
      <c r="AQ50" s="103"/>
      <c r="AR50" s="156"/>
      <c r="AS50" s="721"/>
      <c r="AT50" s="721"/>
      <c r="AU50" s="721"/>
      <c r="AV50" s="721"/>
      <c r="AW50" s="103"/>
      <c r="AX50" s="156"/>
      <c r="AY50" s="721"/>
      <c r="AZ50" s="721"/>
      <c r="BA50" s="721"/>
      <c r="BB50" s="721"/>
      <c r="BC50" s="16"/>
      <c r="BD50" s="15"/>
      <c r="BE50" s="15"/>
    </row>
    <row r="51" spans="17:57" ht="12" customHeight="1" x14ac:dyDescent="0.3">
      <c r="Q51" s="727"/>
      <c r="R51" s="270"/>
      <c r="S51" s="712"/>
      <c r="T51" s="724"/>
      <c r="U51" s="278"/>
      <c r="V51" s="276"/>
      <c r="W51" s="276"/>
      <c r="X51" s="190"/>
      <c r="Z51" s="174"/>
      <c r="AA51" s="174"/>
      <c r="AB51" s="174"/>
      <c r="AC51" s="174"/>
      <c r="AD51" s="174"/>
      <c r="AE51" s="174"/>
      <c r="AF51" s="34"/>
      <c r="AG51" s="34"/>
      <c r="AH51" s="34"/>
      <c r="AI51" s="34"/>
      <c r="AJ51" s="34"/>
      <c r="AK51" s="728"/>
      <c r="AL51" s="74"/>
      <c r="AM51" s="124"/>
      <c r="AN51" s="124"/>
      <c r="AO51" s="124"/>
      <c r="AP51" s="124"/>
      <c r="AQ51" s="103"/>
      <c r="AR51" s="74"/>
      <c r="AS51" s="124"/>
      <c r="AT51" s="124"/>
      <c r="AU51" s="124"/>
      <c r="AV51" s="124"/>
      <c r="AW51" s="103"/>
      <c r="AX51" s="74"/>
      <c r="AY51" s="124"/>
      <c r="AZ51" s="124"/>
      <c r="BA51" s="124"/>
      <c r="BB51" s="124"/>
      <c r="BC51" s="16"/>
      <c r="BD51" s="15"/>
      <c r="BE51" s="15"/>
    </row>
    <row r="52" spans="17:57" ht="12" customHeight="1" x14ac:dyDescent="0.3">
      <c r="Q52" s="727"/>
      <c r="R52" s="270"/>
      <c r="S52" s="712"/>
      <c r="T52" s="724"/>
      <c r="U52" s="278"/>
      <c r="V52" s="276"/>
      <c r="W52" s="276"/>
      <c r="X52" s="714"/>
      <c r="Y52" s="34"/>
      <c r="Z52" s="174"/>
      <c r="AA52" s="174"/>
      <c r="AB52" s="174"/>
      <c r="AC52" s="174"/>
      <c r="AD52" s="174"/>
      <c r="AE52" s="174"/>
      <c r="AF52" s="34"/>
      <c r="AG52" s="34"/>
      <c r="AH52" s="34"/>
      <c r="AI52" s="34"/>
      <c r="AJ52" s="34"/>
      <c r="AK52" s="728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5"/>
      <c r="BE52" s="15"/>
    </row>
    <row r="53" spans="17:57" ht="13" customHeight="1" x14ac:dyDescent="0.3">
      <c r="Q53" s="727"/>
      <c r="R53" s="270"/>
      <c r="S53" s="712"/>
      <c r="T53" s="724"/>
      <c r="U53" s="278"/>
      <c r="V53" s="276"/>
      <c r="W53" s="276"/>
      <c r="X53" s="71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728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5"/>
      <c r="BE53" s="15"/>
    </row>
    <row r="54" spans="17:57" ht="13" customHeight="1" x14ac:dyDescent="0.3">
      <c r="Q54" s="81"/>
      <c r="R54" s="41"/>
      <c r="S54" s="42"/>
      <c r="T54" s="89"/>
      <c r="U54" s="3"/>
      <c r="V54" s="4"/>
      <c r="W54" s="4"/>
      <c r="X54" s="42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729"/>
      <c r="AL54" s="74"/>
      <c r="AM54" s="40"/>
      <c r="AN54" s="40"/>
      <c r="AO54" s="40"/>
      <c r="AP54" s="40"/>
      <c r="AQ54" s="117"/>
      <c r="AR54" s="74"/>
      <c r="AS54" s="40"/>
      <c r="AT54" s="40"/>
      <c r="AU54" s="40"/>
      <c r="AV54" s="40"/>
      <c r="AW54" s="117"/>
      <c r="AX54" s="74"/>
      <c r="AY54" s="40"/>
      <c r="AZ54" s="40"/>
      <c r="BA54" s="40"/>
      <c r="BB54" s="40"/>
      <c r="BC54" s="15"/>
      <c r="BD54" s="15"/>
      <c r="BE54" s="15"/>
    </row>
    <row r="55" spans="17:57" ht="24" customHeight="1" x14ac:dyDescent="0.3">
      <c r="Q55" s="81"/>
      <c r="R55" s="41"/>
      <c r="S55" s="42"/>
      <c r="T55" s="89"/>
      <c r="U55" s="3"/>
      <c r="V55" s="4"/>
      <c r="W55" s="4"/>
      <c r="X55" s="42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729"/>
      <c r="AL55" s="74"/>
      <c r="AM55" s="40"/>
      <c r="AN55" s="40"/>
      <c r="AO55" s="40"/>
      <c r="AP55" s="40"/>
      <c r="AQ55" s="117"/>
      <c r="AR55" s="74"/>
      <c r="AS55" s="40"/>
      <c r="AT55" s="40"/>
      <c r="AU55" s="40"/>
      <c r="AV55" s="40"/>
      <c r="AW55" s="117"/>
      <c r="AX55" s="74"/>
      <c r="AY55" s="40"/>
      <c r="AZ55" s="40"/>
      <c r="BA55" s="40"/>
      <c r="BB55" s="40"/>
      <c r="BC55" s="15"/>
      <c r="BD55" s="15"/>
      <c r="BE55" s="15"/>
    </row>
    <row r="56" spans="17:57" ht="13" customHeight="1" x14ac:dyDescent="0.3">
      <c r="Q56" s="143"/>
      <c r="R56" s="41"/>
      <c r="S56" s="42"/>
      <c r="T56" s="89"/>
      <c r="U56" s="5"/>
      <c r="V56" s="6"/>
      <c r="W56" s="6"/>
      <c r="X56" s="42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155"/>
      <c r="AL56" s="74"/>
      <c r="AM56" s="40"/>
      <c r="AN56" s="40"/>
      <c r="AO56" s="40"/>
      <c r="AP56" s="40"/>
      <c r="AQ56" s="34"/>
      <c r="AR56" s="74"/>
      <c r="AS56" s="40"/>
      <c r="AT56" s="40"/>
      <c r="AU56" s="40"/>
      <c r="AV56" s="40"/>
      <c r="AW56" s="34"/>
      <c r="AX56" s="74"/>
      <c r="AY56" s="40"/>
      <c r="AZ56" s="40"/>
      <c r="BA56" s="40"/>
      <c r="BB56" s="40"/>
      <c r="BD56" s="15"/>
      <c r="BE56" s="15"/>
    </row>
    <row r="57" spans="17:57" ht="13" customHeight="1" x14ac:dyDescent="0.3">
      <c r="Q57" s="143"/>
      <c r="R57" s="41"/>
      <c r="S57" s="42"/>
      <c r="T57" s="34"/>
      <c r="U57" s="3"/>
      <c r="V57" s="4"/>
      <c r="W57" s="4"/>
      <c r="X57" s="42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155"/>
      <c r="AL57" s="74"/>
      <c r="AM57" s="40"/>
      <c r="AN57" s="40"/>
      <c r="AO57" s="40"/>
      <c r="AP57" s="40"/>
      <c r="AQ57" s="34"/>
      <c r="AR57" s="74"/>
      <c r="AS57" s="40"/>
      <c r="AT57" s="40"/>
      <c r="AU57" s="40"/>
      <c r="AV57" s="40"/>
      <c r="AW57" s="34"/>
      <c r="AX57" s="74"/>
      <c r="AY57" s="40"/>
      <c r="AZ57" s="40"/>
      <c r="BA57" s="40"/>
      <c r="BB57" s="40"/>
      <c r="BD57" s="15"/>
      <c r="BE57" s="15"/>
    </row>
    <row r="58" spans="17:57" ht="13" customHeight="1" x14ac:dyDescent="0.3">
      <c r="Q58" s="145"/>
      <c r="R58" s="41"/>
      <c r="S58" s="34"/>
      <c r="T58" s="34"/>
      <c r="U58" s="3"/>
      <c r="V58" s="4"/>
      <c r="W58" s="4"/>
      <c r="X58" s="50"/>
      <c r="Y58" s="50"/>
      <c r="Z58" s="49"/>
      <c r="AA58" s="49"/>
      <c r="AB58" s="49"/>
      <c r="AC58" s="34"/>
      <c r="AD58" s="34"/>
      <c r="AE58" s="34"/>
      <c r="AF58" s="34"/>
      <c r="AG58" s="34"/>
      <c r="AH58" s="34"/>
      <c r="AI58" s="34"/>
      <c r="AJ58" s="34"/>
      <c r="AK58" s="155"/>
      <c r="AL58" s="74"/>
      <c r="AM58" s="40"/>
      <c r="AN58" s="40"/>
      <c r="AO58" s="40"/>
      <c r="AP58" s="40"/>
      <c r="AQ58" s="34"/>
      <c r="AR58" s="74"/>
      <c r="AS58" s="40"/>
      <c r="AT58" s="40"/>
      <c r="AU58" s="40"/>
      <c r="AV58" s="40"/>
      <c r="AW58" s="34"/>
      <c r="AX58" s="74"/>
      <c r="AY58" s="40"/>
      <c r="AZ58" s="40"/>
      <c r="BA58" s="40"/>
      <c r="BB58" s="40"/>
      <c r="BD58" s="15"/>
      <c r="BE58" s="15"/>
    </row>
    <row r="59" spans="17:57" ht="13" customHeight="1" x14ac:dyDescent="0.3">
      <c r="Q59" s="81"/>
      <c r="R59" s="41"/>
      <c r="S59" s="41"/>
      <c r="T59" s="34"/>
      <c r="U59" s="3"/>
      <c r="V59" s="4"/>
      <c r="W59" s="4"/>
      <c r="X59" s="50"/>
      <c r="Y59" s="50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155"/>
      <c r="AL59" s="74"/>
      <c r="AM59" s="74"/>
      <c r="AN59" s="74"/>
      <c r="AO59" s="74"/>
      <c r="AP59" s="74"/>
      <c r="AQ59" s="34"/>
      <c r="AR59" s="74"/>
      <c r="AS59" s="74"/>
      <c r="AT59" s="74"/>
      <c r="AU59" s="74"/>
      <c r="AV59" s="74"/>
      <c r="AW59" s="34"/>
      <c r="AX59" s="74"/>
      <c r="AY59" s="74"/>
      <c r="AZ59" s="74"/>
      <c r="BA59" s="74"/>
      <c r="BB59" s="74"/>
      <c r="BD59" s="15"/>
      <c r="BE59" s="15"/>
    </row>
    <row r="60" spans="17:57" ht="13" customHeight="1" x14ac:dyDescent="0.3">
      <c r="Q60" s="145"/>
      <c r="R60" s="34"/>
      <c r="S60" s="34"/>
      <c r="T60" s="34"/>
      <c r="U60" s="3"/>
      <c r="V60" s="4"/>
      <c r="W60" s="4"/>
      <c r="X60" s="50"/>
      <c r="Y60" s="50"/>
      <c r="Z60" s="51"/>
      <c r="AA60" s="51"/>
      <c r="AB60" s="51"/>
      <c r="AC60" s="51"/>
      <c r="AD60" s="34"/>
      <c r="AE60" s="34"/>
      <c r="AF60" s="34"/>
      <c r="AG60" s="34"/>
      <c r="AH60" s="34"/>
      <c r="AI60" s="34"/>
      <c r="AJ60" s="34"/>
      <c r="AK60" s="155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BD60" s="15"/>
      <c r="BE60" s="15"/>
    </row>
    <row r="61" spans="17:57" ht="13" customHeight="1" x14ac:dyDescent="0.3">
      <c r="Q61" s="984"/>
      <c r="R61" s="34"/>
      <c r="S61" s="34"/>
      <c r="T61" s="34"/>
      <c r="U61" s="3"/>
      <c r="V61" s="4"/>
      <c r="W61" s="4"/>
      <c r="X61" s="51"/>
      <c r="Y61" s="51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155"/>
      <c r="AL61" s="1609"/>
      <c r="AM61" s="1609"/>
      <c r="AN61" s="1609"/>
      <c r="AO61" s="1609"/>
      <c r="AP61" s="1609"/>
      <c r="AQ61" s="34"/>
      <c r="AR61" s="1609"/>
      <c r="AS61" s="1609"/>
      <c r="AT61" s="1609"/>
      <c r="AU61" s="1609"/>
      <c r="AV61" s="1609"/>
      <c r="AW61" s="34"/>
      <c r="AX61" s="34"/>
      <c r="AY61" s="34"/>
      <c r="BD61" s="15"/>
      <c r="BE61" s="15"/>
    </row>
    <row r="62" spans="17:57" ht="13" customHeight="1" x14ac:dyDescent="0.3">
      <c r="Q62" s="1510"/>
      <c r="R62" s="1510"/>
      <c r="S62" s="34"/>
      <c r="T62" s="34"/>
      <c r="U62" s="3"/>
      <c r="V62" s="4"/>
      <c r="W62" s="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155"/>
      <c r="AL62" s="34"/>
      <c r="AM62" s="103"/>
      <c r="AN62" s="721"/>
      <c r="AO62" s="107"/>
      <c r="AP62" s="107"/>
      <c r="AQ62" s="34"/>
      <c r="AR62" s="34"/>
      <c r="AS62" s="103"/>
      <c r="AT62" s="721"/>
      <c r="AU62" s="107"/>
      <c r="AV62" s="107"/>
      <c r="AW62" s="34"/>
      <c r="AX62" s="34"/>
      <c r="AY62" s="34"/>
      <c r="BD62" s="15"/>
      <c r="BE62" s="15"/>
    </row>
    <row r="63" spans="17:57" ht="13" customHeight="1" x14ac:dyDescent="0.3">
      <c r="Q63" s="520"/>
      <c r="R63" s="2"/>
      <c r="S63" s="34"/>
      <c r="T63" s="34"/>
      <c r="U63" s="3"/>
      <c r="V63" s="4"/>
      <c r="W63" s="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155"/>
      <c r="AL63" s="34"/>
      <c r="AM63" s="74"/>
      <c r="AN63" s="74"/>
      <c r="AO63" s="74"/>
      <c r="AP63" s="74"/>
      <c r="AQ63" s="34"/>
      <c r="AR63" s="34"/>
      <c r="AS63" s="74"/>
      <c r="AT63" s="74"/>
      <c r="AU63" s="74"/>
      <c r="AV63" s="74"/>
      <c r="AW63" s="74"/>
      <c r="AX63" s="34"/>
      <c r="AY63" s="34"/>
      <c r="BD63" s="15"/>
      <c r="BE63" s="15"/>
    </row>
    <row r="64" spans="17:57" ht="13" customHeight="1" x14ac:dyDescent="0.3">
      <c r="Q64" s="520"/>
      <c r="R64" s="2"/>
      <c r="S64" s="34"/>
      <c r="T64" s="34"/>
      <c r="U64" s="3"/>
      <c r="V64" s="4"/>
      <c r="W64" s="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155"/>
      <c r="AL64" s="34"/>
      <c r="AM64" s="40"/>
      <c r="AN64" s="40"/>
      <c r="AO64" s="40"/>
      <c r="AP64" s="40"/>
      <c r="AQ64" s="34"/>
      <c r="AR64" s="34"/>
      <c r="AS64" s="124"/>
      <c r="AT64" s="124"/>
      <c r="AU64" s="124"/>
      <c r="AV64" s="124"/>
      <c r="AW64" s="124"/>
      <c r="AX64" s="34"/>
      <c r="AY64" s="34"/>
      <c r="BD64" s="15"/>
      <c r="BE64" s="15"/>
    </row>
    <row r="65" spans="1:57" ht="13" customHeight="1" x14ac:dyDescent="0.3">
      <c r="Q65" s="1511"/>
      <c r="R65" s="1511"/>
      <c r="S65" s="34"/>
      <c r="T65" s="34"/>
      <c r="U65" s="3"/>
      <c r="V65" s="4"/>
      <c r="W65" s="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155"/>
      <c r="AL65" s="156"/>
      <c r="AM65" s="721"/>
      <c r="AN65" s="721"/>
      <c r="AO65" s="721"/>
      <c r="AP65" s="721"/>
      <c r="AQ65" s="34"/>
      <c r="AR65" s="156"/>
      <c r="AS65" s="730"/>
      <c r="AT65" s="730"/>
      <c r="AU65" s="730"/>
      <c r="AV65" s="730"/>
      <c r="AW65" s="730"/>
      <c r="AX65" s="34"/>
      <c r="AY65" s="34"/>
      <c r="BD65" s="15"/>
      <c r="BE65" s="15"/>
    </row>
    <row r="66" spans="1:57" ht="13" customHeight="1" x14ac:dyDescent="0.3">
      <c r="Q66" s="1511"/>
      <c r="R66" s="1511"/>
      <c r="S66" s="34"/>
      <c r="T66" s="34"/>
      <c r="U66" s="3"/>
      <c r="V66" s="4"/>
      <c r="W66" s="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155"/>
      <c r="AL66" s="156"/>
      <c r="AM66" s="721"/>
      <c r="AN66" s="721"/>
      <c r="AO66" s="721"/>
      <c r="AP66" s="721"/>
      <c r="AQ66" s="34"/>
      <c r="AR66" s="156"/>
      <c r="AS66" s="721"/>
      <c r="AT66" s="721"/>
      <c r="AU66" s="721"/>
      <c r="AV66" s="721"/>
      <c r="AW66" s="721"/>
      <c r="AX66" s="34"/>
      <c r="AY66" s="34"/>
      <c r="BD66" s="15"/>
      <c r="BE66" s="15"/>
    </row>
    <row r="67" spans="1:57" ht="13" customHeight="1" x14ac:dyDescent="0.3">
      <c r="Q67" s="1512"/>
      <c r="R67" s="1512"/>
      <c r="S67" s="34"/>
      <c r="T67" s="34"/>
      <c r="U67" s="3"/>
      <c r="V67" s="4"/>
      <c r="W67" s="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155"/>
      <c r="AL67" s="74"/>
      <c r="AM67" s="124"/>
      <c r="AN67" s="124"/>
      <c r="AO67" s="124"/>
      <c r="AP67" s="124"/>
      <c r="AQ67" s="34"/>
      <c r="AR67" s="74"/>
      <c r="AS67" s="731"/>
      <c r="AT67" s="731"/>
      <c r="AU67" s="731"/>
      <c r="AV67" s="731"/>
      <c r="AW67" s="731"/>
      <c r="AX67" s="34"/>
      <c r="AY67" s="34"/>
      <c r="BD67" s="15"/>
      <c r="BE67" s="15"/>
    </row>
    <row r="68" spans="1:57" ht="13" customHeight="1" x14ac:dyDescent="0.3">
      <c r="Q68" s="193"/>
      <c r="R68" s="40"/>
      <c r="S68" s="34"/>
      <c r="T68" s="34"/>
      <c r="U68" s="3"/>
      <c r="V68" s="4"/>
      <c r="W68" s="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155"/>
      <c r="AL68" s="74"/>
      <c r="AM68" s="40"/>
      <c r="AN68" s="40"/>
      <c r="AO68" s="40"/>
      <c r="AP68" s="40"/>
      <c r="AQ68" s="34"/>
      <c r="AR68" s="74"/>
      <c r="AS68" s="518"/>
      <c r="AT68" s="518"/>
      <c r="AU68" s="518"/>
      <c r="AV68" s="518"/>
      <c r="AW68" s="518"/>
      <c r="AX68" s="34"/>
      <c r="AY68" s="34"/>
      <c r="BD68" s="15"/>
      <c r="BE68" s="15"/>
    </row>
    <row r="69" spans="1:57" ht="13" customHeight="1" x14ac:dyDescent="0.3">
      <c r="S69" s="34"/>
      <c r="T69" s="34"/>
      <c r="U69" s="3"/>
      <c r="V69" s="4"/>
      <c r="W69" s="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155"/>
      <c r="AL69" s="74"/>
      <c r="AM69" s="40"/>
      <c r="AN69" s="40"/>
      <c r="AO69" s="40"/>
      <c r="AP69" s="40"/>
      <c r="AQ69" s="34"/>
      <c r="AR69" s="74"/>
      <c r="AS69" s="124"/>
      <c r="AT69" s="124"/>
      <c r="AU69" s="124"/>
      <c r="AV69" s="124"/>
      <c r="AW69" s="124"/>
      <c r="AX69" s="34"/>
      <c r="AY69" s="34"/>
      <c r="BD69" s="15"/>
      <c r="BE69" s="15"/>
    </row>
    <row r="70" spans="1:57" ht="13" customHeight="1" x14ac:dyDescent="0.3">
      <c r="S70" s="34"/>
      <c r="T70" s="34"/>
      <c r="U70" s="3"/>
      <c r="V70" s="4"/>
      <c r="W70" s="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155"/>
      <c r="AL70" s="74"/>
      <c r="AM70" s="40"/>
      <c r="AN70" s="40"/>
      <c r="AO70" s="40"/>
      <c r="AP70" s="40"/>
      <c r="AQ70" s="34"/>
      <c r="AR70" s="74"/>
      <c r="AS70" s="40"/>
      <c r="AT70" s="40"/>
      <c r="AU70" s="40"/>
      <c r="AV70" s="40"/>
      <c r="AW70" s="40"/>
      <c r="AX70" s="34"/>
      <c r="AY70" s="34"/>
      <c r="BD70" s="15"/>
      <c r="BE70" s="15"/>
    </row>
    <row r="71" spans="1:57" s="14" customFormat="1" ht="13" customHeight="1" x14ac:dyDescent="0.3">
      <c r="A71" s="120"/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Q71" s="120"/>
      <c r="R71" s="120"/>
      <c r="S71" s="34"/>
      <c r="T71" s="34"/>
      <c r="U71" s="3"/>
      <c r="V71" s="4"/>
      <c r="W71" s="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155"/>
      <c r="AL71" s="74"/>
      <c r="AM71" s="40"/>
      <c r="AN71" s="40"/>
      <c r="AO71" s="40"/>
      <c r="AP71" s="40"/>
      <c r="AQ71" s="34"/>
      <c r="AR71" s="74"/>
      <c r="AS71" s="156"/>
      <c r="AT71" s="156"/>
      <c r="AU71" s="156"/>
      <c r="AV71" s="156"/>
      <c r="AW71" s="156"/>
      <c r="AX71" s="34"/>
      <c r="AY71" s="34"/>
      <c r="AZ71" s="120"/>
      <c r="BA71" s="120"/>
      <c r="BB71" s="120"/>
      <c r="BC71" s="120"/>
      <c r="BD71" s="15"/>
      <c r="BE71" s="15"/>
    </row>
    <row r="72" spans="1:57" s="14" customFormat="1" ht="13" customHeight="1" x14ac:dyDescent="0.3">
      <c r="A72" s="120"/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Q72" s="120"/>
      <c r="R72" s="120"/>
      <c r="S72" s="34"/>
      <c r="T72" s="34"/>
      <c r="U72" s="5"/>
      <c r="V72" s="6"/>
      <c r="W72" s="6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155"/>
      <c r="AL72" s="74"/>
      <c r="AM72" s="74"/>
      <c r="AN72" s="74"/>
      <c r="AO72" s="74"/>
      <c r="AP72" s="74"/>
      <c r="AQ72" s="34"/>
      <c r="AR72" s="74"/>
      <c r="AS72" s="124"/>
      <c r="AT72" s="74"/>
      <c r="AU72" s="74"/>
      <c r="AV72" s="74"/>
      <c r="AW72" s="34"/>
      <c r="AX72" s="34"/>
      <c r="AY72" s="34"/>
      <c r="AZ72" s="120"/>
      <c r="BA72" s="120"/>
      <c r="BB72" s="120"/>
      <c r="BC72" s="120"/>
      <c r="BD72" s="16"/>
      <c r="BE72" s="16"/>
    </row>
    <row r="73" spans="1:57" s="14" customFormat="1" ht="13" customHeight="1" x14ac:dyDescent="0.3">
      <c r="A73" s="120"/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Q73" s="120"/>
      <c r="R73" s="120"/>
      <c r="S73" s="34"/>
      <c r="T73" s="34"/>
      <c r="U73" s="3"/>
      <c r="V73" s="4"/>
      <c r="W73" s="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155"/>
      <c r="AL73" s="34"/>
      <c r="AM73" s="34"/>
      <c r="AN73" s="34"/>
      <c r="AO73" s="34"/>
      <c r="AP73" s="34"/>
      <c r="AQ73" s="34"/>
      <c r="AR73" s="34"/>
      <c r="AS73" s="40"/>
      <c r="AT73" s="34"/>
      <c r="AU73" s="34"/>
      <c r="AV73" s="34"/>
      <c r="AW73" s="34"/>
      <c r="AX73" s="34"/>
      <c r="AY73" s="34"/>
      <c r="AZ73" s="120"/>
      <c r="BA73" s="120"/>
      <c r="BB73" s="120"/>
      <c r="BC73" s="120"/>
      <c r="BD73" s="16"/>
      <c r="BE73" s="16"/>
    </row>
    <row r="74" spans="1:57" s="14" customFormat="1" ht="13" customHeight="1" x14ac:dyDescent="0.3">
      <c r="A74" s="120"/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Q74" s="120"/>
      <c r="R74" s="120"/>
      <c r="S74" s="34"/>
      <c r="T74" s="34"/>
      <c r="U74" s="3"/>
      <c r="V74" s="4"/>
      <c r="W74" s="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155"/>
      <c r="AL74" s="34"/>
      <c r="AM74" s="34"/>
      <c r="AN74" s="34"/>
      <c r="AO74" s="34"/>
      <c r="AP74" s="34"/>
      <c r="AQ74" s="34"/>
      <c r="AR74" s="34"/>
      <c r="AS74" s="40"/>
      <c r="AT74" s="34"/>
      <c r="AU74" s="34"/>
      <c r="AV74" s="34"/>
      <c r="AW74" s="34"/>
      <c r="AX74" s="34"/>
      <c r="AY74" s="34"/>
      <c r="AZ74" s="120"/>
      <c r="BA74" s="120"/>
      <c r="BB74" s="120"/>
      <c r="BC74" s="120"/>
      <c r="BD74" s="16"/>
      <c r="BE74" s="16"/>
    </row>
    <row r="75" spans="1:57" s="14" customFormat="1" ht="11.15" customHeight="1" x14ac:dyDescent="0.3">
      <c r="A75" s="120"/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Q75" s="34"/>
      <c r="R75" s="34"/>
      <c r="S75" s="34"/>
      <c r="T75" s="34"/>
      <c r="U75" s="3"/>
      <c r="V75" s="4"/>
      <c r="W75" s="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120"/>
      <c r="BA75" s="120"/>
      <c r="BB75" s="120"/>
      <c r="BC75" s="120"/>
      <c r="BD75" s="16"/>
      <c r="BE75" s="16"/>
    </row>
    <row r="76" spans="1:57" s="14" customFormat="1" ht="11.15" customHeight="1" x14ac:dyDescent="0.3">
      <c r="A76" s="120"/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Q76" s="34"/>
      <c r="R76" s="34"/>
      <c r="S76" s="34"/>
      <c r="T76" s="34"/>
      <c r="U76" s="3"/>
      <c r="V76" s="4"/>
      <c r="W76" s="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120"/>
      <c r="BA76" s="120"/>
      <c r="BB76" s="120"/>
      <c r="BC76" s="120"/>
      <c r="BD76" s="16"/>
      <c r="BE76" s="16"/>
    </row>
    <row r="77" spans="1:57" ht="11.15" customHeight="1" x14ac:dyDescent="0.3">
      <c r="Q77" s="34"/>
      <c r="R77" s="34"/>
      <c r="S77" s="34"/>
      <c r="T77" s="34"/>
      <c r="U77" s="3"/>
      <c r="V77" s="4"/>
      <c r="W77" s="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BD77" s="16"/>
      <c r="BE77" s="16"/>
    </row>
    <row r="78" spans="1:57" ht="11.15" customHeight="1" x14ac:dyDescent="0.3">
      <c r="Q78" s="34"/>
      <c r="R78" s="34"/>
      <c r="S78" s="34"/>
      <c r="T78" s="34"/>
      <c r="U78" s="3"/>
      <c r="V78" s="4"/>
      <c r="W78" s="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BD78" s="16"/>
      <c r="BE78" s="16"/>
    </row>
    <row r="79" spans="1:57" ht="11.15" customHeight="1" x14ac:dyDescent="0.3">
      <c r="Q79" s="34"/>
      <c r="R79" s="34"/>
      <c r="S79" s="34"/>
      <c r="T79" s="34"/>
      <c r="U79" s="3"/>
      <c r="V79" s="4"/>
      <c r="W79" s="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BD79" s="16"/>
      <c r="BE79" s="16"/>
    </row>
    <row r="80" spans="1:57" ht="11.15" customHeight="1" x14ac:dyDescent="0.3">
      <c r="Q80" s="34"/>
      <c r="R80" s="34"/>
      <c r="S80" s="34"/>
      <c r="T80" s="34"/>
      <c r="U80" s="3"/>
      <c r="V80" s="4"/>
      <c r="W80" s="4"/>
      <c r="X80" s="34"/>
      <c r="Y80" s="34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BD80" s="16"/>
      <c r="BE80" s="16"/>
    </row>
    <row r="81" spans="1:57" ht="11.15" customHeight="1" x14ac:dyDescent="0.3"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1.15" customHeight="1" x14ac:dyDescent="0.3">
      <c r="Q82" s="16"/>
      <c r="R82" s="16"/>
      <c r="S82" s="16"/>
      <c r="T82" s="16"/>
      <c r="U82" s="16"/>
      <c r="V82" s="16"/>
      <c r="W82" s="16"/>
      <c r="X82" s="16"/>
      <c r="Y82" s="16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1.15" customHeight="1" x14ac:dyDescent="0.3"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1.15" customHeight="1" x14ac:dyDescent="0.3">
      <c r="Q84" s="15"/>
      <c r="R84" s="15"/>
      <c r="S84" s="15"/>
      <c r="T84" s="15"/>
      <c r="U84" s="15"/>
      <c r="V84" s="15"/>
      <c r="W84" s="15"/>
      <c r="X84" s="15"/>
      <c r="Y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1.15" customHeight="1" x14ac:dyDescent="0.3"/>
    <row r="86" spans="1:57" ht="11.15" customHeight="1" x14ac:dyDescent="0.3"/>
    <row r="87" spans="1:57" s="15" customFormat="1" ht="11.15" customHeight="1" x14ac:dyDescent="0.3">
      <c r="A87" s="120"/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Q87" s="120"/>
      <c r="R87" s="120"/>
      <c r="S87" s="120"/>
      <c r="T87" s="120"/>
      <c r="U87" s="120"/>
      <c r="V87" s="120"/>
      <c r="W87" s="120"/>
      <c r="X87" s="120"/>
      <c r="Y87" s="120"/>
      <c r="AJ87" s="120"/>
      <c r="AK87" s="120"/>
      <c r="AL87" s="120"/>
      <c r="AM87" s="120"/>
      <c r="AN87" s="120"/>
      <c r="AO87" s="120"/>
      <c r="AP87" s="120"/>
      <c r="AQ87" s="120"/>
      <c r="AR87" s="120"/>
      <c r="AS87" s="120"/>
      <c r="AT87" s="120"/>
      <c r="AU87" s="120"/>
      <c r="AV87" s="120"/>
      <c r="AW87" s="120"/>
      <c r="AX87" s="120"/>
      <c r="AY87" s="120"/>
      <c r="AZ87" s="120"/>
      <c r="BA87" s="120"/>
      <c r="BB87" s="120"/>
      <c r="BC87" s="120"/>
      <c r="BD87" s="120"/>
      <c r="BE87" s="120"/>
    </row>
    <row r="88" spans="1:57" s="15" customFormat="1" ht="11.15" customHeight="1" x14ac:dyDescent="0.3">
      <c r="A88" s="120"/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</row>
    <row r="89" spans="1:57" s="15" customFormat="1" ht="11.15" customHeight="1" x14ac:dyDescent="0.3">
      <c r="A89" s="120"/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</row>
    <row r="90" spans="1:57" s="15" customFormat="1" ht="11.15" customHeight="1" x14ac:dyDescent="0.3">
      <c r="A90" s="120"/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</row>
    <row r="91" spans="1:57" s="15" customFormat="1" ht="11.15" customHeight="1" x14ac:dyDescent="0.3">
      <c r="A91" s="120"/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</row>
    <row r="92" spans="1:57" s="15" customFormat="1" ht="11.15" customHeight="1" x14ac:dyDescent="0.3">
      <c r="A92" s="120"/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</row>
    <row r="93" spans="1:57" s="15" customFormat="1" ht="10.5" customHeight="1" x14ac:dyDescent="0.3">
      <c r="A93" s="120"/>
      <c r="B93" s="120"/>
      <c r="C93" s="120"/>
      <c r="D93" s="120"/>
      <c r="E93" s="120"/>
      <c r="F93" s="120"/>
      <c r="G93" s="120"/>
      <c r="H93" s="120"/>
      <c r="I93" s="120"/>
      <c r="J93" s="120"/>
      <c r="K93" s="120"/>
      <c r="L93" s="120"/>
      <c r="M93" s="120"/>
      <c r="N93" s="120"/>
      <c r="O93" s="120"/>
    </row>
    <row r="94" spans="1:57" s="15" customFormat="1" ht="18" customHeight="1" x14ac:dyDescent="0.3">
      <c r="A94" s="120"/>
      <c r="B94" s="120"/>
      <c r="C94" s="120"/>
      <c r="D94" s="120"/>
      <c r="E94" s="120"/>
      <c r="F94" s="120"/>
      <c r="G94" s="120"/>
      <c r="H94" s="120"/>
      <c r="I94" s="120"/>
      <c r="J94" s="120"/>
      <c r="K94" s="120"/>
      <c r="L94" s="120"/>
      <c r="M94" s="120"/>
      <c r="N94" s="120"/>
      <c r="O94" s="120"/>
    </row>
    <row r="95" spans="1:57" s="15" customFormat="1" ht="28" customHeight="1" x14ac:dyDescent="0.3">
      <c r="A95" s="120"/>
      <c r="B95" s="120"/>
      <c r="C95" s="120"/>
      <c r="D95" s="120"/>
      <c r="E95" s="120"/>
      <c r="F95" s="120"/>
      <c r="G95" s="120"/>
      <c r="H95" s="120"/>
      <c r="I95" s="120"/>
      <c r="J95" s="120"/>
      <c r="K95" s="120"/>
      <c r="L95" s="120"/>
      <c r="M95" s="120"/>
      <c r="N95" s="120"/>
      <c r="O95" s="120"/>
    </row>
    <row r="96" spans="1:57" s="15" customFormat="1" ht="9.75" customHeight="1" x14ac:dyDescent="0.3">
      <c r="A96" s="120"/>
      <c r="B96" s="120"/>
      <c r="C96" s="120"/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120"/>
      <c r="O96" s="120"/>
    </row>
    <row r="97" spans="1:15" s="15" customFormat="1" ht="14.15" customHeight="1" x14ac:dyDescent="0.3">
      <c r="A97" s="120"/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</row>
    <row r="98" spans="1:15" s="15" customFormat="1" ht="14.15" customHeight="1" x14ac:dyDescent="0.3">
      <c r="A98" s="120"/>
      <c r="B98" s="120"/>
      <c r="C98" s="120"/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120"/>
    </row>
    <row r="99" spans="1:15" s="15" customFormat="1" ht="14.15" customHeight="1" x14ac:dyDescent="0.3">
      <c r="A99" s="120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</row>
    <row r="100" spans="1:15" s="15" customFormat="1" ht="12" customHeight="1" x14ac:dyDescent="0.3">
      <c r="A100" s="120"/>
      <c r="B100" s="120"/>
      <c r="C100" s="120"/>
      <c r="D100" s="120"/>
      <c r="E100" s="120"/>
      <c r="F100" s="120"/>
      <c r="G100" s="120"/>
      <c r="H100" s="120"/>
      <c r="I100" s="120"/>
      <c r="J100" s="120"/>
      <c r="K100" s="120"/>
      <c r="L100" s="120"/>
      <c r="M100" s="120"/>
      <c r="N100" s="120"/>
      <c r="O100" s="120"/>
    </row>
    <row r="101" spans="1:15" s="15" customFormat="1" ht="12" customHeight="1" x14ac:dyDescent="0.3">
      <c r="A101" s="120"/>
      <c r="B101" s="120"/>
      <c r="C101" s="120"/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120"/>
      <c r="O101" s="120"/>
    </row>
    <row r="102" spans="1:15" s="15" customFormat="1" ht="14.15" customHeight="1" x14ac:dyDescent="0.3">
      <c r="A102" s="120"/>
      <c r="B102" s="120"/>
      <c r="C102" s="120"/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120"/>
      <c r="O102" s="120"/>
    </row>
    <row r="103" spans="1:15" s="15" customFormat="1" ht="14.15" customHeight="1" x14ac:dyDescent="0.3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120"/>
      <c r="O103" s="120"/>
    </row>
    <row r="104" spans="1:15" s="15" customFormat="1" ht="14.15" customHeight="1" x14ac:dyDescent="0.3">
      <c r="A104" s="120"/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</row>
    <row r="105" spans="1:15" s="15" customFormat="1" ht="14.15" customHeight="1" x14ac:dyDescent="0.3">
      <c r="A105" s="120"/>
      <c r="B105" s="120"/>
      <c r="C105" s="120"/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120"/>
      <c r="O105" s="120"/>
    </row>
    <row r="106" spans="1:15" s="15" customFormat="1" ht="13.5" customHeight="1" x14ac:dyDescent="0.3">
      <c r="A106" s="120"/>
      <c r="B106" s="120"/>
      <c r="C106" s="120"/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120"/>
      <c r="O106" s="120"/>
    </row>
    <row r="107" spans="1:15" s="15" customFormat="1" ht="15" customHeight="1" x14ac:dyDescent="0.3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120"/>
      <c r="O107" s="120"/>
    </row>
    <row r="108" spans="1:15" s="15" customFormat="1" ht="20.149999999999999" customHeight="1" x14ac:dyDescent="0.3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120"/>
      <c r="O108" s="120"/>
    </row>
    <row r="109" spans="1:15" s="15" customFormat="1" ht="15" customHeight="1" x14ac:dyDescent="0.3">
      <c r="A109" s="120"/>
      <c r="B109" s="120"/>
      <c r="C109" s="120"/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</row>
    <row r="110" spans="1:15" s="15" customFormat="1" ht="15" customHeight="1" x14ac:dyDescent="0.3">
      <c r="A110" s="120"/>
      <c r="B110" s="120"/>
      <c r="C110" s="120"/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</row>
    <row r="111" spans="1:15" s="15" customFormat="1" ht="15" customHeight="1" x14ac:dyDescent="0.3">
      <c r="A111" s="120"/>
      <c r="B111" s="120"/>
      <c r="C111" s="120"/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</row>
    <row r="112" spans="1:15" s="15" customFormat="1" ht="15" customHeight="1" x14ac:dyDescent="0.3">
      <c r="A112" s="120"/>
      <c r="B112" s="120"/>
      <c r="C112" s="120"/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</row>
    <row r="113" spans="1:35" s="15" customFormat="1" ht="20.149999999999999" customHeight="1" x14ac:dyDescent="0.3">
      <c r="A113" s="120"/>
      <c r="B113" s="120"/>
      <c r="C113" s="120"/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120"/>
      <c r="O113" s="120"/>
    </row>
    <row r="114" spans="1:35" s="15" customFormat="1" ht="20.149999999999999" customHeight="1" x14ac:dyDescent="0.3">
      <c r="A114" s="120"/>
      <c r="B114" s="120"/>
      <c r="C114" s="120"/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120"/>
      <c r="O114" s="120"/>
    </row>
    <row r="115" spans="1:35" s="15" customFormat="1" ht="21" customHeight="1" x14ac:dyDescent="0.3">
      <c r="A115" s="120"/>
      <c r="B115" s="120"/>
      <c r="C115" s="120"/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120"/>
      <c r="O115" s="120"/>
    </row>
    <row r="116" spans="1:35" s="15" customFormat="1" ht="15" customHeight="1" x14ac:dyDescent="0.3">
      <c r="A116" s="120"/>
      <c r="B116" s="120"/>
      <c r="C116" s="120"/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120"/>
      <c r="O116" s="120"/>
    </row>
    <row r="117" spans="1:35" s="15" customFormat="1" ht="15" customHeight="1" x14ac:dyDescent="0.3">
      <c r="A117" s="120"/>
      <c r="B117" s="120"/>
      <c r="C117" s="120"/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120"/>
      <c r="O117" s="120"/>
    </row>
    <row r="118" spans="1:35" s="15" customFormat="1" ht="14.15" customHeight="1" x14ac:dyDescent="0.3">
      <c r="A118" s="120"/>
      <c r="B118" s="120"/>
      <c r="C118" s="120"/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</row>
    <row r="119" spans="1:35" s="15" customFormat="1" ht="14.15" customHeight="1" x14ac:dyDescent="0.3">
      <c r="A119" s="120"/>
      <c r="B119" s="120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</row>
    <row r="120" spans="1:35" s="15" customFormat="1" ht="14.15" customHeight="1" x14ac:dyDescent="0.3">
      <c r="A120" s="120"/>
      <c r="B120" s="120"/>
      <c r="C120" s="120"/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120"/>
      <c r="O120" s="120"/>
    </row>
    <row r="121" spans="1:35" s="15" customFormat="1" ht="14.15" customHeight="1" x14ac:dyDescent="0.3">
      <c r="A121" s="120"/>
      <c r="B121" s="120"/>
      <c r="C121" s="120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120"/>
      <c r="O121" s="120"/>
    </row>
    <row r="122" spans="1:35" s="15" customFormat="1" ht="15" customHeight="1" x14ac:dyDescent="0.3">
      <c r="A122" s="120"/>
      <c r="B122" s="120"/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</row>
    <row r="123" spans="1:35" s="16" customFormat="1" ht="15" customHeight="1" x14ac:dyDescent="0.3">
      <c r="A123" s="120"/>
      <c r="B123" s="120"/>
      <c r="C123" s="120"/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120"/>
      <c r="O123" s="120"/>
    </row>
    <row r="124" spans="1:35" s="16" customFormat="1" ht="15" customHeight="1" x14ac:dyDescent="0.3">
      <c r="A124" s="120"/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</row>
    <row r="125" spans="1:35" s="16" customFormat="1" ht="15" hidden="1" customHeight="1" x14ac:dyDescent="0.3">
      <c r="A125" s="120"/>
      <c r="B125" s="120"/>
      <c r="C125" s="120"/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120"/>
      <c r="O125" s="120"/>
    </row>
    <row r="126" spans="1:35" s="16" customFormat="1" ht="15" customHeight="1" x14ac:dyDescent="0.3">
      <c r="A126" s="120"/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0"/>
      <c r="O126" s="120"/>
    </row>
    <row r="127" spans="1:35" s="16" customFormat="1" ht="15" customHeight="1" x14ac:dyDescent="0.3">
      <c r="A127" s="120"/>
      <c r="B127" s="120"/>
      <c r="C127" s="120"/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120"/>
      <c r="O127" s="120"/>
    </row>
    <row r="128" spans="1:35" s="16" customFormat="1" ht="15" hidden="1" customHeight="1" x14ac:dyDescent="0.3">
      <c r="A128" s="120"/>
      <c r="B128" s="120"/>
      <c r="C128" s="120"/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120"/>
      <c r="O128" s="120"/>
    </row>
    <row r="129" spans="1:35" s="16" customFormat="1" ht="15" customHeight="1" x14ac:dyDescent="0.3">
      <c r="A129" s="120"/>
      <c r="B129" s="120"/>
      <c r="C129" s="120"/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N129" s="120"/>
      <c r="O129" s="120"/>
    </row>
    <row r="130" spans="1:35" s="16" customFormat="1" ht="15" customHeight="1" x14ac:dyDescent="0.3">
      <c r="A130" s="120"/>
      <c r="B130" s="120"/>
      <c r="C130" s="120"/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</row>
    <row r="131" spans="1:35" s="16" customFormat="1" ht="15" hidden="1" customHeight="1" x14ac:dyDescent="0.3">
      <c r="A131" s="120"/>
      <c r="B131" s="120"/>
      <c r="C131" s="120"/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N131" s="120"/>
      <c r="O131" s="120"/>
    </row>
    <row r="132" spans="1:35" s="16" customFormat="1" ht="15" hidden="1" customHeight="1" x14ac:dyDescent="0.3">
      <c r="A132" s="120"/>
      <c r="B132" s="120"/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</row>
    <row r="133" spans="1:35" s="16" customFormat="1" ht="15" customHeight="1" x14ac:dyDescent="0.3">
      <c r="A133" s="120"/>
      <c r="B133" s="120"/>
      <c r="C133" s="120"/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N133" s="120"/>
      <c r="O133" s="120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</row>
    <row r="134" spans="1:35" s="15" customFormat="1" ht="15" customHeight="1" x14ac:dyDescent="0.3">
      <c r="A134" s="120"/>
      <c r="B134" s="120"/>
      <c r="C134" s="120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N134" s="120"/>
      <c r="O134" s="120"/>
    </row>
    <row r="135" spans="1:35" s="15" customFormat="1" ht="15" hidden="1" customHeight="1" x14ac:dyDescent="0.3">
      <c r="A135" s="120"/>
      <c r="B135" s="120"/>
      <c r="C135" s="120"/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120"/>
      <c r="O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</row>
    <row r="136" spans="1:35" ht="15" customHeight="1" x14ac:dyDescent="0.3"/>
    <row r="137" spans="1:35" ht="15" customHeight="1" x14ac:dyDescent="0.3"/>
    <row r="138" spans="1:35" ht="15" customHeight="1" x14ac:dyDescent="0.3"/>
    <row r="139" spans="1:35" ht="15" customHeight="1" x14ac:dyDescent="0.3"/>
    <row r="140" spans="1:35" ht="15" customHeight="1" x14ac:dyDescent="0.3"/>
    <row r="141" spans="1:35" ht="15" customHeight="1" x14ac:dyDescent="0.3"/>
    <row r="142" spans="1:35" ht="15" customHeight="1" x14ac:dyDescent="0.3"/>
    <row r="143" spans="1:35" ht="24" customHeight="1" x14ac:dyDescent="0.3"/>
    <row r="144" spans="1:35" ht="22" customHeight="1" x14ac:dyDescent="0.3"/>
    <row r="145" spans="26:35" ht="21" customHeight="1" x14ac:dyDescent="0.3"/>
    <row r="146" spans="26:35" ht="15.75" customHeight="1" x14ac:dyDescent="0.3"/>
    <row r="147" spans="26:35" ht="12.75" customHeight="1" x14ac:dyDescent="0.3"/>
    <row r="148" spans="26:35" ht="18.75" customHeight="1" x14ac:dyDescent="0.3"/>
    <row r="149" spans="26:35" ht="29.25" customHeight="1" x14ac:dyDescent="0.3"/>
    <row r="150" spans="26:35" ht="28" customHeight="1" x14ac:dyDescent="0.3"/>
    <row r="151" spans="26:35" ht="28" customHeight="1" x14ac:dyDescent="0.3"/>
    <row r="152" spans="26:35" ht="13" customHeight="1" x14ac:dyDescent="0.3"/>
    <row r="153" spans="26:35" ht="12" customHeight="1" x14ac:dyDescent="0.3"/>
    <row r="160" spans="26:35" x14ac:dyDescent="0.3"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</row>
    <row r="161" spans="16:50" x14ac:dyDescent="0.3">
      <c r="P161" s="34"/>
      <c r="Q161" s="34"/>
      <c r="R161" s="34"/>
      <c r="S161" s="34"/>
      <c r="T161" s="3">
        <v>66</v>
      </c>
      <c r="U161" s="4">
        <f>+$W$72+((T78-$U$72)*(($V$168-$W$72)/($T$168-$U$72)))</f>
        <v>0</v>
      </c>
      <c r="V161" s="4">
        <f t="shared" ref="V161:V167" si="0">+$W$72+((T161-$U$72)*(($V$168-$W$72)/($T$168-$U$72)))</f>
        <v>0.92023988005997004</v>
      </c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</row>
    <row r="162" spans="16:50" x14ac:dyDescent="0.3">
      <c r="P162" s="34"/>
      <c r="Q162" s="34"/>
      <c r="R162" s="34"/>
      <c r="S162" s="34"/>
      <c r="T162" s="3">
        <v>66.099999999999994</v>
      </c>
      <c r="U162" s="4">
        <f>+$W$72+((T79-$U$72)*(($V$168-$W$72)/($T$168-$U$72)))</f>
        <v>0</v>
      </c>
      <c r="V162" s="4">
        <f t="shared" si="0"/>
        <v>0.92163418290854571</v>
      </c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</row>
    <row r="163" spans="16:50" x14ac:dyDescent="0.3">
      <c r="P163" s="34"/>
      <c r="Q163" s="34"/>
      <c r="R163" s="34"/>
      <c r="S163" s="34"/>
      <c r="T163" s="3">
        <v>66.2</v>
      </c>
      <c r="U163" s="4">
        <f>+$W$72+((T80-$U$72)*(($V$168-$W$72)/($T$168-$U$72)))</f>
        <v>0</v>
      </c>
      <c r="V163" s="4">
        <f t="shared" si="0"/>
        <v>0.92302848575712149</v>
      </c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</row>
    <row r="164" spans="16:50" x14ac:dyDescent="0.3">
      <c r="P164" s="34"/>
      <c r="Q164" s="34"/>
      <c r="R164" s="34"/>
      <c r="S164" s="34"/>
      <c r="T164" s="3">
        <v>66.300000000000097</v>
      </c>
      <c r="U164" s="4">
        <f>+$W$72+((S161-$U$72)*(($V$168-$W$72)/($T$168-$U$72)))</f>
        <v>0</v>
      </c>
      <c r="V164" s="4">
        <f t="shared" si="0"/>
        <v>0.92442278860569849</v>
      </c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</row>
    <row r="165" spans="16:50" x14ac:dyDescent="0.3">
      <c r="P165" s="34"/>
      <c r="Q165" s="34"/>
      <c r="R165" s="34"/>
      <c r="S165" s="34"/>
      <c r="T165" s="3">
        <v>66.400000000000006</v>
      </c>
      <c r="U165" s="4">
        <f>+$W$72+((S162-$U$72)*(($V$168-$W$72)/($T$168-$U$72)))</f>
        <v>0</v>
      </c>
      <c r="V165" s="4">
        <f t="shared" si="0"/>
        <v>0.92581709145427293</v>
      </c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</row>
    <row r="166" spans="16:50" x14ac:dyDescent="0.3">
      <c r="P166" s="34"/>
      <c r="Q166" s="34"/>
      <c r="R166" s="34"/>
      <c r="S166" s="34"/>
      <c r="T166" s="3">
        <v>66.500000000000099</v>
      </c>
      <c r="U166" s="4">
        <f>+$W$72+((S163-$U$72)*(($V$168-$W$72)/($T$168-$U$72)))</f>
        <v>0</v>
      </c>
      <c r="V166" s="4">
        <f t="shared" si="0"/>
        <v>0.92721139430284993</v>
      </c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</row>
    <row r="167" spans="16:50" x14ac:dyDescent="0.3">
      <c r="P167" s="34"/>
      <c r="Q167" s="34"/>
      <c r="R167" s="34"/>
      <c r="S167" s="34"/>
      <c r="T167" s="3">
        <v>66.600000000000094</v>
      </c>
      <c r="U167" s="4">
        <f>+$W$72+((S164-$U$72)*(($V$168-$W$72)/($T$168-$U$72)))</f>
        <v>0</v>
      </c>
      <c r="V167" s="4">
        <f t="shared" si="0"/>
        <v>0.9286056971514256</v>
      </c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</row>
    <row r="168" spans="16:50" x14ac:dyDescent="0.3">
      <c r="P168" s="34"/>
      <c r="Q168" s="34"/>
      <c r="R168" s="34"/>
      <c r="S168" s="34"/>
      <c r="T168" s="5">
        <v>66.7</v>
      </c>
      <c r="U168" s="6">
        <v>0.93</v>
      </c>
      <c r="V168" s="6">
        <v>0.93</v>
      </c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</row>
    <row r="169" spans="16:50" x14ac:dyDescent="0.3"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</row>
    <row r="170" spans="16:50" x14ac:dyDescent="0.3"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</row>
    <row r="171" spans="16:50" x14ac:dyDescent="0.3"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</row>
    <row r="172" spans="16:50" x14ac:dyDescent="0.3"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</row>
    <row r="173" spans="16:50" x14ac:dyDescent="0.3"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</row>
    <row r="174" spans="16:50" x14ac:dyDescent="0.3"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</row>
    <row r="175" spans="16:50" x14ac:dyDescent="0.3"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</row>
    <row r="176" spans="16:50" x14ac:dyDescent="0.3"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</row>
    <row r="177" spans="16:50" x14ac:dyDescent="0.3"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</row>
  </sheetData>
  <sheetProtection password="B39D" sheet="1" formatCells="0" formatColumns="0" formatRows="0"/>
  <protectedRanges>
    <protectedRange sqref="M2:N4" name="Rango1_1_1_1_1"/>
  </protectedRanges>
  <mergeCells count="83">
    <mergeCell ref="N20:O20"/>
    <mergeCell ref="Q62:R62"/>
    <mergeCell ref="Q65:R66"/>
    <mergeCell ref="Q67:R67"/>
    <mergeCell ref="A1:B5"/>
    <mergeCell ref="C1:O3"/>
    <mergeCell ref="C4:L4"/>
    <mergeCell ref="C5:O5"/>
    <mergeCell ref="A36:O36"/>
    <mergeCell ref="A38:O39"/>
    <mergeCell ref="M4:O4"/>
    <mergeCell ref="Q12:X12"/>
    <mergeCell ref="A10:O10"/>
    <mergeCell ref="A11:D11"/>
    <mergeCell ref="H11:I11"/>
    <mergeCell ref="H12:I12"/>
    <mergeCell ref="AL61:AP61"/>
    <mergeCell ref="AR61:AV61"/>
    <mergeCell ref="A45:C45"/>
    <mergeCell ref="A40:C40"/>
    <mergeCell ref="A41:C41"/>
    <mergeCell ref="A42:C42"/>
    <mergeCell ref="A43:C43"/>
    <mergeCell ref="A44:C44"/>
    <mergeCell ref="AG25:AI25"/>
    <mergeCell ref="A23:E23"/>
    <mergeCell ref="G23:H23"/>
    <mergeCell ref="I23:K23"/>
    <mergeCell ref="L23:O23"/>
    <mergeCell ref="L25:O25"/>
    <mergeCell ref="G27:H27"/>
    <mergeCell ref="B29:D29"/>
    <mergeCell ref="A26:E26"/>
    <mergeCell ref="G26:H26"/>
    <mergeCell ref="A27:E27"/>
    <mergeCell ref="W13:X13"/>
    <mergeCell ref="Q17:X17"/>
    <mergeCell ref="A17:G17"/>
    <mergeCell ref="H17:I17"/>
    <mergeCell ref="A18:G18"/>
    <mergeCell ref="H18:I18"/>
    <mergeCell ref="H15:I15"/>
    <mergeCell ref="A15:G15"/>
    <mergeCell ref="N18:O18"/>
    <mergeCell ref="Q18:R18"/>
    <mergeCell ref="S18:T18"/>
    <mergeCell ref="U18:V18"/>
    <mergeCell ref="W18:X18"/>
    <mergeCell ref="H16:I16"/>
    <mergeCell ref="N11:O17"/>
    <mergeCell ref="A12:G12"/>
    <mergeCell ref="Q13:R13"/>
    <mergeCell ref="S13:T13"/>
    <mergeCell ref="U13:V13"/>
    <mergeCell ref="F29:H29"/>
    <mergeCell ref="J29:K29"/>
    <mergeCell ref="A13:G13"/>
    <mergeCell ref="H13:I13"/>
    <mergeCell ref="A14:G14"/>
    <mergeCell ref="H14:I14"/>
    <mergeCell ref="A16:G16"/>
    <mergeCell ref="U26:U29"/>
    <mergeCell ref="A24:E24"/>
    <mergeCell ref="G24:H24"/>
    <mergeCell ref="I24:K24"/>
    <mergeCell ref="L24:O24"/>
    <mergeCell ref="A25:E25"/>
    <mergeCell ref="B32:N35"/>
    <mergeCell ref="D31:N31"/>
    <mergeCell ref="J7:K7"/>
    <mergeCell ref="L8:N8"/>
    <mergeCell ref="L7:N7"/>
    <mergeCell ref="N19:O19"/>
    <mergeCell ref="A21:G21"/>
    <mergeCell ref="H21:I21"/>
    <mergeCell ref="N21:O21"/>
    <mergeCell ref="A22:O22"/>
    <mergeCell ref="A19:G19"/>
    <mergeCell ref="H19:I19"/>
    <mergeCell ref="A20:G20"/>
    <mergeCell ref="H20:I20"/>
    <mergeCell ref="G25:H25"/>
    <mergeCell ref="I25:K25"/>
  </mergeCells>
  <printOptions horizontalCentered="1"/>
  <pageMargins left="0.59055118110236227" right="0.39370078740157483" top="0.59055118110236227" bottom="0.59055118110236227" header="0" footer="0.19685039370078741"/>
  <pageSetup paperSize="9" pageOrder="overThenDown"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de 1
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0"/>
  </sheetPr>
  <dimension ref="A1:BI185"/>
  <sheetViews>
    <sheetView showGridLines="0" view="pageBreakPreview" topLeftCell="A27" zoomScaleSheetLayoutView="100" workbookViewId="0">
      <selection activeCell="G44" sqref="G44"/>
    </sheetView>
  </sheetViews>
  <sheetFormatPr baseColWidth="10" defaultColWidth="11.453125" defaultRowHeight="13" x14ac:dyDescent="0.3"/>
  <cols>
    <col min="1" max="1" width="3.54296875" style="120" customWidth="1"/>
    <col min="2" max="2" width="4" style="120" customWidth="1"/>
    <col min="3" max="3" width="8.54296875" style="120" customWidth="1"/>
    <col min="4" max="4" width="6" style="120" customWidth="1"/>
    <col min="5" max="5" width="5.1796875" style="120" customWidth="1"/>
    <col min="6" max="6" width="6.1796875" style="120" customWidth="1"/>
    <col min="7" max="7" width="5.1796875" style="120" customWidth="1"/>
    <col min="8" max="8" width="3.7265625" style="120" customWidth="1"/>
    <col min="9" max="9" width="5.7265625" style="120" customWidth="1"/>
    <col min="10" max="10" width="4.7265625" style="120" customWidth="1"/>
    <col min="11" max="14" width="7.7265625" style="120" customWidth="1"/>
    <col min="15" max="16" width="4.7265625" style="120" customWidth="1"/>
    <col min="17" max="17" width="7" style="120" customWidth="1"/>
    <col min="18" max="18" width="12.1796875" style="120" customWidth="1"/>
    <col min="19" max="19" width="11" style="120" customWidth="1"/>
    <col min="20" max="20" width="31.26953125" style="120" customWidth="1"/>
    <col min="21" max="21" width="13.453125" style="120" customWidth="1"/>
    <col min="22" max="27" width="11.453125" style="120" customWidth="1"/>
    <col min="28" max="28" width="6.26953125" style="120" customWidth="1"/>
    <col min="29" max="29" width="10.7265625" style="120" customWidth="1"/>
    <col min="30" max="30" width="18.81640625" style="120" customWidth="1"/>
    <col min="31" max="52" width="11.453125" style="120" customWidth="1"/>
    <col min="53" max="16384" width="11.453125" style="120"/>
  </cols>
  <sheetData>
    <row r="1" spans="1:56" ht="15" customHeight="1" thickTop="1" thickBot="1" x14ac:dyDescent="0.5">
      <c r="A1" s="511"/>
      <c r="B1" s="512"/>
      <c r="C1" s="512"/>
      <c r="D1" s="1281" t="s">
        <v>309</v>
      </c>
      <c r="E1" s="1282"/>
      <c r="F1" s="1282"/>
      <c r="G1" s="1282"/>
      <c r="H1" s="1282"/>
      <c r="I1" s="1282"/>
      <c r="J1" s="1282"/>
      <c r="K1" s="1282"/>
      <c r="L1" s="1282"/>
      <c r="M1" s="1282"/>
      <c r="N1" s="1282"/>
      <c r="O1" s="1282"/>
      <c r="P1" s="1283"/>
      <c r="Q1" s="528"/>
      <c r="R1" s="528"/>
      <c r="S1" s="279"/>
      <c r="T1" s="234"/>
      <c r="U1" s="234"/>
      <c r="V1" s="234"/>
      <c r="W1" s="234"/>
      <c r="X1" s="234"/>
      <c r="Y1" s="234"/>
      <c r="Z1" s="234"/>
      <c r="AA1" s="234"/>
      <c r="AB1" s="234"/>
      <c r="AC1" s="234"/>
      <c r="AD1" s="34"/>
      <c r="AE1" s="1684" t="s">
        <v>255</v>
      </c>
      <c r="AF1" s="1685"/>
      <c r="AG1" s="34"/>
      <c r="AH1" s="1680" t="s">
        <v>190</v>
      </c>
      <c r="AI1" s="1680"/>
      <c r="AJ1" s="1680"/>
      <c r="AK1" s="1680"/>
      <c r="AL1" s="1680"/>
      <c r="AM1" s="1680"/>
      <c r="AN1" s="1680"/>
      <c r="AO1" s="1680"/>
      <c r="AP1" s="1680"/>
      <c r="AQ1" s="1680"/>
      <c r="AR1" s="1680"/>
      <c r="AS1" s="1680"/>
      <c r="AT1" s="1680"/>
      <c r="AU1" s="1680"/>
      <c r="AV1" s="1680"/>
      <c r="AW1" s="1680"/>
      <c r="AX1" s="1680"/>
      <c r="AY1" s="1680"/>
      <c r="AZ1" s="1680"/>
      <c r="BA1" s="34"/>
      <c r="BB1" s="34"/>
      <c r="BC1" s="34"/>
      <c r="BD1" s="34"/>
    </row>
    <row r="2" spans="1:56" ht="15" customHeight="1" x14ac:dyDescent="0.3">
      <c r="A2" s="56"/>
      <c r="B2" s="34"/>
      <c r="C2" s="34"/>
      <c r="D2" s="1284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5"/>
      <c r="P2" s="1286"/>
      <c r="Q2" s="528"/>
      <c r="R2" s="528"/>
      <c r="S2" s="280"/>
      <c r="T2" s="1700" t="s">
        <v>229</v>
      </c>
      <c r="U2" s="1701"/>
      <c r="V2" s="1701"/>
      <c r="W2" s="1701"/>
      <c r="X2" s="1701"/>
      <c r="Y2" s="1701"/>
      <c r="Z2" s="1701"/>
      <c r="AA2" s="1701"/>
      <c r="AB2" s="1701"/>
      <c r="AC2" s="917"/>
      <c r="AD2" s="34"/>
      <c r="AE2" s="186" t="s">
        <v>25</v>
      </c>
      <c r="AF2" s="187" t="s">
        <v>26</v>
      </c>
      <c r="AH2" s="94"/>
      <c r="AI2" s="95"/>
      <c r="AJ2" s="95"/>
      <c r="AK2" s="96"/>
      <c r="AL2" s="96"/>
      <c r="AM2" s="96"/>
      <c r="AN2" s="97"/>
      <c r="AO2" s="97"/>
      <c r="AP2" s="97"/>
      <c r="AQ2" s="97"/>
      <c r="AR2" s="97"/>
      <c r="AS2" s="97"/>
      <c r="AT2" s="97"/>
      <c r="AU2" s="97"/>
      <c r="AV2" s="97"/>
      <c r="AW2" s="98"/>
      <c r="AX2" s="98"/>
      <c r="AY2" s="98"/>
      <c r="AZ2" s="99"/>
      <c r="BA2" s="34"/>
      <c r="BB2" s="34"/>
      <c r="BC2" s="34"/>
      <c r="BD2" s="34"/>
    </row>
    <row r="3" spans="1:56" ht="15" customHeight="1" x14ac:dyDescent="0.3">
      <c r="A3" s="56"/>
      <c r="B3" s="34"/>
      <c r="C3" s="34"/>
      <c r="D3" s="1433"/>
      <c r="E3" s="1434"/>
      <c r="F3" s="1434"/>
      <c r="G3" s="1434"/>
      <c r="H3" s="1434"/>
      <c r="I3" s="1434"/>
      <c r="J3" s="1434"/>
      <c r="K3" s="1434"/>
      <c r="L3" s="1434"/>
      <c r="M3" s="1434"/>
      <c r="N3" s="1434"/>
      <c r="O3" s="1434"/>
      <c r="P3" s="1435"/>
      <c r="Q3" s="528"/>
      <c r="R3" s="528"/>
      <c r="S3" s="280"/>
      <c r="T3" s="918"/>
      <c r="U3" s="321">
        <v>1</v>
      </c>
      <c r="V3" s="243" t="s">
        <v>110</v>
      </c>
      <c r="W3" s="243" t="s">
        <v>32</v>
      </c>
      <c r="X3" s="155" t="s">
        <v>454</v>
      </c>
      <c r="Y3" s="155" t="s">
        <v>431</v>
      </c>
      <c r="Z3" s="155" t="s">
        <v>432</v>
      </c>
      <c r="AA3" s="243" t="s">
        <v>112</v>
      </c>
      <c r="AB3" s="453" t="s">
        <v>288</v>
      </c>
      <c r="AC3" s="924"/>
      <c r="AD3" s="34"/>
      <c r="AE3" s="180">
        <v>57.2</v>
      </c>
      <c r="AF3" s="181">
        <v>1.19</v>
      </c>
      <c r="AH3" s="102"/>
      <c r="AI3" s="522" t="s">
        <v>191</v>
      </c>
      <c r="AJ3" s="522"/>
      <c r="AK3" s="522"/>
      <c r="AL3" s="522"/>
      <c r="AM3" s="522"/>
      <c r="AN3" s="103"/>
      <c r="AO3" s="522" t="s">
        <v>480</v>
      </c>
      <c r="AP3" s="522"/>
      <c r="AQ3" s="522"/>
      <c r="AR3" s="522"/>
      <c r="AS3" s="522"/>
      <c r="AT3" s="103"/>
      <c r="AU3" s="522" t="s">
        <v>192</v>
      </c>
      <c r="AV3" s="522"/>
      <c r="AW3" s="522"/>
      <c r="AX3" s="522"/>
      <c r="AY3" s="522"/>
      <c r="AZ3" s="104"/>
      <c r="BA3" s="34"/>
      <c r="BB3" s="34"/>
      <c r="BC3" s="34"/>
      <c r="BD3" s="34"/>
    </row>
    <row r="4" spans="1:56" ht="15" customHeight="1" x14ac:dyDescent="0.3">
      <c r="A4" s="56"/>
      <c r="B4" s="34"/>
      <c r="C4" s="34"/>
      <c r="D4" s="1287" t="s">
        <v>205</v>
      </c>
      <c r="E4" s="1287"/>
      <c r="F4" s="1287"/>
      <c r="G4" s="1287"/>
      <c r="H4" s="1287"/>
      <c r="I4" s="1287"/>
      <c r="J4" s="1287"/>
      <c r="K4" s="1287"/>
      <c r="L4" s="1287"/>
      <c r="M4" s="1287"/>
      <c r="N4" s="1287" t="s">
        <v>473</v>
      </c>
      <c r="O4" s="1287"/>
      <c r="P4" s="1287"/>
      <c r="Q4" s="557"/>
      <c r="R4" s="557"/>
      <c r="S4" s="235"/>
      <c r="T4" s="918"/>
      <c r="U4" s="321">
        <v>2</v>
      </c>
      <c r="V4" s="243"/>
      <c r="W4" s="243"/>
      <c r="X4" s="155"/>
      <c r="Y4" s="155"/>
      <c r="Z4" s="155"/>
      <c r="AA4" s="243"/>
      <c r="AB4" s="346"/>
      <c r="AC4" s="524"/>
      <c r="AD4" s="34"/>
      <c r="AE4" s="182">
        <v>57.2</v>
      </c>
      <c r="AF4" s="183">
        <f t="shared" ref="AF4:AF17" si="0">+$AF$3+((AE5-$AE$3)*(($AF$19-$AF$3)/($AE$19-$AE$3)))</f>
        <v>1.1866666666666668</v>
      </c>
      <c r="AH4" s="102"/>
      <c r="AI4" s="34"/>
      <c r="AJ4" s="105" t="s">
        <v>193</v>
      </c>
      <c r="AK4" s="106">
        <v>0.2</v>
      </c>
      <c r="AL4" s="107"/>
      <c r="AM4" s="107"/>
      <c r="AN4" s="103"/>
      <c r="AO4" s="34"/>
      <c r="AP4" s="105" t="s">
        <v>193</v>
      </c>
      <c r="AQ4" s="106">
        <v>0.2</v>
      </c>
      <c r="AR4" s="107"/>
      <c r="AS4" s="107"/>
      <c r="AT4" s="103"/>
      <c r="AU4" s="34"/>
      <c r="AV4" s="105" t="s">
        <v>193</v>
      </c>
      <c r="AW4" s="106">
        <v>0.2</v>
      </c>
      <c r="AX4" s="107"/>
      <c r="AY4" s="107"/>
      <c r="AZ4" s="104"/>
      <c r="BA4" s="34"/>
      <c r="BB4" s="34"/>
      <c r="BC4" s="34"/>
      <c r="BD4" s="34"/>
    </row>
    <row r="5" spans="1:56" ht="15" customHeight="1" x14ac:dyDescent="0.3">
      <c r="A5" s="56"/>
      <c r="B5" s="34"/>
      <c r="C5" s="34"/>
      <c r="D5" s="1681" t="s">
        <v>468</v>
      </c>
      <c r="E5" s="1681"/>
      <c r="F5" s="1681"/>
      <c r="G5" s="1681"/>
      <c r="H5" s="1681"/>
      <c r="I5" s="1681"/>
      <c r="J5" s="1681"/>
      <c r="K5" s="1681"/>
      <c r="L5" s="1681"/>
      <c r="M5" s="1681"/>
      <c r="N5" s="1681"/>
      <c r="O5" s="1681"/>
      <c r="P5" s="1681"/>
      <c r="Q5" s="557"/>
      <c r="R5" s="557"/>
      <c r="S5" s="235"/>
      <c r="T5" s="919" t="s">
        <v>98</v>
      </c>
      <c r="U5" s="321">
        <v>3</v>
      </c>
      <c r="V5" s="1069">
        <v>2.6</v>
      </c>
      <c r="W5" s="1066">
        <v>2.62</v>
      </c>
      <c r="X5" s="1066">
        <v>2.62</v>
      </c>
      <c r="Y5" s="435">
        <v>2.4060000000000001</v>
      </c>
      <c r="Z5" s="925">
        <v>2.379</v>
      </c>
      <c r="AA5" s="159">
        <v>2.54</v>
      </c>
      <c r="AB5" s="914">
        <f>+(2.62*0.2833)+(2.63*0.7167)</f>
        <v>2.627167</v>
      </c>
      <c r="AC5" s="524"/>
      <c r="AD5" s="34"/>
      <c r="AE5" s="182">
        <v>57.3</v>
      </c>
      <c r="AF5" s="183">
        <f t="shared" si="0"/>
        <v>1.1833333333333333</v>
      </c>
      <c r="AH5" s="102"/>
      <c r="AI5" s="34"/>
      <c r="AJ5" s="108" t="s">
        <v>194</v>
      </c>
      <c r="AK5" s="108" t="s">
        <v>195</v>
      </c>
      <c r="AL5" s="108" t="s">
        <v>196</v>
      </c>
      <c r="AM5" s="108" t="s">
        <v>197</v>
      </c>
      <c r="AN5" s="103"/>
      <c r="AO5" s="34"/>
      <c r="AP5" s="108" t="s">
        <v>194</v>
      </c>
      <c r="AQ5" s="108" t="s">
        <v>195</v>
      </c>
      <c r="AR5" s="108" t="s">
        <v>196</v>
      </c>
      <c r="AS5" s="108" t="s">
        <v>197</v>
      </c>
      <c r="AT5" s="103"/>
      <c r="AU5" s="34"/>
      <c r="AV5" s="108" t="s">
        <v>194</v>
      </c>
      <c r="AW5" s="108" t="s">
        <v>195</v>
      </c>
      <c r="AX5" s="108" t="s">
        <v>196</v>
      </c>
      <c r="AY5" s="108" t="s">
        <v>197</v>
      </c>
      <c r="AZ5" s="104"/>
      <c r="BA5" s="34"/>
      <c r="BB5" s="34"/>
      <c r="BC5" s="34"/>
      <c r="BD5" s="34"/>
    </row>
    <row r="6" spans="1:56" ht="15" customHeight="1" x14ac:dyDescent="0.3">
      <c r="A6" s="558"/>
      <c r="B6" s="530"/>
      <c r="C6" s="530"/>
      <c r="D6" s="530"/>
      <c r="E6" s="530"/>
      <c r="F6" s="521"/>
      <c r="G6" s="521"/>
      <c r="H6" s="521"/>
      <c r="I6" s="521"/>
      <c r="J6" s="521"/>
      <c r="K6" s="521"/>
      <c r="L6" s="530"/>
      <c r="M6" s="530"/>
      <c r="N6" s="521"/>
      <c r="O6" s="521"/>
      <c r="P6" s="541"/>
      <c r="Q6" s="1416" t="s">
        <v>305</v>
      </c>
      <c r="R6" s="1417"/>
      <c r="S6" s="238"/>
      <c r="T6" s="919" t="s">
        <v>99</v>
      </c>
      <c r="U6" s="321">
        <v>4</v>
      </c>
      <c r="V6" s="1069">
        <f>+(2.56*0.7662)+(2.48*0.2338)</f>
        <v>2.541296</v>
      </c>
      <c r="W6" s="1066">
        <v>2.52</v>
      </c>
      <c r="X6" s="1066">
        <v>2.52</v>
      </c>
      <c r="Y6" s="435">
        <v>2.5329999999999999</v>
      </c>
      <c r="Z6" s="435">
        <v>2.4820000000000002</v>
      </c>
      <c r="AA6" s="159">
        <v>2.41</v>
      </c>
      <c r="AB6" s="914">
        <f>+(2.59)</f>
        <v>2.59</v>
      </c>
      <c r="AC6" s="524"/>
      <c r="AD6" s="34"/>
      <c r="AE6" s="182">
        <v>57.4</v>
      </c>
      <c r="AF6" s="183">
        <f t="shared" si="0"/>
        <v>1.18</v>
      </c>
      <c r="AH6" s="102"/>
      <c r="AI6" s="34"/>
      <c r="AJ6" s="111">
        <f>U12/$AK$4</f>
        <v>0</v>
      </c>
      <c r="AK6" s="111">
        <f>V12/$AK$4</f>
        <v>0</v>
      </c>
      <c r="AL6" s="111">
        <f>W12/$AK$4</f>
        <v>0</v>
      </c>
      <c r="AM6" s="111">
        <f>X12/$AK$4</f>
        <v>0</v>
      </c>
      <c r="AN6" s="103"/>
      <c r="AO6" s="34"/>
      <c r="AP6" s="111">
        <f>U13/$AQ$4</f>
        <v>0</v>
      </c>
      <c r="AQ6" s="111">
        <f>V13/$AQ$4</f>
        <v>0</v>
      </c>
      <c r="AR6" s="111">
        <f>W13/$AQ$4</f>
        <v>0</v>
      </c>
      <c r="AS6" s="111">
        <f>X13/$AQ$4</f>
        <v>0</v>
      </c>
      <c r="AT6" s="103"/>
      <c r="AU6" s="34"/>
      <c r="AV6" s="111">
        <f>U14/$AW$4</f>
        <v>0</v>
      </c>
      <c r="AW6" s="111">
        <f>V14/$AW$4</f>
        <v>0</v>
      </c>
      <c r="AX6" s="111">
        <f>W14/$AW$4</f>
        <v>0</v>
      </c>
      <c r="AY6" s="111">
        <f>X14/$AW$4</f>
        <v>0</v>
      </c>
      <c r="AZ6" s="104"/>
      <c r="BA6" s="34"/>
      <c r="BB6" s="34"/>
      <c r="BC6" s="34"/>
      <c r="BD6" s="34"/>
    </row>
    <row r="7" spans="1:56" ht="15" customHeight="1" x14ac:dyDescent="0.3">
      <c r="A7" s="342"/>
      <c r="B7" s="532"/>
      <c r="C7" s="532"/>
      <c r="D7" s="532"/>
      <c r="F7" s="517"/>
      <c r="G7" s="517"/>
      <c r="H7" s="517"/>
      <c r="I7" s="517"/>
      <c r="J7" s="1682" t="s">
        <v>55</v>
      </c>
      <c r="K7" s="1208"/>
      <c r="L7" s="1418" t="str">
        <f>IF('1. Encabezado'!S7="","",'1. Encabezado'!S7)</f>
        <v/>
      </c>
      <c r="M7" s="1418"/>
      <c r="N7" s="1418"/>
      <c r="O7" s="1418"/>
      <c r="P7" s="559"/>
      <c r="Q7" s="1419" t="s">
        <v>306</v>
      </c>
      <c r="R7" s="1420"/>
      <c r="S7" s="238"/>
      <c r="T7" s="919"/>
      <c r="U7" s="321">
        <v>5</v>
      </c>
      <c r="V7" s="1070"/>
      <c r="W7" s="1067"/>
      <c r="X7" s="1067"/>
      <c r="Y7" s="435"/>
      <c r="Z7" s="435"/>
      <c r="AA7" s="159"/>
      <c r="AB7" s="915"/>
      <c r="AC7" s="524"/>
      <c r="AD7" s="34"/>
      <c r="AE7" s="182">
        <v>57.5</v>
      </c>
      <c r="AF7" s="183">
        <f t="shared" si="0"/>
        <v>1.1766666666666667</v>
      </c>
      <c r="AH7" s="112"/>
      <c r="AI7" s="113">
        <v>1</v>
      </c>
      <c r="AJ7" s="106" t="e">
        <f>ABS(MID(AJ6,SEARCH(",",AJ6,1),2))</f>
        <v>#VALUE!</v>
      </c>
      <c r="AK7" s="106" t="e">
        <f>ABS(MID(AK6,SEARCH(",",AK6,1),2))</f>
        <v>#VALUE!</v>
      </c>
      <c r="AL7" s="106" t="e">
        <f>ABS(MID(AL6,SEARCH(",",AL6,1),2))</f>
        <v>#VALUE!</v>
      </c>
      <c r="AM7" s="106" t="e">
        <f>ABS(MID(AM6,SEARCH(",",AM6,1),2))</f>
        <v>#VALUE!</v>
      </c>
      <c r="AN7" s="103"/>
      <c r="AO7" s="113">
        <v>1</v>
      </c>
      <c r="AP7" s="106" t="e">
        <f>ABS(MID(AP6,SEARCH(",",AP6,1),2))</f>
        <v>#VALUE!</v>
      </c>
      <c r="AQ7" s="106" t="e">
        <f>ABS(MID(AQ6,SEARCH(",",AQ6,1),2))</f>
        <v>#VALUE!</v>
      </c>
      <c r="AR7" s="106" t="e">
        <f>ABS(MID(AR6,SEARCH(",",AR6,1),2))</f>
        <v>#VALUE!</v>
      </c>
      <c r="AS7" s="106" t="e">
        <f>ABS(MID(AS6,SEARCH(",",AS6,1),2))</f>
        <v>#VALUE!</v>
      </c>
      <c r="AT7" s="103"/>
      <c r="AU7" s="113">
        <v>1</v>
      </c>
      <c r="AV7" s="106" t="e">
        <f>ABS(MID(AV6,SEARCH(",",AV6,1),2))</f>
        <v>#VALUE!</v>
      </c>
      <c r="AW7" s="106" t="e">
        <f>ABS(MID(AW6,SEARCH(",",AW6,1),2))</f>
        <v>#VALUE!</v>
      </c>
      <c r="AX7" s="106" t="e">
        <f>ABS(MID(AX6,SEARCH(",",AX6,1),2))</f>
        <v>#VALUE!</v>
      </c>
      <c r="AY7" s="106" t="e">
        <f>ABS(MID(AY6,SEARCH(",",AY6,1),2))</f>
        <v>#VALUE!</v>
      </c>
      <c r="AZ7" s="104"/>
      <c r="BA7" s="34"/>
      <c r="BB7" s="34"/>
      <c r="BC7" s="34"/>
      <c r="BD7" s="34"/>
    </row>
    <row r="8" spans="1:56" ht="15" customHeight="1" x14ac:dyDescent="0.3">
      <c r="A8" s="342"/>
      <c r="B8" s="532"/>
      <c r="C8" s="532"/>
      <c r="D8" s="532"/>
      <c r="E8" s="532"/>
      <c r="G8" s="517"/>
      <c r="H8" s="517"/>
      <c r="I8" s="517"/>
      <c r="J8" s="560"/>
      <c r="K8" s="1421" t="str">
        <f>IF(L7="",Q11,CONCATENATE(Q7," ",Q8," ",Q9," ", Q10))</f>
        <v>Pagina xx de xx</v>
      </c>
      <c r="L8" s="1421"/>
      <c r="M8" s="1421"/>
      <c r="N8" s="1421"/>
      <c r="O8" s="1421"/>
      <c r="P8" s="561"/>
      <c r="Q8" s="1422" t="str">
        <f>IF(L7="","",6)</f>
        <v/>
      </c>
      <c r="R8" s="1423"/>
      <c r="S8" s="241"/>
      <c r="T8" s="919" t="s">
        <v>100</v>
      </c>
      <c r="U8" s="321">
        <v>6</v>
      </c>
      <c r="V8" s="1070">
        <v>2.67</v>
      </c>
      <c r="W8" s="1067">
        <v>2.54</v>
      </c>
      <c r="X8" s="1067">
        <v>2.54</v>
      </c>
      <c r="Y8" s="435">
        <v>2.677</v>
      </c>
      <c r="Z8" s="435">
        <v>2.72</v>
      </c>
      <c r="AA8" s="159">
        <v>2.67</v>
      </c>
      <c r="AB8" s="916">
        <v>2.3940000000000001</v>
      </c>
      <c r="AC8" s="524"/>
      <c r="AD8" s="34"/>
      <c r="AE8" s="182">
        <v>57.6</v>
      </c>
      <c r="AF8" s="183">
        <f t="shared" si="0"/>
        <v>1.1733333333333333</v>
      </c>
      <c r="AH8" s="112"/>
      <c r="AI8" s="113">
        <v>2</v>
      </c>
      <c r="AJ8" s="106" t="e">
        <f>ABS(MID(AJ6,SEARCH(",",AJ6,1),3))</f>
        <v>#VALUE!</v>
      </c>
      <c r="AK8" s="106" t="e">
        <f>ABS(MID(AK6,SEARCH(",",AK6,1),3))</f>
        <v>#VALUE!</v>
      </c>
      <c r="AL8" s="106" t="e">
        <f>ABS(MID(AL6,SEARCH(",",AL6,1),3))</f>
        <v>#VALUE!</v>
      </c>
      <c r="AM8" s="106" t="e">
        <f>ABS(MID(AM6,SEARCH(",",AM6,1),3))</f>
        <v>#VALUE!</v>
      </c>
      <c r="AN8" s="103"/>
      <c r="AO8" s="113">
        <v>2</v>
      </c>
      <c r="AP8" s="106" t="e">
        <f>ABS(MID(AP6,SEARCH(",",AP6,1),3))</f>
        <v>#VALUE!</v>
      </c>
      <c r="AQ8" s="106" t="e">
        <f>ABS(MID(AQ6,SEARCH(",",AQ6,1),3))</f>
        <v>#VALUE!</v>
      </c>
      <c r="AR8" s="106" t="e">
        <f>ABS(MID(AR6,SEARCH(",",AR6,1),3))</f>
        <v>#VALUE!</v>
      </c>
      <c r="AS8" s="106" t="e">
        <f>ABS(MID(AS6,SEARCH(",",AS6,1),3))</f>
        <v>#VALUE!</v>
      </c>
      <c r="AT8" s="103"/>
      <c r="AU8" s="113">
        <v>2</v>
      </c>
      <c r="AV8" s="106" t="e">
        <f>ABS(MID(AV6,SEARCH(",",AV6,1),3))</f>
        <v>#VALUE!</v>
      </c>
      <c r="AW8" s="106" t="e">
        <f>ABS(MID(AW6,SEARCH(",",AW6,1),3))</f>
        <v>#VALUE!</v>
      </c>
      <c r="AX8" s="106" t="e">
        <f>ABS(MID(AX6,SEARCH(",",AX6,1),3))</f>
        <v>#VALUE!</v>
      </c>
      <c r="AY8" s="106" t="e">
        <f>ABS(MID(AY6,SEARCH(",",AY6,1),3))</f>
        <v>#VALUE!</v>
      </c>
      <c r="AZ8" s="104"/>
      <c r="BA8" s="34"/>
      <c r="BB8" s="34"/>
      <c r="BC8" s="34"/>
      <c r="BD8" s="34"/>
    </row>
    <row r="9" spans="1:56" ht="15" customHeight="1" x14ac:dyDescent="0.3">
      <c r="A9" s="562"/>
      <c r="B9" s="869"/>
      <c r="C9" s="869"/>
      <c r="D9" s="869"/>
      <c r="E9" s="869"/>
      <c r="F9" s="563"/>
      <c r="G9" s="563"/>
      <c r="H9" s="563"/>
      <c r="I9" s="563"/>
      <c r="J9" s="563"/>
      <c r="K9" s="563"/>
      <c r="L9" s="869"/>
      <c r="M9" s="869"/>
      <c r="N9" s="564"/>
      <c r="O9" s="564"/>
      <c r="P9" s="565"/>
      <c r="Q9" s="1689" t="s">
        <v>307</v>
      </c>
      <c r="R9" s="1690"/>
      <c r="S9" s="241"/>
      <c r="T9" s="919" t="s">
        <v>70</v>
      </c>
      <c r="U9" s="321">
        <v>7</v>
      </c>
      <c r="V9" s="1070">
        <v>1.0209999999999999</v>
      </c>
      <c r="W9" s="1067">
        <v>1.0209999999999999</v>
      </c>
      <c r="X9" s="1067">
        <v>1.0209999999999999</v>
      </c>
      <c r="Y9" s="435">
        <v>1.0249999999999999</v>
      </c>
      <c r="Z9" s="435">
        <v>1.0209999999999999</v>
      </c>
      <c r="AA9" s="159">
        <v>1.0229999999999999</v>
      </c>
      <c r="AB9" s="916">
        <v>1.0229999999999999</v>
      </c>
      <c r="AC9" s="524"/>
      <c r="AD9" s="34"/>
      <c r="AE9" s="182">
        <v>57.7</v>
      </c>
      <c r="AF9" s="183">
        <f t="shared" si="0"/>
        <v>1.1700000000000002</v>
      </c>
      <c r="AH9" s="114"/>
      <c r="AI9" s="108">
        <v>3</v>
      </c>
      <c r="AJ9" s="115">
        <f>TRUNC(AJ6,0)</f>
        <v>0</v>
      </c>
      <c r="AK9" s="115">
        <f>TRUNC(AK6,0)</f>
        <v>0</v>
      </c>
      <c r="AL9" s="115">
        <f>TRUNC(AL6,0)</f>
        <v>0</v>
      </c>
      <c r="AM9" s="115">
        <f>TRUNC(AM6,0)</f>
        <v>0</v>
      </c>
      <c r="AN9" s="103"/>
      <c r="AO9" s="108">
        <v>3</v>
      </c>
      <c r="AP9" s="115">
        <f>TRUNC(AP6,0)</f>
        <v>0</v>
      </c>
      <c r="AQ9" s="115">
        <f>TRUNC(AQ6,0)</f>
        <v>0</v>
      </c>
      <c r="AR9" s="115">
        <f>TRUNC(AR6,0)</f>
        <v>0</v>
      </c>
      <c r="AS9" s="115">
        <f>TRUNC(AS6,0)</f>
        <v>0</v>
      </c>
      <c r="AT9" s="103"/>
      <c r="AU9" s="108">
        <v>3</v>
      </c>
      <c r="AV9" s="115">
        <f>TRUNC(AV6,0)</f>
        <v>0</v>
      </c>
      <c r="AW9" s="115">
        <f>TRUNC(AW6,0)</f>
        <v>0</v>
      </c>
      <c r="AX9" s="115">
        <f>TRUNC(AX6,0)</f>
        <v>0</v>
      </c>
      <c r="AY9" s="115">
        <f>TRUNC(AY6,0)</f>
        <v>0</v>
      </c>
      <c r="AZ9" s="104"/>
      <c r="BA9" s="34"/>
      <c r="BB9" s="34"/>
      <c r="BC9" s="34"/>
      <c r="BD9" s="34"/>
    </row>
    <row r="10" spans="1:56" ht="30" customHeight="1" x14ac:dyDescent="0.3">
      <c r="A10" s="1691" t="s">
        <v>460</v>
      </c>
      <c r="B10" s="1692"/>
      <c r="C10" s="1692"/>
      <c r="D10" s="1692"/>
      <c r="E10" s="1692"/>
      <c r="F10" s="1692"/>
      <c r="G10" s="1692"/>
      <c r="H10" s="1692"/>
      <c r="I10" s="1692"/>
      <c r="J10" s="1692"/>
      <c r="K10" s="1692"/>
      <c r="L10" s="1692"/>
      <c r="M10" s="1692"/>
      <c r="N10" s="1692"/>
      <c r="O10" s="1692"/>
      <c r="P10" s="1693"/>
      <c r="Q10" s="1689" t="str">
        <f>IF(L7="","",'1. Encabezado'!AB10)</f>
        <v/>
      </c>
      <c r="R10" s="1690"/>
      <c r="S10" s="241"/>
      <c r="T10" s="920" t="s">
        <v>230</v>
      </c>
      <c r="U10" s="923">
        <v>8</v>
      </c>
      <c r="V10" s="1071">
        <v>2.5539999999999998</v>
      </c>
      <c r="W10" s="1068">
        <v>2.569</v>
      </c>
      <c r="X10" s="1068">
        <v>2.569</v>
      </c>
      <c r="Y10" s="926">
        <v>2.5379999999999998</v>
      </c>
      <c r="Z10" s="926">
        <v>2.5449999999999999</v>
      </c>
      <c r="AA10" s="921">
        <v>2.488</v>
      </c>
      <c r="AB10" s="922">
        <v>2.3039999999999998</v>
      </c>
      <c r="AC10" s="427"/>
      <c r="AD10" s="34"/>
      <c r="AE10" s="182">
        <v>57.8</v>
      </c>
      <c r="AF10" s="183">
        <f t="shared" si="0"/>
        <v>1.1666666666666667</v>
      </c>
      <c r="AH10" s="114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04"/>
      <c r="BA10" s="34"/>
      <c r="BB10" s="34"/>
      <c r="BC10" s="34"/>
      <c r="BD10" s="34"/>
    </row>
    <row r="11" spans="1:56" ht="20.149999999999999" customHeight="1" x14ac:dyDescent="0.3">
      <c r="A11" s="567"/>
      <c r="B11" s="1694" t="s">
        <v>474</v>
      </c>
      <c r="C11" s="1694"/>
      <c r="D11" s="1694"/>
      <c r="E11" s="1694"/>
      <c r="F11" s="1694"/>
      <c r="G11" s="1694"/>
      <c r="H11" s="1694"/>
      <c r="I11" s="1695" t="s">
        <v>6</v>
      </c>
      <c r="J11" s="1695"/>
      <c r="K11" s="868">
        <v>1</v>
      </c>
      <c r="L11" s="868">
        <v>2</v>
      </c>
      <c r="M11" s="868">
        <v>3</v>
      </c>
      <c r="N11" s="868">
        <v>4</v>
      </c>
      <c r="O11" s="568"/>
      <c r="P11" s="569"/>
      <c r="Q11" s="1698" t="s">
        <v>308</v>
      </c>
      <c r="R11" s="1699"/>
      <c r="S11" s="242"/>
      <c r="T11" s="905" t="s">
        <v>257</v>
      </c>
      <c r="U11" s="912">
        <v>1</v>
      </c>
      <c r="V11" s="912">
        <v>2</v>
      </c>
      <c r="W11" s="912">
        <v>3</v>
      </c>
      <c r="X11" s="913">
        <v>4</v>
      </c>
      <c r="Y11" s="570"/>
      <c r="Z11" s="571"/>
      <c r="AA11" s="571"/>
      <c r="AB11" s="571"/>
      <c r="AC11" s="571"/>
      <c r="AD11" s="34"/>
      <c r="AE11" s="182">
        <v>57.9</v>
      </c>
      <c r="AF11" s="183">
        <f t="shared" si="0"/>
        <v>1.1633333333333333</v>
      </c>
      <c r="AH11" s="114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04"/>
      <c r="BA11" s="34"/>
      <c r="BB11" s="34"/>
      <c r="BC11" s="34"/>
      <c r="BD11" s="34"/>
    </row>
    <row r="12" spans="1:56" ht="20.149999999999999" customHeight="1" x14ac:dyDescent="0.3">
      <c r="A12" s="572"/>
      <c r="B12" s="1696" t="s">
        <v>206</v>
      </c>
      <c r="C12" s="1696"/>
      <c r="D12" s="1696"/>
      <c r="E12" s="1696"/>
      <c r="F12" s="1696"/>
      <c r="G12" s="1696"/>
      <c r="H12" s="1696"/>
      <c r="I12" s="1697" t="s">
        <v>60</v>
      </c>
      <c r="J12" s="1697"/>
      <c r="K12" s="573" t="str">
        <f>+IF($U$12="","--",AJ17)</f>
        <v>--</v>
      </c>
      <c r="L12" s="573" t="str">
        <f>+IF($V$12="","--",AK17)</f>
        <v>--</v>
      </c>
      <c r="M12" s="573" t="str">
        <f>+IF($W$12="","--",AL17)</f>
        <v>--</v>
      </c>
      <c r="N12" s="573" t="str">
        <f>+IF($X$12="","--",AM17)</f>
        <v>--</v>
      </c>
      <c r="O12" s="574"/>
      <c r="P12" s="575"/>
      <c r="Q12" s="517" t="str">
        <f>IF('1. Encabezado'!I11="","",'1. Encabezado'!I11)</f>
        <v/>
      </c>
      <c r="R12" s="574">
        <f>+IF('2. Consolidado'!Q12="","",'2. Consolidado'!Q12)</f>
        <v>0</v>
      </c>
      <c r="S12" s="242"/>
      <c r="T12" s="906" t="s">
        <v>206</v>
      </c>
      <c r="U12" s="283"/>
      <c r="V12" s="283"/>
      <c r="W12" s="283"/>
      <c r="X12" s="907"/>
      <c r="Y12" s="281"/>
      <c r="Z12" s="281"/>
      <c r="AA12" s="281"/>
      <c r="AB12" s="281"/>
      <c r="AC12" s="281"/>
      <c r="AD12" s="34"/>
      <c r="AE12" s="182">
        <v>58</v>
      </c>
      <c r="AF12" s="183">
        <f t="shared" si="0"/>
        <v>1.1599999999999999</v>
      </c>
      <c r="AH12" s="116"/>
      <c r="AI12" s="108">
        <v>4</v>
      </c>
      <c r="AJ12" s="111" t="e">
        <f>ABS(AJ8-AJ7)</f>
        <v>#VALUE!</v>
      </c>
      <c r="AK12" s="111" t="e">
        <f>ABS(AK8-AK7)</f>
        <v>#VALUE!</v>
      </c>
      <c r="AL12" s="111" t="e">
        <f>ABS(AL8-AL7)</f>
        <v>#VALUE!</v>
      </c>
      <c r="AM12" s="111" t="e">
        <f>ABS(AM8-AM7)</f>
        <v>#VALUE!</v>
      </c>
      <c r="AN12" s="117"/>
      <c r="AO12" s="108">
        <v>4</v>
      </c>
      <c r="AP12" s="111" t="e">
        <f>ABS(AP8-AP7)</f>
        <v>#VALUE!</v>
      </c>
      <c r="AQ12" s="111" t="e">
        <f>ABS(AQ8-AQ7)</f>
        <v>#VALUE!</v>
      </c>
      <c r="AR12" s="111" t="e">
        <f>ABS(AR8-AR7)</f>
        <v>#VALUE!</v>
      </c>
      <c r="AS12" s="111" t="e">
        <f>ABS(AS8-AS7)</f>
        <v>#VALUE!</v>
      </c>
      <c r="AT12" s="117"/>
      <c r="AU12" s="108">
        <v>4</v>
      </c>
      <c r="AV12" s="111" t="e">
        <f>ABS(AV8-AV7)</f>
        <v>#VALUE!</v>
      </c>
      <c r="AW12" s="111" t="e">
        <f>ABS(AW8-AW7)</f>
        <v>#VALUE!</v>
      </c>
      <c r="AX12" s="111" t="e">
        <f>ABS(AX8-AX7)</f>
        <v>#VALUE!</v>
      </c>
      <c r="AY12" s="111" t="e">
        <f>ABS(AY8-AY7)</f>
        <v>#VALUE!</v>
      </c>
      <c r="AZ12" s="118"/>
      <c r="BA12" s="34"/>
      <c r="BB12" s="34"/>
      <c r="BC12" s="34"/>
      <c r="BD12" s="34"/>
    </row>
    <row r="13" spans="1:56" ht="20.149999999999999" customHeight="1" x14ac:dyDescent="0.3">
      <c r="A13" s="572"/>
      <c r="B13" s="1683" t="s">
        <v>207</v>
      </c>
      <c r="C13" s="1683"/>
      <c r="D13" s="1683"/>
      <c r="E13" s="1683"/>
      <c r="F13" s="1683"/>
      <c r="G13" s="1683"/>
      <c r="H13" s="1683"/>
      <c r="I13" s="1546" t="s">
        <v>60</v>
      </c>
      <c r="J13" s="1546"/>
      <c r="K13" s="573" t="str">
        <f>IF($U$13="","",AP17)</f>
        <v/>
      </c>
      <c r="L13" s="573" t="str">
        <f>IF($V$13="","",AQ17)</f>
        <v/>
      </c>
      <c r="M13" s="573" t="str">
        <f>IF($W$13="","",AR17)</f>
        <v/>
      </c>
      <c r="N13" s="573" t="str">
        <f>IF($X$13="","",AS17)</f>
        <v/>
      </c>
      <c r="O13" s="574"/>
      <c r="P13" s="575"/>
      <c r="Q13" s="574"/>
      <c r="R13" s="574"/>
      <c r="S13" s="1686"/>
      <c r="T13" s="908" t="s">
        <v>207</v>
      </c>
      <c r="U13" s="283"/>
      <c r="V13" s="283"/>
      <c r="W13" s="283"/>
      <c r="X13" s="907"/>
      <c r="Y13" s="282"/>
      <c r="Z13" s="282"/>
      <c r="AA13" s="282"/>
      <c r="AB13" s="282"/>
      <c r="AC13" s="282"/>
      <c r="AD13" s="576"/>
      <c r="AE13" s="182">
        <v>58.1</v>
      </c>
      <c r="AF13" s="183">
        <f t="shared" si="0"/>
        <v>1.1566666666666665</v>
      </c>
      <c r="AH13" s="116"/>
      <c r="AI13" s="108"/>
      <c r="AJ13" s="111"/>
      <c r="AK13" s="111"/>
      <c r="AL13" s="111"/>
      <c r="AM13" s="111"/>
      <c r="AN13" s="117"/>
      <c r="AO13" s="108"/>
      <c r="AP13" s="111"/>
      <c r="AQ13" s="111"/>
      <c r="AR13" s="111"/>
      <c r="AS13" s="111"/>
      <c r="AT13" s="117"/>
      <c r="AU13" s="108"/>
      <c r="AV13" s="111"/>
      <c r="AW13" s="111"/>
      <c r="AX13" s="111"/>
      <c r="AY13" s="111"/>
      <c r="AZ13" s="118"/>
      <c r="BA13" s="34"/>
      <c r="BB13" s="34"/>
      <c r="BC13" s="34"/>
      <c r="BD13" s="34"/>
    </row>
    <row r="14" spans="1:56" ht="20.149999999999999" customHeight="1" x14ac:dyDescent="0.3">
      <c r="A14" s="572"/>
      <c r="B14" s="1683" t="s">
        <v>71</v>
      </c>
      <c r="C14" s="1683"/>
      <c r="D14" s="1683"/>
      <c r="E14" s="1683"/>
      <c r="F14" s="1683"/>
      <c r="G14" s="1683"/>
      <c r="H14" s="1683"/>
      <c r="I14" s="1546" t="s">
        <v>60</v>
      </c>
      <c r="J14" s="1546"/>
      <c r="K14" s="573" t="str">
        <f>IF($U$14="","",AV17)</f>
        <v/>
      </c>
      <c r="L14" s="573" t="str">
        <f>IF($V$14="","",AW17)</f>
        <v/>
      </c>
      <c r="M14" s="573" t="str">
        <f>IF($W$14="","",AX17)</f>
        <v/>
      </c>
      <c r="N14" s="573" t="str">
        <f>IF($X$14="","",AY17)</f>
        <v/>
      </c>
      <c r="O14" s="1687" t="s">
        <v>5</v>
      </c>
      <c r="P14" s="1688"/>
      <c r="Q14" s="577"/>
      <c r="R14" s="577"/>
      <c r="S14" s="1686"/>
      <c r="T14" s="909" t="s">
        <v>256</v>
      </c>
      <c r="U14" s="910"/>
      <c r="V14" s="910"/>
      <c r="W14" s="910"/>
      <c r="X14" s="911"/>
      <c r="Y14" s="190"/>
      <c r="Z14" s="190"/>
      <c r="AA14" s="190"/>
      <c r="AB14" s="281"/>
      <c r="AC14" s="281"/>
      <c r="AD14" s="175"/>
      <c r="AE14" s="182">
        <v>58.2</v>
      </c>
      <c r="AF14" s="183">
        <f t="shared" si="0"/>
        <v>1.1533333333333335</v>
      </c>
      <c r="AH14" s="102"/>
      <c r="AI14" s="108">
        <v>5</v>
      </c>
      <c r="AJ14" s="111" t="e">
        <f>IF(AJ12&gt;0,AJ9+1,IF(AND(AJ12=0,ISODD(AJ7*10)),AJ9+1,AJ9))</f>
        <v>#VALUE!</v>
      </c>
      <c r="AK14" s="111" t="e">
        <f>IF(AK12&gt;0,AK9+1,IF(AND(AK12=0,ISODD(AK7*10)),AK9+1,AK9))</f>
        <v>#VALUE!</v>
      </c>
      <c r="AL14" s="111" t="e">
        <f>IF(AL12&gt;0,AL9+1,IF(AND(AL12=0,ISODD(AL7*10)),AL9+1,AL9))</f>
        <v>#VALUE!</v>
      </c>
      <c r="AM14" s="111" t="e">
        <f>IF(AM12&gt;0,AM9+1,IF(AND(AM12=0,ISODD(AM7*10)),AM9+1,AM9))</f>
        <v>#VALUE!</v>
      </c>
      <c r="AN14" s="34"/>
      <c r="AO14" s="108">
        <v>5</v>
      </c>
      <c r="AP14" s="111" t="e">
        <f>IF(AP12&gt;0,AP9+1,IF(AND(AP12=0,ISODD(AP7*10)),AP9+1,AP9))</f>
        <v>#VALUE!</v>
      </c>
      <c r="AQ14" s="111" t="e">
        <f>IF(AQ12&gt;0,AQ9+1,IF(AND(AQ12=0,ISODD(AQ7*10)),AQ9+1,AQ9))</f>
        <v>#VALUE!</v>
      </c>
      <c r="AR14" s="111" t="e">
        <f>IF(AR12&gt;0,AR9+1,IF(AND(AR12=0,ISODD(AR7*10)),AR9+1,AR9))</f>
        <v>#VALUE!</v>
      </c>
      <c r="AS14" s="111" t="e">
        <f>IF(AS12&gt;0,AS9+1,IF(AND(AS12=0,ISODD(AS7*10)),AS9+1,AS9))</f>
        <v>#VALUE!</v>
      </c>
      <c r="AT14" s="34"/>
      <c r="AU14" s="108">
        <v>5</v>
      </c>
      <c r="AV14" s="111" t="e">
        <f>IF(AV12&gt;0,AV9+1,IF(AND(AV12=0,ISODD(AV7*10)),AV9+1,AV9))</f>
        <v>#VALUE!</v>
      </c>
      <c r="AW14" s="111" t="e">
        <f>IF(AW12&gt;0,AW9+1,IF(AND(AW12=0,ISODD(AW7*10)),AW9+1,AW9))</f>
        <v>#VALUE!</v>
      </c>
      <c r="AX14" s="111" t="e">
        <f>IF(AX12&gt;0,AX9+1,IF(AND(AX12=0,ISODD(AX7*10)),AX9+1,AX9))</f>
        <v>#VALUE!</v>
      </c>
      <c r="AY14" s="111" t="e">
        <f>IF(AY12&gt;0,AY9+1,IF(AND(AY12=0,ISODD(AY7*10)),AY9+1,AY9))</f>
        <v>#VALUE!</v>
      </c>
      <c r="AZ14" s="119"/>
    </row>
    <row r="15" spans="1:56" ht="20.149999999999999" customHeight="1" x14ac:dyDescent="0.3">
      <c r="A15" s="572"/>
      <c r="B15" s="1703" t="s">
        <v>115</v>
      </c>
      <c r="C15" s="1703"/>
      <c r="D15" s="1703"/>
      <c r="E15" s="1703"/>
      <c r="F15" s="1703"/>
      <c r="G15" s="1703"/>
      <c r="H15" s="1703"/>
      <c r="I15" s="1561"/>
      <c r="J15" s="1561"/>
      <c r="K15" s="578" t="str">
        <f>IF(U16="","",'5. Bulk y Rice'!J19)</f>
        <v/>
      </c>
      <c r="L15" s="578" t="str">
        <f>IF(V16="","",'5. Bulk y Rice'!K19)</f>
        <v/>
      </c>
      <c r="M15" s="578" t="str">
        <f>IF(W16="","",'5. Bulk y Rice'!L19)</f>
        <v/>
      </c>
      <c r="N15" s="578" t="str">
        <f>IF(X16="","",'5. Bulk y Rice'!M19)</f>
        <v/>
      </c>
      <c r="O15" s="1704" t="str">
        <f>IF(K15="","",+AVERAGE(K15:N15))</f>
        <v/>
      </c>
      <c r="P15" s="1705"/>
      <c r="Q15" s="578"/>
      <c r="R15" s="578"/>
      <c r="S15" s="579"/>
      <c r="T15" s="902"/>
      <c r="U15" s="903">
        <v>1</v>
      </c>
      <c r="V15" s="903">
        <v>2</v>
      </c>
      <c r="W15" s="903">
        <v>3</v>
      </c>
      <c r="X15" s="904">
        <v>4</v>
      </c>
      <c r="Y15" s="190"/>
      <c r="Z15" s="190"/>
      <c r="AA15" s="190"/>
      <c r="AB15" s="580"/>
      <c r="AC15" s="580"/>
      <c r="AD15" s="34"/>
      <c r="AE15" s="182">
        <v>58.3</v>
      </c>
      <c r="AF15" s="183">
        <f t="shared" si="0"/>
        <v>1.1500000000000001</v>
      </c>
      <c r="AH15" s="102"/>
      <c r="AI15" s="108">
        <v>6</v>
      </c>
      <c r="AJ15" s="111" t="e">
        <f>IF(AJ7&lt;0.5,AJ9,IF(AJ7&gt;0.5,AJ9+1,AJ14))</f>
        <v>#VALUE!</v>
      </c>
      <c r="AK15" s="111" t="e">
        <f>IF(AK7&lt;0.5,AK9,IF(AK7&gt;0.5,AK9+1,AK14))</f>
        <v>#VALUE!</v>
      </c>
      <c r="AL15" s="111" t="e">
        <f>IF(AL7&lt;0.5,AL9,IF(AL7&gt;0.5,AL9+1,AL14))</f>
        <v>#VALUE!</v>
      </c>
      <c r="AM15" s="111" t="e">
        <f>IF(AM7&lt;0.5,AM9,IF(AM7&gt;0.5,AM9+1,AM14))</f>
        <v>#VALUE!</v>
      </c>
      <c r="AN15" s="34"/>
      <c r="AO15" s="108">
        <v>6</v>
      </c>
      <c r="AP15" s="111" t="e">
        <f>IF(AP7&lt;0.5,AP9,IF(AP7&gt;0.5,AP9+1,AP14))</f>
        <v>#VALUE!</v>
      </c>
      <c r="AQ15" s="111" t="e">
        <f>IF(AQ7&lt;0.5,AQ9,IF(AQ7&gt;0.5,AQ9+1,AQ14))</f>
        <v>#VALUE!</v>
      </c>
      <c r="AR15" s="111" t="e">
        <f>IF(AR7&lt;0.5,AR9,IF(AR7&gt;0.5,AR9+1,AR14))</f>
        <v>#VALUE!</v>
      </c>
      <c r="AS15" s="111" t="e">
        <f>IF(AS7&lt;0.5,AS9,IF(AS7&gt;0.5,AS9+1,AS14))</f>
        <v>#VALUE!</v>
      </c>
      <c r="AT15" s="34"/>
      <c r="AU15" s="108">
        <v>6</v>
      </c>
      <c r="AV15" s="111" t="e">
        <f>IF(AV7&lt;0.5,AV9,IF(AV7&gt;0.5,AV9+1,AV14))</f>
        <v>#VALUE!</v>
      </c>
      <c r="AW15" s="111" t="e">
        <f>IF(AW7&lt;0.5,AW9,IF(AW7&gt;0.5,AW9+1,AW14))</f>
        <v>#VALUE!</v>
      </c>
      <c r="AX15" s="111" t="e">
        <f>IF(AX7&lt;0.5,AX9,IF(AX7&gt;0.5,AX9+1,AX14))</f>
        <v>#VALUE!</v>
      </c>
      <c r="AY15" s="111" t="e">
        <f>IF(AY7&lt;0.5,AY9,IF(AY7&gt;0.5,AY9+1,AY14))</f>
        <v>#VALUE!</v>
      </c>
      <c r="AZ15" s="119"/>
    </row>
    <row r="16" spans="1:56" ht="20.149999999999999" customHeight="1" x14ac:dyDescent="0.3">
      <c r="A16" s="572"/>
      <c r="B16" s="1706" t="s">
        <v>208</v>
      </c>
      <c r="C16" s="1706"/>
      <c r="D16" s="1706"/>
      <c r="E16" s="1706"/>
      <c r="F16" s="1706"/>
      <c r="G16" s="1706"/>
      <c r="H16" s="1706"/>
      <c r="I16" s="1697" t="s">
        <v>10</v>
      </c>
      <c r="J16" s="1697"/>
      <c r="K16" s="573" t="str">
        <f>IF($U$16="","",AJ30)</f>
        <v/>
      </c>
      <c r="L16" s="573" t="str">
        <f>IF($V$16="","",AK30)</f>
        <v/>
      </c>
      <c r="M16" s="573" t="str">
        <f>IF($W$16="","",AL30)</f>
        <v/>
      </c>
      <c r="N16" s="573" t="str">
        <f>IF($X$16="","",AM30)</f>
        <v/>
      </c>
      <c r="O16" s="574"/>
      <c r="P16" s="575"/>
      <c r="Q16" s="574"/>
      <c r="R16" s="574"/>
      <c r="S16" s="579"/>
      <c r="T16" s="927" t="s">
        <v>475</v>
      </c>
      <c r="U16" s="901" t="str">
        <f>+IF('5. Bulk y Rice'!J12="","",'5. Bulk y Rice'!J12)</f>
        <v/>
      </c>
      <c r="V16" s="901" t="str">
        <f>+IF('5. Bulk y Rice'!K12="","",'5. Bulk y Rice'!K12)</f>
        <v/>
      </c>
      <c r="W16" s="901" t="str">
        <f>+IF('5. Bulk y Rice'!L12="","",'5. Bulk y Rice'!L12)</f>
        <v/>
      </c>
      <c r="X16" s="928" t="str">
        <f>+IF('5. Bulk y Rice'!M12="","",'5. Bulk y Rice'!M12)</f>
        <v/>
      </c>
      <c r="Y16" s="1707" t="str">
        <f>+O14</f>
        <v>PROMEDIO</v>
      </c>
      <c r="Z16" s="1708"/>
      <c r="AA16" s="1059"/>
      <c r="AB16" s="580"/>
      <c r="AC16" s="580"/>
      <c r="AD16" s="34"/>
      <c r="AE16" s="182">
        <v>58.4</v>
      </c>
      <c r="AF16" s="183">
        <f t="shared" si="0"/>
        <v>1.1466666666666667</v>
      </c>
      <c r="AH16" s="102"/>
      <c r="AI16" s="108">
        <v>7</v>
      </c>
      <c r="AJ16" s="111">
        <f>IF(ISERROR(AJ7),AJ9,AJ15)</f>
        <v>0</v>
      </c>
      <c r="AK16" s="111">
        <f>IF(ISERROR(AK7),AK9,AK15)</f>
        <v>0</v>
      </c>
      <c r="AL16" s="111">
        <f>IF(ISERROR(AL7),AL9,AL15)</f>
        <v>0</v>
      </c>
      <c r="AM16" s="111">
        <f>IF(ISERROR(AM7),AM9,AM15)</f>
        <v>0</v>
      </c>
      <c r="AN16" s="34"/>
      <c r="AO16" s="108">
        <v>7</v>
      </c>
      <c r="AP16" s="111">
        <f>IF(ISERROR(AP7),AP9,AP15)</f>
        <v>0</v>
      </c>
      <c r="AQ16" s="111">
        <f>IF(ISERROR(AQ7),AQ9,AQ15)</f>
        <v>0</v>
      </c>
      <c r="AR16" s="111">
        <f>IF(ISERROR(AR7),AR9,AR15)</f>
        <v>0</v>
      </c>
      <c r="AS16" s="111">
        <f>IF(ISERROR(AS7),AS9,AS15)</f>
        <v>0</v>
      </c>
      <c r="AT16" s="34"/>
      <c r="AU16" s="108">
        <v>7</v>
      </c>
      <c r="AV16" s="111">
        <f>IF(ISERROR(AV7),AV9,AV15)</f>
        <v>0</v>
      </c>
      <c r="AW16" s="111">
        <f>IF(ISERROR(AW7),AW9,AW15)</f>
        <v>0</v>
      </c>
      <c r="AX16" s="111">
        <f>IF(ISERROR(AX7),AX9,AX15)</f>
        <v>0</v>
      </c>
      <c r="AY16" s="111">
        <f>IF(ISERROR(AY7),AY9,AY15)</f>
        <v>0</v>
      </c>
      <c r="AZ16" s="119"/>
    </row>
    <row r="17" spans="1:61" ht="20.149999999999999" customHeight="1" x14ac:dyDescent="0.3">
      <c r="A17" s="572"/>
      <c r="B17" s="1683" t="s">
        <v>209</v>
      </c>
      <c r="C17" s="1683"/>
      <c r="D17" s="1683"/>
      <c r="E17" s="1683"/>
      <c r="F17" s="1683"/>
      <c r="G17" s="1683"/>
      <c r="H17" s="1683"/>
      <c r="I17" s="1546" t="s">
        <v>210</v>
      </c>
      <c r="J17" s="1546"/>
      <c r="K17" s="581"/>
      <c r="L17" s="581"/>
      <c r="M17" s="581"/>
      <c r="N17" s="581"/>
      <c r="O17" s="574"/>
      <c r="P17" s="575"/>
      <c r="Q17" s="574"/>
      <c r="R17" s="574"/>
      <c r="S17" s="579"/>
      <c r="T17" s="929" t="s">
        <v>213</v>
      </c>
      <c r="U17" s="930" t="str">
        <f>IF(OR(K17="",K18=""),"",+(K17*K18))</f>
        <v/>
      </c>
      <c r="V17" s="930" t="str">
        <f>IF(OR(L17="",L18=""),"",+(L17*L18))</f>
        <v/>
      </c>
      <c r="W17" s="930" t="str">
        <f>IF(OR(M17="",M18=""),"",+(M17*M18))</f>
        <v/>
      </c>
      <c r="X17" s="930" t="str">
        <f>IF(OR(N17="",N18=""),"",+(N17*N18))</f>
        <v/>
      </c>
      <c r="Y17" s="931" t="str">
        <f>+IF(U17="","",AVERAGE(U17:X17))</f>
        <v/>
      </c>
      <c r="Z17" s="932" t="s">
        <v>141</v>
      </c>
      <c r="AA17" s="1060"/>
      <c r="AC17" s="580"/>
      <c r="AD17" s="34"/>
      <c r="AE17" s="182">
        <v>58.5</v>
      </c>
      <c r="AF17" s="183">
        <f t="shared" si="0"/>
        <v>1.1433333333333333</v>
      </c>
      <c r="AH17" s="102"/>
      <c r="AI17" s="108">
        <v>8</v>
      </c>
      <c r="AJ17" s="108">
        <f>AJ16*$AK$4</f>
        <v>0</v>
      </c>
      <c r="AK17" s="108">
        <f>AK16*$AK$4</f>
        <v>0</v>
      </c>
      <c r="AL17" s="108">
        <f>AL16*$AK$4</f>
        <v>0</v>
      </c>
      <c r="AM17" s="108">
        <f>AM16*$AK$4</f>
        <v>0</v>
      </c>
      <c r="AN17" s="34"/>
      <c r="AO17" s="108">
        <v>8</v>
      </c>
      <c r="AP17" s="108">
        <f>AP16*$AQ$4</f>
        <v>0</v>
      </c>
      <c r="AQ17" s="108">
        <f>AQ16*$AQ$4</f>
        <v>0</v>
      </c>
      <c r="AR17" s="108">
        <f>AR16*$AQ$4</f>
        <v>0</v>
      </c>
      <c r="AS17" s="108">
        <f>AS16*$AQ$4</f>
        <v>0</v>
      </c>
      <c r="AT17" s="34"/>
      <c r="AU17" s="108">
        <v>8</v>
      </c>
      <c r="AV17" s="108">
        <f>AV16*$AW$4</f>
        <v>0</v>
      </c>
      <c r="AW17" s="108">
        <f>AW16*$AW$4</f>
        <v>0</v>
      </c>
      <c r="AX17" s="108">
        <f>AX16*$AW$4</f>
        <v>0</v>
      </c>
      <c r="AY17" s="108">
        <f>AY16*$AW$4</f>
        <v>0</v>
      </c>
      <c r="AZ17" s="119"/>
    </row>
    <row r="18" spans="1:61" ht="20.149999999999999" customHeight="1" x14ac:dyDescent="0.3">
      <c r="A18" s="572"/>
      <c r="B18" s="1683" t="s">
        <v>211</v>
      </c>
      <c r="C18" s="1683"/>
      <c r="D18" s="1683"/>
      <c r="E18" s="1683"/>
      <c r="F18" s="1683"/>
      <c r="G18" s="1683"/>
      <c r="H18" s="1683"/>
      <c r="I18" s="1702" t="s">
        <v>212</v>
      </c>
      <c r="J18" s="1702"/>
      <c r="K18" s="582" t="str">
        <f>+IF($K$17="","",VLOOKUP(U16,$AE$2:$AF$114,2))</f>
        <v/>
      </c>
      <c r="L18" s="582" t="str">
        <f>+IF($L$17="","",VLOOKUP(V16,$AE$2:$AF$114,2))</f>
        <v/>
      </c>
      <c r="M18" s="582" t="str">
        <f>+IF($M$17="","",VLOOKUP(W16,$AE$2:$AF$114,2))</f>
        <v/>
      </c>
      <c r="N18" s="582" t="str">
        <f>+IF($N$17="","",VLOOKUP(X16,$AE$2:$AF$114,2))</f>
        <v/>
      </c>
      <c r="O18" s="583"/>
      <c r="P18" s="584"/>
      <c r="Q18" s="583"/>
      <c r="R18" s="583"/>
      <c r="S18" s="585"/>
      <c r="T18" s="933" t="s">
        <v>214</v>
      </c>
      <c r="U18" s="587" t="str">
        <f>IF(U17="","",U17*1000)</f>
        <v/>
      </c>
      <c r="V18" s="587" t="str">
        <f>IF(V17="","",V17*1000)</f>
        <v/>
      </c>
      <c r="W18" s="587" t="str">
        <f>IF(W17="","",W17*1000)</f>
        <v/>
      </c>
      <c r="X18" s="587" t="str">
        <f>IF(X17="","",X17*1000)</f>
        <v/>
      </c>
      <c r="Y18" s="588" t="str">
        <f>IF(U18="","",AVERAGE(U18:X18))</f>
        <v/>
      </c>
      <c r="Z18" s="934" t="s">
        <v>143</v>
      </c>
      <c r="AA18" s="1060"/>
      <c r="AC18" s="234"/>
      <c r="AD18" s="2"/>
      <c r="AE18" s="182">
        <v>58.6</v>
      </c>
      <c r="AF18" s="183">
        <f>+$AF$3+((AE19-$AE$3)*(($AF$19-$AF$3)/($AE$19-$AE$3)))</f>
        <v>1.1399999999999999</v>
      </c>
      <c r="AH18" s="102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Z18" s="119"/>
      <c r="BI18" s="15"/>
    </row>
    <row r="19" spans="1:61" ht="20.149999999999999" customHeight="1" x14ac:dyDescent="0.3">
      <c r="A19" s="572"/>
      <c r="B19" s="1706" t="s">
        <v>213</v>
      </c>
      <c r="C19" s="1706"/>
      <c r="D19" s="1706"/>
      <c r="E19" s="1706"/>
      <c r="F19" s="1706"/>
      <c r="G19" s="1706"/>
      <c r="H19" s="1706"/>
      <c r="I19" s="1697" t="s">
        <v>143</v>
      </c>
      <c r="J19" s="1697"/>
      <c r="K19" s="589" t="str">
        <f>+IF($Q$12="","",AP29)</f>
        <v/>
      </c>
      <c r="L19" s="589" t="str">
        <f>+IF($Q$12="","",AQ29)</f>
        <v/>
      </c>
      <c r="M19" s="589" t="str">
        <f>+IF($Q$12="","",AR29)</f>
        <v/>
      </c>
      <c r="N19" s="589" t="str">
        <f>+IF($Q$12="","",AS29)</f>
        <v/>
      </c>
      <c r="O19" s="1711" t="str">
        <f>+IF($Q$12="","",AT29)</f>
        <v/>
      </c>
      <c r="P19" s="1712"/>
      <c r="Q19" s="586"/>
      <c r="R19" s="586"/>
      <c r="S19" s="579"/>
      <c r="T19" s="935" t="s">
        <v>213</v>
      </c>
      <c r="U19" s="936" t="str">
        <f>+IF(Q12="","",MROUND(K19*0.224809,10))</f>
        <v/>
      </c>
      <c r="V19" s="936" t="str">
        <f>+IF(Q12="","",MROUND(L19*0.224809,10))</f>
        <v/>
      </c>
      <c r="W19" s="936" t="str">
        <f>+IF(Q12="","",MROUND(M19*0.224809,10))</f>
        <v/>
      </c>
      <c r="X19" s="936" t="str">
        <f>+IF(Q12="","",MROUND(N19*0.224809,10))</f>
        <v/>
      </c>
      <c r="Y19" s="937" t="str">
        <f>IF(U19="","",AVERAGE(U19:X19))</f>
        <v/>
      </c>
      <c r="Z19" s="938" t="s">
        <v>216</v>
      </c>
      <c r="AA19" s="1061"/>
      <c r="AB19" s="284"/>
      <c r="AC19" s="284"/>
      <c r="AD19" s="40"/>
      <c r="AE19" s="180">
        <v>58.7</v>
      </c>
      <c r="AF19" s="181">
        <v>1.1399999999999999</v>
      </c>
      <c r="AH19" s="102"/>
      <c r="AI19" s="522" t="s">
        <v>198</v>
      </c>
      <c r="AJ19" s="522"/>
      <c r="AK19" s="522"/>
      <c r="AL19" s="522"/>
      <c r="AM19" s="522"/>
      <c r="AN19" s="34"/>
      <c r="AO19" s="522" t="s">
        <v>199</v>
      </c>
      <c r="AP19" s="522"/>
      <c r="AQ19" s="522"/>
      <c r="AR19" s="522"/>
      <c r="AS19" s="522"/>
      <c r="AT19" s="34"/>
      <c r="AU19" s="34"/>
      <c r="AV19" s="34"/>
      <c r="AZ19" s="119"/>
    </row>
    <row r="20" spans="1:61" ht="20.149999999999999" customHeight="1" thickBot="1" x14ac:dyDescent="0.35">
      <c r="A20" s="572"/>
      <c r="B20" s="1683" t="s">
        <v>213</v>
      </c>
      <c r="C20" s="1683"/>
      <c r="D20" s="1683"/>
      <c r="E20" s="1683"/>
      <c r="F20" s="1683"/>
      <c r="G20" s="1683"/>
      <c r="H20" s="1683"/>
      <c r="I20" s="1546" t="s">
        <v>215</v>
      </c>
      <c r="J20" s="1546"/>
      <c r="K20" s="589" t="str">
        <f>IF(U17="","",U17*101.972)</f>
        <v/>
      </c>
      <c r="L20" s="589" t="str">
        <f>IF(V17="","",V17*101.972)</f>
        <v/>
      </c>
      <c r="M20" s="589" t="str">
        <f>IF(W17="","",W17*101.972)</f>
        <v/>
      </c>
      <c r="N20" s="589" t="str">
        <f>IF(X17="","",X17*101.972)</f>
        <v/>
      </c>
      <c r="O20" s="1709" t="str">
        <f>+IF(K20="","",AVERAGE(K20:N20))</f>
        <v/>
      </c>
      <c r="P20" s="1715"/>
      <c r="Q20" s="588"/>
      <c r="R20" s="588"/>
      <c r="S20" s="579"/>
      <c r="T20" s="190"/>
      <c r="U20" s="190"/>
      <c r="V20" s="190"/>
      <c r="W20" s="190"/>
      <c r="X20" s="190"/>
      <c r="Y20" s="190"/>
      <c r="Z20" s="190"/>
      <c r="AA20" s="190"/>
      <c r="AB20" s="571"/>
      <c r="AC20" s="571"/>
      <c r="AD20" s="171"/>
      <c r="AE20" s="182">
        <v>58.8</v>
      </c>
      <c r="AF20" s="183">
        <f t="shared" ref="AF20:AF34" si="1">+$AF$19+((AE21-$AE$19)*(($AF$35-$AF$19)/($AE$35-$AE$19)))</f>
        <v>1.13375</v>
      </c>
      <c r="AH20" s="102"/>
      <c r="AI20" s="34"/>
      <c r="AJ20" s="105" t="s">
        <v>193</v>
      </c>
      <c r="AK20" s="106">
        <v>0.25</v>
      </c>
      <c r="AL20" s="107"/>
      <c r="AM20" s="107"/>
      <c r="AN20" s="34"/>
      <c r="AO20" s="34"/>
      <c r="AP20" s="105" t="s">
        <v>193</v>
      </c>
      <c r="AQ20" s="106">
        <v>50</v>
      </c>
      <c r="AR20" s="107"/>
      <c r="AS20" s="107"/>
      <c r="AT20" s="34"/>
      <c r="AU20" s="34"/>
      <c r="AV20" s="34"/>
      <c r="AZ20" s="119"/>
    </row>
    <row r="21" spans="1:61" ht="20.149999999999999" customHeight="1" thickTop="1" x14ac:dyDescent="0.3">
      <c r="A21" s="572"/>
      <c r="B21" s="1716" t="s">
        <v>217</v>
      </c>
      <c r="C21" s="1716"/>
      <c r="D21" s="1716"/>
      <c r="E21" s="1716"/>
      <c r="F21" s="1716"/>
      <c r="G21" s="1716"/>
      <c r="H21" s="1716"/>
      <c r="I21" s="1546" t="s">
        <v>218</v>
      </c>
      <c r="J21" s="1546"/>
      <c r="K21" s="573" t="str">
        <f>IF(K20="","",IF(K20&lt;(0.8*$O$20),"No Cumple","cumple"))</f>
        <v/>
      </c>
      <c r="L21" s="573" t="str">
        <f>IF(L20="","",IF(L20&lt;(0.8*$O$20),"No Cumple","cumple"))</f>
        <v/>
      </c>
      <c r="M21" s="573" t="str">
        <f>IF(M20="","",IF(M20&lt;(0.8*$O$20),"No Cumple","cumple"))</f>
        <v/>
      </c>
      <c r="N21" s="573" t="str">
        <f>IF(N20="","",IF(N20&lt;(0.8*$O$20),"No Cumple","cumple"))</f>
        <v/>
      </c>
      <c r="O21" s="1709" t="str">
        <f>IF(K21="","",IF(OR(T147&gt;1,U147&gt;0),"No cumple","Cumple"))</f>
        <v/>
      </c>
      <c r="P21" s="1710"/>
      <c r="Q21" s="589"/>
      <c r="R21" s="589"/>
      <c r="S21" s="579"/>
      <c r="T21" s="1713" t="s">
        <v>476</v>
      </c>
      <c r="U21" s="1714"/>
      <c r="V21" s="190"/>
      <c r="W21" s="190"/>
      <c r="X21" s="190"/>
      <c r="Y21" s="190"/>
      <c r="Z21" s="190"/>
      <c r="AA21" s="190"/>
      <c r="AB21" s="234"/>
      <c r="AC21" s="234"/>
      <c r="AD21" s="172"/>
      <c r="AE21" s="182">
        <v>58.9</v>
      </c>
      <c r="AF21" s="183">
        <f t="shared" si="1"/>
        <v>1.130625</v>
      </c>
      <c r="AH21" s="102"/>
      <c r="AI21" s="34"/>
      <c r="AJ21" s="108" t="s">
        <v>194</v>
      </c>
      <c r="AK21" s="108" t="s">
        <v>195</v>
      </c>
      <c r="AL21" s="108" t="s">
        <v>196</v>
      </c>
      <c r="AM21" s="108" t="s">
        <v>197</v>
      </c>
      <c r="AN21" s="34"/>
      <c r="AO21" s="34"/>
      <c r="AP21" s="108" t="s">
        <v>194</v>
      </c>
      <c r="AQ21" s="108" t="s">
        <v>195</v>
      </c>
      <c r="AR21" s="108" t="s">
        <v>196</v>
      </c>
      <c r="AS21" s="108" t="s">
        <v>197</v>
      </c>
      <c r="AT21" s="108" t="s">
        <v>200</v>
      </c>
      <c r="AU21" s="34"/>
      <c r="AV21" s="34"/>
      <c r="AZ21" s="119"/>
    </row>
    <row r="22" spans="1:61" ht="20.149999999999999" customHeight="1" x14ac:dyDescent="0.3">
      <c r="A22" s="572"/>
      <c r="B22" s="1716"/>
      <c r="C22" s="1716"/>
      <c r="D22" s="1716"/>
      <c r="E22" s="1716"/>
      <c r="F22" s="1716"/>
      <c r="G22" s="1716"/>
      <c r="H22" s="1716"/>
      <c r="I22" s="1546" t="s">
        <v>310</v>
      </c>
      <c r="J22" s="1546"/>
      <c r="K22" s="573" t="str">
        <f>IF(K20="","",IF(K20&gt;(1.25*('2. Consolidado'!$K$20)),"No Cumple","cumple"))</f>
        <v/>
      </c>
      <c r="L22" s="573" t="str">
        <f>IF(L20="","",IF(L20&gt;(1.25*('2. Consolidado'!$K$20)),"No Cumple","cumple"))</f>
        <v/>
      </c>
      <c r="M22" s="573" t="str">
        <f>IF(M20="","",IF(M20&gt;(1.25*('2. Consolidado'!$K$20)),"No Cumple","cumple"))</f>
        <v/>
      </c>
      <c r="N22" s="573" t="str">
        <f>IF(N20="","",IF(N20&gt;(1.25*('2. Consolidado'!$K$20)),"No Cumple","cumple"))</f>
        <v/>
      </c>
      <c r="O22" s="1709"/>
      <c r="P22" s="1710"/>
      <c r="Q22" s="590"/>
      <c r="R22" s="590"/>
      <c r="S22" s="579"/>
      <c r="T22" s="285" t="s">
        <v>77</v>
      </c>
      <c r="U22" s="286" t="str">
        <f>IF(Z29="","",+(Z28)*V36/(G31*100))</f>
        <v/>
      </c>
      <c r="V22" s="190"/>
      <c r="W22" s="190"/>
      <c r="X22" s="234"/>
      <c r="Y22" s="190"/>
      <c r="Z22" s="190"/>
      <c r="AA22" s="190"/>
      <c r="AB22" s="190"/>
      <c r="AC22" s="190"/>
      <c r="AD22" s="591"/>
      <c r="AE22" s="182">
        <v>59</v>
      </c>
      <c r="AF22" s="183">
        <f t="shared" si="1"/>
        <v>1.1274999999999999</v>
      </c>
      <c r="AH22" s="102"/>
      <c r="AI22" s="34"/>
      <c r="AJ22" s="111" t="e">
        <f>U16/$AK$20</f>
        <v>#VALUE!</v>
      </c>
      <c r="AK22" s="111" t="e">
        <f>V16/$AK$20</f>
        <v>#VALUE!</v>
      </c>
      <c r="AL22" s="111" t="e">
        <f>W16/$AK$20</f>
        <v>#VALUE!</v>
      </c>
      <c r="AM22" s="111" t="e">
        <f>X16/$AK$20</f>
        <v>#VALUE!</v>
      </c>
      <c r="AN22" s="34"/>
      <c r="AO22" s="34"/>
      <c r="AP22" s="115" t="e">
        <f>U18*2</f>
        <v>#VALUE!</v>
      </c>
      <c r="AQ22" s="115" t="e">
        <f>V18*2</f>
        <v>#VALUE!</v>
      </c>
      <c r="AR22" s="115" t="e">
        <f>W18*2</f>
        <v>#VALUE!</v>
      </c>
      <c r="AS22" s="115" t="e">
        <f>X18*2</f>
        <v>#VALUE!</v>
      </c>
      <c r="AT22" s="115" t="e">
        <f>Y18*2</f>
        <v>#VALUE!</v>
      </c>
      <c r="AU22" s="34"/>
      <c r="AV22" s="34"/>
      <c r="AZ22" s="119"/>
    </row>
    <row r="23" spans="1:61" ht="20.149999999999999" customHeight="1" x14ac:dyDescent="0.3">
      <c r="A23" s="572"/>
      <c r="B23" s="1683" t="s">
        <v>477</v>
      </c>
      <c r="C23" s="1683"/>
      <c r="D23" s="1683"/>
      <c r="E23" s="1683"/>
      <c r="F23" s="1683"/>
      <c r="G23" s="1683"/>
      <c r="H23" s="1683"/>
      <c r="I23" s="1546" t="s">
        <v>219</v>
      </c>
      <c r="J23" s="1546"/>
      <c r="K23" s="581"/>
      <c r="L23" s="581"/>
      <c r="M23" s="581"/>
      <c r="N23" s="581"/>
      <c r="O23" s="1720" t="str">
        <f>+IF(K23="","",AVERAGE(K23:N23))</f>
        <v/>
      </c>
      <c r="P23" s="1721"/>
      <c r="Q23" s="588"/>
      <c r="R23" s="588"/>
      <c r="S23" s="579"/>
      <c r="T23" s="285" t="s">
        <v>78</v>
      </c>
      <c r="U23" s="286" t="e">
        <f>+Z33/O29</f>
        <v>#VALUE!</v>
      </c>
      <c r="V23" s="190"/>
      <c r="W23" s="190"/>
      <c r="X23" s="234"/>
      <c r="Y23" s="190"/>
      <c r="Z23" s="190"/>
      <c r="AA23" s="190"/>
      <c r="AB23" s="190"/>
      <c r="AC23" s="190"/>
      <c r="AD23" s="173"/>
      <c r="AE23" s="182">
        <v>59.1</v>
      </c>
      <c r="AF23" s="183">
        <f t="shared" si="1"/>
        <v>1.1243749999999999</v>
      </c>
      <c r="AH23" s="102"/>
      <c r="AI23" s="113">
        <v>1</v>
      </c>
      <c r="AJ23" s="106" t="e">
        <f>ABS(MID(AJ22,SEARCH(",",AJ22,1),2))</f>
        <v>#VALUE!</v>
      </c>
      <c r="AK23" s="106" t="e">
        <f>ABS(MID(AK22,SEARCH(",",AK22,1),2))</f>
        <v>#VALUE!</v>
      </c>
      <c r="AL23" s="106" t="e">
        <f>ABS(MID(AL22,SEARCH(",",AL22,1),2))</f>
        <v>#VALUE!</v>
      </c>
      <c r="AM23" s="106" t="e">
        <f>ABS(MID(AM22,SEARCH(",",AM22,1),2))</f>
        <v>#VALUE!</v>
      </c>
      <c r="AN23" s="34"/>
      <c r="AO23" s="113">
        <v>1</v>
      </c>
      <c r="AP23" s="121" t="e">
        <f>ABS(MID(AP22,SEARCH("",AP22,4),3))</f>
        <v>#VALUE!</v>
      </c>
      <c r="AQ23" s="121" t="e">
        <f t="shared" ref="AQ23:AT23" si="2">ABS(MID(AQ22,SEARCH("",AQ22,4),3))</f>
        <v>#VALUE!</v>
      </c>
      <c r="AR23" s="121" t="e">
        <f t="shared" si="2"/>
        <v>#VALUE!</v>
      </c>
      <c r="AS23" s="121" t="e">
        <f t="shared" si="2"/>
        <v>#VALUE!</v>
      </c>
      <c r="AT23" s="121" t="e">
        <f t="shared" si="2"/>
        <v>#VALUE!</v>
      </c>
      <c r="AU23" s="34"/>
      <c r="AV23" s="34"/>
      <c r="AZ23" s="119"/>
    </row>
    <row r="24" spans="1:61" ht="20.149999999999999" customHeight="1" thickBot="1" x14ac:dyDescent="0.35">
      <c r="A24" s="572"/>
      <c r="B24" s="1683" t="s">
        <v>220</v>
      </c>
      <c r="C24" s="1683"/>
      <c r="D24" s="1683"/>
      <c r="E24" s="1683"/>
      <c r="F24" s="1683"/>
      <c r="G24" s="1683"/>
      <c r="H24" s="1683"/>
      <c r="I24" s="1546" t="s">
        <v>49</v>
      </c>
      <c r="J24" s="1546"/>
      <c r="K24" s="589" t="str">
        <f>IF(K20="","",K20/K23)</f>
        <v/>
      </c>
      <c r="L24" s="589" t="str">
        <f>IF(L20="","",+L20/L23)</f>
        <v/>
      </c>
      <c r="M24" s="589" t="str">
        <f>IF(M20="","",+M20/M23)</f>
        <v/>
      </c>
      <c r="N24" s="589" t="str">
        <f>IF(N20="","",+N20/N23)</f>
        <v/>
      </c>
      <c r="O24" s="1709" t="str">
        <f>+IF(K24="","",AVERAGE(K24:N24))</f>
        <v/>
      </c>
      <c r="P24" s="1715"/>
      <c r="Q24" s="592"/>
      <c r="R24" s="592"/>
      <c r="S24" s="579"/>
      <c r="T24" s="287" t="s">
        <v>259</v>
      </c>
      <c r="U24" s="288" t="str">
        <f>IF(Q12="","",+U22/(U22+U23))</f>
        <v/>
      </c>
      <c r="V24" s="289"/>
      <c r="W24" s="290"/>
      <c r="X24" s="190"/>
      <c r="Y24" s="190"/>
      <c r="Z24" s="190"/>
      <c r="AA24" s="190"/>
      <c r="AB24" s="190"/>
      <c r="AC24" s="190"/>
      <c r="AD24" s="171"/>
      <c r="AE24" s="182">
        <v>59.2</v>
      </c>
      <c r="AF24" s="183">
        <f t="shared" si="1"/>
        <v>1.1212500000000001</v>
      </c>
      <c r="AH24" s="102"/>
      <c r="AI24" s="113">
        <v>2</v>
      </c>
      <c r="AJ24" s="106" t="e">
        <f>ABS(MID(AJ22,SEARCH(",",AJ22,1),3))</f>
        <v>#VALUE!</v>
      </c>
      <c r="AK24" s="106" t="e">
        <f>ABS(MID(AK22,SEARCH(",",AK22,1),3))</f>
        <v>#VALUE!</v>
      </c>
      <c r="AL24" s="106" t="e">
        <f>ABS(MID(AL22,SEARCH(",",AL22,1),3))</f>
        <v>#VALUE!</v>
      </c>
      <c r="AM24" s="106" t="e">
        <f>ABS(MID(AM22,SEARCH(",",AM22,1),3))</f>
        <v>#VALUE!</v>
      </c>
      <c r="AN24" s="34"/>
      <c r="AO24" s="113">
        <v>2</v>
      </c>
      <c r="AP24" s="106" t="e">
        <f>ABS(MID(AP22,SEARCH("",AP22,3),4))</f>
        <v>#VALUE!</v>
      </c>
      <c r="AQ24" s="106" t="e">
        <f t="shared" ref="AQ24:AT24" si="3">ABS(MID(AQ22,SEARCH("",AQ22,3),4))</f>
        <v>#VALUE!</v>
      </c>
      <c r="AR24" s="106" t="e">
        <f t="shared" si="3"/>
        <v>#VALUE!</v>
      </c>
      <c r="AS24" s="106" t="e">
        <f t="shared" si="3"/>
        <v>#VALUE!</v>
      </c>
      <c r="AT24" s="106" t="e">
        <f t="shared" si="3"/>
        <v>#VALUE!</v>
      </c>
      <c r="AU24" s="34"/>
      <c r="AV24" s="34"/>
      <c r="AZ24" s="119"/>
    </row>
    <row r="25" spans="1:61" ht="20.149999999999999" customHeight="1" thickTop="1" x14ac:dyDescent="0.3">
      <c r="A25" s="572"/>
      <c r="B25" s="1717" t="s">
        <v>311</v>
      </c>
      <c r="C25" s="1717"/>
      <c r="D25" s="1717"/>
      <c r="E25" s="1717"/>
      <c r="F25" s="1717"/>
      <c r="G25" s="1717"/>
      <c r="H25" s="1717"/>
      <c r="I25" s="1702" t="s">
        <v>221</v>
      </c>
      <c r="J25" s="1702"/>
      <c r="K25" s="862" t="str">
        <f>IF(OR('5. Bulk y Rice'!J19="",'5. Bulk y Rice'!$G$27=""),"",(1-('5. Bulk y Rice'!J19/'5. Bulk y Rice'!$G$27))*100)</f>
        <v/>
      </c>
      <c r="L25" s="862" t="str">
        <f>IF(OR('5. Bulk y Rice'!K19="",'5. Bulk y Rice'!$G$27=""),"",(1-('5. Bulk y Rice'!K19/'5. Bulk y Rice'!$G$27))*100)</f>
        <v/>
      </c>
      <c r="M25" s="862" t="str">
        <f>IF(OR('5. Bulk y Rice'!L19="",'5. Bulk y Rice'!$G$27=""),"",(1-('5. Bulk y Rice'!L19/'5. Bulk y Rice'!$G$27))*100)</f>
        <v/>
      </c>
      <c r="N25" s="862" t="str">
        <f>IF(OR('5. Bulk y Rice'!M19="",'5. Bulk y Rice'!$G$27=""),"",(1-('5. Bulk y Rice'!M19/'5. Bulk y Rice'!$G$27))*100)</f>
        <v/>
      </c>
      <c r="O25" s="1718" t="str">
        <f>+IF(K25="","",AVERAGE(K25:N25))</f>
        <v/>
      </c>
      <c r="P25" s="1719"/>
      <c r="Q25" s="592"/>
      <c r="R25" s="592"/>
      <c r="S25" s="579"/>
      <c r="T25" s="289"/>
      <c r="U25" s="291"/>
      <c r="V25" s="289"/>
      <c r="W25" s="290"/>
      <c r="X25" s="190"/>
      <c r="Y25" s="190"/>
      <c r="Z25" s="190"/>
      <c r="AA25" s="190"/>
      <c r="AB25" s="190"/>
      <c r="AC25" s="190"/>
      <c r="AD25" s="173"/>
      <c r="AE25" s="182">
        <v>59.3</v>
      </c>
      <c r="AF25" s="183">
        <f t="shared" si="1"/>
        <v>1.118125</v>
      </c>
      <c r="AH25" s="102"/>
      <c r="AI25" s="108">
        <v>3</v>
      </c>
      <c r="AJ25" s="115" t="e">
        <f>TRUNC(AJ22,0)</f>
        <v>#VALUE!</v>
      </c>
      <c r="AK25" s="115" t="e">
        <f>TRUNC(AK22,0)</f>
        <v>#VALUE!</v>
      </c>
      <c r="AL25" s="115" t="e">
        <f>TRUNC(AL22,0)</f>
        <v>#VALUE!</v>
      </c>
      <c r="AM25" s="115" t="e">
        <f>TRUNC(AM22,0)</f>
        <v>#VALUE!</v>
      </c>
      <c r="AN25" s="34"/>
      <c r="AO25" s="108">
        <v>3</v>
      </c>
      <c r="AP25" s="122" t="e">
        <f>MID(AP22,1,5)</f>
        <v>#VALUE!</v>
      </c>
      <c r="AQ25" s="122" t="e">
        <f t="shared" ref="AQ25:AT25" si="4">MID(AQ22,1,5)</f>
        <v>#VALUE!</v>
      </c>
      <c r="AR25" s="122" t="e">
        <f t="shared" si="4"/>
        <v>#VALUE!</v>
      </c>
      <c r="AS25" s="122" t="e">
        <f t="shared" si="4"/>
        <v>#VALUE!</v>
      </c>
      <c r="AT25" s="122" t="e">
        <f t="shared" si="4"/>
        <v>#VALUE!</v>
      </c>
      <c r="AU25" s="34"/>
      <c r="AV25" s="34"/>
      <c r="AZ25" s="119"/>
    </row>
    <row r="26" spans="1:61" ht="20.149999999999999" customHeight="1" thickBot="1" x14ac:dyDescent="0.35">
      <c r="A26" s="572"/>
      <c r="B26" s="1717" t="s">
        <v>478</v>
      </c>
      <c r="C26" s="1717"/>
      <c r="D26" s="1717"/>
      <c r="E26" s="1717"/>
      <c r="F26" s="1717"/>
      <c r="G26" s="1717"/>
      <c r="H26" s="1717"/>
      <c r="I26" s="1702" t="s">
        <v>221</v>
      </c>
      <c r="J26" s="1702"/>
      <c r="K26" s="862" t="str">
        <f>+IF(K25="","",(100-(K15*$Z$28)/$O$30))</f>
        <v/>
      </c>
      <c r="L26" s="862" t="str">
        <f>+IF(L25="","",(100-(L15*$Z$28)/$O$30))</f>
        <v/>
      </c>
      <c r="M26" s="862" t="str">
        <f>+IF(M25="","",(100-(M15*$Z$28)/$O$30))</f>
        <v/>
      </c>
      <c r="N26" s="862" t="str">
        <f>+IF(N25="","",(100-(N15*$Z$28)/$O$30))</f>
        <v/>
      </c>
      <c r="O26" s="1718" t="str">
        <f>+IF(K26="","",AVERAGE(K26:N26))</f>
        <v/>
      </c>
      <c r="P26" s="1719"/>
      <c r="Q26" s="593"/>
      <c r="R26" s="593"/>
      <c r="S26" s="579"/>
      <c r="T26" s="190"/>
      <c r="U26" s="190"/>
      <c r="V26" s="190"/>
      <c r="W26" s="190"/>
      <c r="X26" s="190"/>
      <c r="Y26" s="190"/>
      <c r="Z26" s="190"/>
      <c r="AA26" s="190"/>
      <c r="AB26" s="190"/>
      <c r="AC26" s="190"/>
      <c r="AD26" s="594"/>
      <c r="AE26" s="182">
        <v>59.4</v>
      </c>
      <c r="AF26" s="183">
        <f t="shared" si="1"/>
        <v>1.115</v>
      </c>
      <c r="AH26" s="102"/>
      <c r="AI26" s="108">
        <v>4</v>
      </c>
      <c r="AJ26" s="111" t="e">
        <f>ABS(AJ24-AJ23)</f>
        <v>#VALUE!</v>
      </c>
      <c r="AK26" s="111" t="e">
        <f>ABS(AK24-AK23)</f>
        <v>#VALUE!</v>
      </c>
      <c r="AL26" s="111" t="e">
        <f>ABS(AL24-AL23)</f>
        <v>#VALUE!</v>
      </c>
      <c r="AM26" s="111" t="e">
        <f>ABS(AM24-AM23)</f>
        <v>#VALUE!</v>
      </c>
      <c r="AN26" s="34"/>
      <c r="AO26" s="108">
        <v>4</v>
      </c>
      <c r="AP26" s="123" t="e">
        <f>AP24-AP23</f>
        <v>#VALUE!</v>
      </c>
      <c r="AQ26" s="123" t="e">
        <f t="shared" ref="AQ26:AT27" si="5">AQ24-AQ23</f>
        <v>#VALUE!</v>
      </c>
      <c r="AR26" s="123" t="e">
        <f t="shared" si="5"/>
        <v>#VALUE!</v>
      </c>
      <c r="AS26" s="123" t="e">
        <f t="shared" si="5"/>
        <v>#VALUE!</v>
      </c>
      <c r="AT26" s="123" t="e">
        <f t="shared" si="5"/>
        <v>#VALUE!</v>
      </c>
      <c r="AU26" s="34"/>
      <c r="AV26" s="34"/>
      <c r="AZ26" s="119"/>
    </row>
    <row r="27" spans="1:61" ht="20.149999999999999" customHeight="1" thickTop="1" thickBot="1" x14ac:dyDescent="0.35">
      <c r="A27" s="595"/>
      <c r="B27" s="1722" t="s">
        <v>48</v>
      </c>
      <c r="C27" s="1722"/>
      <c r="D27" s="1722"/>
      <c r="E27" s="1722"/>
      <c r="F27" s="1722"/>
      <c r="G27" s="1722"/>
      <c r="H27" s="1722"/>
      <c r="I27" s="1723" t="s">
        <v>221</v>
      </c>
      <c r="J27" s="1723"/>
      <c r="K27" s="863" t="str">
        <f>+IF(K25="","",(100*(K26-K25)/K26))</f>
        <v/>
      </c>
      <c r="L27" s="863" t="str">
        <f>+IF(L25="","",(100*(L26-L25)/L26))</f>
        <v/>
      </c>
      <c r="M27" s="863" t="str">
        <f>+IF(M25="","",(100*(M26-M25)/M26))</f>
        <v/>
      </c>
      <c r="N27" s="863" t="str">
        <f>+IF(N25="","",(100*(N26-N25)/N26))</f>
        <v/>
      </c>
      <c r="O27" s="1724" t="str">
        <f>+IF(K27="","",AVERAGE(K27:N27))</f>
        <v/>
      </c>
      <c r="P27" s="1725"/>
      <c r="Q27" s="590"/>
      <c r="R27" s="590"/>
      <c r="S27" s="579"/>
      <c r="T27" s="1734" t="s">
        <v>33</v>
      </c>
      <c r="U27" s="1735"/>
      <c r="V27" s="1735"/>
      <c r="W27" s="1735"/>
      <c r="X27" s="1735"/>
      <c r="Y27" s="1735"/>
      <c r="Z27" s="1736"/>
      <c r="AA27" s="1062"/>
      <c r="AB27" s="234"/>
      <c r="AC27" s="234"/>
      <c r="AD27" s="594"/>
      <c r="AE27" s="182">
        <v>59.5</v>
      </c>
      <c r="AF27" s="183">
        <f t="shared" si="1"/>
        <v>1.1118749999999999</v>
      </c>
      <c r="AH27" s="102"/>
      <c r="AI27" s="108">
        <v>5</v>
      </c>
      <c r="AJ27" s="111" t="e">
        <f>IF(AJ26&gt;0,AJ25+1,IF(AND(AJ26=0,ISODD(AJ23*10)),AJ25+1,AJ25))</f>
        <v>#VALUE!</v>
      </c>
      <c r="AK27" s="111" t="e">
        <f>IF(AK26&gt;0,AK25+1,IF(AND(AK26=0,ISODD(AK23*10)),AK25+1,AK25))</f>
        <v>#VALUE!</v>
      </c>
      <c r="AL27" s="111" t="e">
        <f>IF(AL26&gt;0,AL25+1,IF(AND(AL26=0,ISODD(AL23*10)),AL25+1,AL25))</f>
        <v>#VALUE!</v>
      </c>
      <c r="AM27" s="111" t="e">
        <f>IF(AM26&gt;0,AM25+1,IF(AND(AM26=0,ISODD(AM23*10)),AM25+1,AM25))</f>
        <v>#VALUE!</v>
      </c>
      <c r="AN27" s="34"/>
      <c r="AO27" s="108">
        <v>5</v>
      </c>
      <c r="AP27" s="115" t="e">
        <f>AP25-AP24</f>
        <v>#VALUE!</v>
      </c>
      <c r="AQ27" s="115" t="e">
        <f t="shared" si="5"/>
        <v>#VALUE!</v>
      </c>
      <c r="AR27" s="115" t="e">
        <f t="shared" si="5"/>
        <v>#VALUE!</v>
      </c>
      <c r="AS27" s="115" t="e">
        <f t="shared" si="5"/>
        <v>#VALUE!</v>
      </c>
      <c r="AT27" s="115" t="e">
        <f t="shared" si="5"/>
        <v>#VALUE!</v>
      </c>
      <c r="AU27" s="34"/>
      <c r="AV27" s="34"/>
      <c r="AZ27" s="119"/>
    </row>
    <row r="28" spans="1:61" ht="20.149999999999999" customHeight="1" thickTop="1" x14ac:dyDescent="0.3">
      <c r="A28" s="1726" t="s">
        <v>461</v>
      </c>
      <c r="B28" s="1727"/>
      <c r="C28" s="1727"/>
      <c r="D28" s="1727"/>
      <c r="E28" s="1727"/>
      <c r="F28" s="1727"/>
      <c r="G28" s="1727"/>
      <c r="H28" s="1727"/>
      <c r="I28" s="1727"/>
      <c r="J28" s="1727"/>
      <c r="K28" s="1727"/>
      <c r="L28" s="1727"/>
      <c r="M28" s="1727"/>
      <c r="N28" s="1727"/>
      <c r="O28" s="1727"/>
      <c r="P28" s="1728"/>
      <c r="Q28" s="593"/>
      <c r="R28" s="593"/>
      <c r="S28" s="579"/>
      <c r="T28" s="292"/>
      <c r="U28" s="293" t="s">
        <v>34</v>
      </c>
      <c r="V28" s="293" t="s">
        <v>240</v>
      </c>
      <c r="W28" s="293" t="s">
        <v>239</v>
      </c>
      <c r="X28" s="293" t="s">
        <v>241</v>
      </c>
      <c r="Y28" s="502" t="s">
        <v>258</v>
      </c>
      <c r="Z28" s="294" t="str">
        <f>IF(Z29="","",100-Z29)</f>
        <v/>
      </c>
      <c r="AA28" s="1063"/>
      <c r="AB28" s="234"/>
      <c r="AC28" s="234"/>
      <c r="AD28" s="594"/>
      <c r="AE28" s="182">
        <v>59.6</v>
      </c>
      <c r="AF28" s="183">
        <f t="shared" si="1"/>
        <v>1.1087499999999999</v>
      </c>
      <c r="AH28" s="102"/>
      <c r="AI28" s="108">
        <v>6</v>
      </c>
      <c r="AJ28" s="111" t="e">
        <f>IF(AJ23&lt;0.5,AJ25,IF(AJ23&gt;0.5,AJ25+1,AJ27))</f>
        <v>#VALUE!</v>
      </c>
      <c r="AK28" s="111" t="e">
        <f>IF(AK23&lt;0.5,AK25,IF(AK23&gt;0.5,AK25+1,AK27))</f>
        <v>#VALUE!</v>
      </c>
      <c r="AL28" s="111" t="e">
        <f>IF(AL23&lt;0.5,AL25,IF(AL23&gt;0.5,AL25+1,AL27))</f>
        <v>#VALUE!</v>
      </c>
      <c r="AM28" s="111" t="e">
        <f>IF(AM23&lt;0.5,AM25,IF(AM23&gt;0.5,AM25+1,AM27))</f>
        <v>#VALUE!</v>
      </c>
      <c r="AN28" s="34"/>
      <c r="AO28" s="108">
        <v>6</v>
      </c>
      <c r="AP28" s="111" t="e">
        <f>IF(AP23&lt;55,AP27+AP26,IF(AP23&gt;=55,AP27+AP26+100,"Prueba"))</f>
        <v>#VALUE!</v>
      </c>
      <c r="AQ28" s="111" t="e">
        <f t="shared" ref="AQ28:AT28" si="6">IF(AQ23&lt;55,AQ27+AQ26,IF(AQ23&gt;=55,AQ27+AQ26+100,"Prueba"))</f>
        <v>#VALUE!</v>
      </c>
      <c r="AR28" s="111" t="e">
        <f t="shared" si="6"/>
        <v>#VALUE!</v>
      </c>
      <c r="AS28" s="111" t="e">
        <f t="shared" si="6"/>
        <v>#VALUE!</v>
      </c>
      <c r="AT28" s="111" t="e">
        <f t="shared" si="6"/>
        <v>#VALUE!</v>
      </c>
      <c r="AU28" s="34"/>
      <c r="AV28" s="34"/>
      <c r="AZ28" s="119"/>
    </row>
    <row r="29" spans="1:61" ht="20.149999999999999" customHeight="1" x14ac:dyDescent="0.3">
      <c r="A29" s="572"/>
      <c r="B29" s="598" t="s">
        <v>107</v>
      </c>
      <c r="C29" s="1729" t="s">
        <v>98</v>
      </c>
      <c r="D29" s="1729"/>
      <c r="E29" s="599" t="str">
        <f>IF(Q12="","",(SUM('4. Gradación'!E20:I20)/'4. Gradación'!#REF!)*100)</f>
        <v/>
      </c>
      <c r="F29" s="600" t="s">
        <v>36</v>
      </c>
      <c r="G29" s="1730" t="str">
        <f>+IF(Q12="","",HLOOKUP(Q12,$U$3:$AB$10,U5,0))</f>
        <v/>
      </c>
      <c r="H29" s="1730"/>
      <c r="I29" s="601" t="s">
        <v>67</v>
      </c>
      <c r="J29" s="1731" t="s">
        <v>70</v>
      </c>
      <c r="K29" s="1731"/>
      <c r="L29" s="1731"/>
      <c r="M29" s="1731"/>
      <c r="N29" s="1731"/>
      <c r="O29" s="1732" t="str">
        <f>+IF(Q12="","",HLOOKUP(Q12,$U$3:$AB$10,U9,0))</f>
        <v/>
      </c>
      <c r="P29" s="1733"/>
      <c r="Q29" s="593"/>
      <c r="R29" s="593"/>
      <c r="S29" s="579"/>
      <c r="T29" s="295"/>
      <c r="U29" s="296">
        <v>1</v>
      </c>
      <c r="V29" s="297">
        <v>1</v>
      </c>
      <c r="W29" s="297">
        <v>0.41</v>
      </c>
      <c r="X29" s="440">
        <f>+W29*V29</f>
        <v>0.41</v>
      </c>
      <c r="Y29" s="299" t="s">
        <v>242</v>
      </c>
      <c r="Z29" s="300" t="str">
        <f>+'3. Extracción'!M16</f>
        <v/>
      </c>
      <c r="AA29" s="298"/>
      <c r="AB29" s="234"/>
      <c r="AC29" s="234"/>
      <c r="AD29" s="594"/>
      <c r="AE29" s="182">
        <v>59.7</v>
      </c>
      <c r="AF29" s="183">
        <f t="shared" si="1"/>
        <v>1.1056250000000001</v>
      </c>
      <c r="AH29" s="102"/>
      <c r="AI29" s="108">
        <v>7</v>
      </c>
      <c r="AJ29" s="111" t="e">
        <f>IF(ISERROR(AJ23),AJ25,AJ28)</f>
        <v>#VALUE!</v>
      </c>
      <c r="AK29" s="111" t="e">
        <f>IF(ISERROR(AK23),AK25,AK28)</f>
        <v>#VALUE!</v>
      </c>
      <c r="AL29" s="111" t="e">
        <f>IF(ISERROR(AL23),AL25,AL28)</f>
        <v>#VALUE!</v>
      </c>
      <c r="AM29" s="111" t="e">
        <f>IF(ISERROR(AM23),AM25,AM28)</f>
        <v>#VALUE!</v>
      </c>
      <c r="AN29" s="34"/>
      <c r="AO29" s="108">
        <v>7</v>
      </c>
      <c r="AP29" s="113" t="e">
        <f>AP28/2</f>
        <v>#VALUE!</v>
      </c>
      <c r="AQ29" s="113" t="e">
        <f t="shared" ref="AQ29:AT29" si="7">AQ28/2</f>
        <v>#VALUE!</v>
      </c>
      <c r="AR29" s="113" t="e">
        <f t="shared" si="7"/>
        <v>#VALUE!</v>
      </c>
      <c r="AS29" s="113" t="e">
        <f t="shared" si="7"/>
        <v>#VALUE!</v>
      </c>
      <c r="AT29" s="113" t="e">
        <f t="shared" si="7"/>
        <v>#VALUE!</v>
      </c>
      <c r="AU29" s="34"/>
      <c r="AV29" s="34"/>
      <c r="AZ29" s="119"/>
    </row>
    <row r="30" spans="1:61" ht="20.149999999999999" customHeight="1" x14ac:dyDescent="0.3">
      <c r="A30" s="572"/>
      <c r="B30" s="598" t="s">
        <v>108</v>
      </c>
      <c r="C30" s="1729" t="s">
        <v>99</v>
      </c>
      <c r="D30" s="1729"/>
      <c r="E30" s="603" t="str">
        <f>IF(Q12="","",((SUM('4. Gradación'!J20:M20)/'4. Gradación'!#REF!)*100))</f>
        <v/>
      </c>
      <c r="F30" s="600" t="s">
        <v>36</v>
      </c>
      <c r="G30" s="1746" t="str">
        <f>+IF(Q12="","",HLOOKUP(Q12,$U$3:$AB$10,4,0))</f>
        <v/>
      </c>
      <c r="H30" s="1746"/>
      <c r="I30" s="604" t="s">
        <v>66</v>
      </c>
      <c r="J30" s="1747" t="s">
        <v>69</v>
      </c>
      <c r="K30" s="1747"/>
      <c r="L30" s="1747"/>
      <c r="M30" s="1747"/>
      <c r="N30" s="517"/>
      <c r="O30" s="1732" t="str">
        <f>+IF(E29="","",(E29+E30+E31)/((E29/G29)+(E30/G30)+(E31/G31)))</f>
        <v/>
      </c>
      <c r="P30" s="1733"/>
      <c r="Q30" s="593"/>
      <c r="R30" s="593"/>
      <c r="S30" s="579"/>
      <c r="T30" s="301" t="s">
        <v>232</v>
      </c>
      <c r="U30" s="302">
        <v>4.75</v>
      </c>
      <c r="V30" s="303" t="str">
        <f>+'4. Gradación'!I24</f>
        <v/>
      </c>
      <c r="W30" s="297">
        <v>4.1000000000000003E-3</v>
      </c>
      <c r="X30" s="440" t="str">
        <f t="shared" ref="X30:X36" si="8">IF(V30="","",+W30*V30)</f>
        <v/>
      </c>
      <c r="Y30" s="304" t="s">
        <v>243</v>
      </c>
      <c r="Z30" s="305" t="str">
        <f>+O29</f>
        <v/>
      </c>
      <c r="AA30" s="441"/>
      <c r="AB30" s="234"/>
      <c r="AC30" s="234"/>
      <c r="AD30" s="172"/>
      <c r="AE30" s="182">
        <v>59.8</v>
      </c>
      <c r="AF30" s="183">
        <f t="shared" si="1"/>
        <v>1.1025</v>
      </c>
      <c r="AH30" s="102"/>
      <c r="AI30" s="108">
        <v>8</v>
      </c>
      <c r="AJ30" s="189" t="e">
        <f>+AJ29*AK20</f>
        <v>#VALUE!</v>
      </c>
      <c r="AK30" s="189" t="e">
        <f>AK29*$AK$20</f>
        <v>#VALUE!</v>
      </c>
      <c r="AL30" s="189" t="e">
        <f>AL29*$AK$20</f>
        <v>#VALUE!</v>
      </c>
      <c r="AM30" s="189" t="e">
        <f>AM29*$AK$20</f>
        <v>#VALUE!</v>
      </c>
      <c r="AN30" s="34"/>
      <c r="AO30" s="74"/>
      <c r="AP30" s="124"/>
      <c r="AQ30" s="74"/>
      <c r="AR30" s="74"/>
      <c r="AS30" s="74"/>
      <c r="AT30" s="34"/>
      <c r="AU30" s="34"/>
      <c r="AV30" s="34"/>
      <c r="AZ30" s="119"/>
    </row>
    <row r="31" spans="1:61" ht="20.149999999999999" customHeight="1" x14ac:dyDescent="0.3">
      <c r="A31" s="572"/>
      <c r="B31" s="598" t="s">
        <v>109</v>
      </c>
      <c r="C31" s="1729" t="s">
        <v>176</v>
      </c>
      <c r="D31" s="1729"/>
      <c r="E31" s="605" t="str">
        <f>IF(Q12="","",(('4. Gradación'!O20+'4. Gradación'!#REF!)/'4. Gradación'!#REF!)*100)</f>
        <v/>
      </c>
      <c r="F31" s="600" t="s">
        <v>36</v>
      </c>
      <c r="G31" s="1704" t="str">
        <f>+IF(Q12="","",HLOOKUP(Q12,$U$3:$AB$10,6,0))</f>
        <v/>
      </c>
      <c r="H31" s="1704"/>
      <c r="I31" s="604" t="s">
        <v>65</v>
      </c>
      <c r="J31" s="606" t="s">
        <v>68</v>
      </c>
      <c r="K31" s="517"/>
      <c r="L31" s="517"/>
      <c r="M31" s="517"/>
      <c r="N31" s="517"/>
      <c r="O31" s="1732" t="str">
        <f>IF(O29="","",(100-'3. Extracción'!M16)/((100/'5. Bulk y Rice'!G27)-('3. Extracción'!M16/O29)))</f>
        <v/>
      </c>
      <c r="P31" s="1733"/>
      <c r="Q31" s="596"/>
      <c r="R31" s="596"/>
      <c r="S31" s="597"/>
      <c r="T31" s="301" t="s">
        <v>233</v>
      </c>
      <c r="U31" s="306">
        <v>2.36</v>
      </c>
      <c r="V31" s="165" t="str">
        <f>IF($V$30="","",$V$30+(((U31-$U$30)/($U$36-$U$30))*($V$36-$V$30)))</f>
        <v/>
      </c>
      <c r="W31" s="297">
        <v>8.2000000000000007E-3</v>
      </c>
      <c r="X31" s="440" t="str">
        <f>IF(V31="","",+W31*V31)</f>
        <v/>
      </c>
      <c r="Y31" s="304" t="s">
        <v>244</v>
      </c>
      <c r="Z31" s="307" t="str">
        <f>IF(Z29="","",+Z29/Z30)</f>
        <v/>
      </c>
      <c r="AA31" s="1064"/>
      <c r="AB31" s="190"/>
      <c r="AC31" s="190"/>
      <c r="AD31" s="591"/>
      <c r="AE31" s="182">
        <v>59.9</v>
      </c>
      <c r="AF31" s="183">
        <f t="shared" si="1"/>
        <v>1.099375</v>
      </c>
      <c r="AH31" s="102"/>
      <c r="AI31" s="34"/>
      <c r="AJ31" s="34"/>
      <c r="AK31" s="34"/>
      <c r="AL31" s="34"/>
      <c r="AM31" s="34"/>
      <c r="AN31" s="34"/>
      <c r="AO31" s="34"/>
      <c r="AP31" s="40"/>
      <c r="AQ31" s="34"/>
      <c r="AR31" s="34"/>
      <c r="AS31" s="34"/>
      <c r="AT31" s="34"/>
      <c r="AU31" s="34"/>
      <c r="AV31" s="34"/>
      <c r="AZ31" s="119"/>
    </row>
    <row r="32" spans="1:61" ht="15" customHeight="1" thickBot="1" x14ac:dyDescent="0.35">
      <c r="A32" s="558"/>
      <c r="B32" s="607"/>
      <c r="C32" s="608"/>
      <c r="D32" s="608"/>
      <c r="E32" s="609"/>
      <c r="F32" s="610"/>
      <c r="G32" s="611"/>
      <c r="H32" s="611"/>
      <c r="I32" s="612"/>
      <c r="J32" s="613"/>
      <c r="K32" s="614"/>
      <c r="L32" s="614"/>
      <c r="M32" s="614"/>
      <c r="N32" s="614"/>
      <c r="O32" s="615"/>
      <c r="P32" s="616"/>
      <c r="Q32" s="602"/>
      <c r="R32" s="602"/>
      <c r="S32" s="597"/>
      <c r="T32" s="301" t="s">
        <v>234</v>
      </c>
      <c r="U32" s="308">
        <v>1.18</v>
      </c>
      <c r="V32" s="165" t="str">
        <f>IF($V$30="","",$V$30+(((U32-$U$30)/($U$36-$U$30))*($V$36-$V$30)))</f>
        <v/>
      </c>
      <c r="W32" s="297">
        <v>1.6400000000000001E-2</v>
      </c>
      <c r="X32" s="440" t="str">
        <f t="shared" si="8"/>
        <v/>
      </c>
      <c r="Y32" s="190" t="s">
        <v>246</v>
      </c>
      <c r="Z32" s="307" t="str">
        <f>IF(O29="","",100*(O29*((O31-O30)/(O30*O31))))</f>
        <v/>
      </c>
      <c r="AA32" s="1064"/>
      <c r="AB32" s="190"/>
      <c r="AC32" s="190"/>
      <c r="AD32" s="591"/>
      <c r="AE32" s="182">
        <v>60</v>
      </c>
      <c r="AF32" s="183">
        <f t="shared" si="1"/>
        <v>1.0962499999999999</v>
      </c>
      <c r="AH32" s="125"/>
      <c r="AI32" s="126"/>
      <c r="AJ32" s="126"/>
      <c r="AK32" s="126"/>
      <c r="AL32" s="126"/>
      <c r="AM32" s="126"/>
      <c r="AN32" s="126"/>
      <c r="AO32" s="126"/>
      <c r="AP32" s="127"/>
      <c r="AQ32" s="126"/>
      <c r="AR32" s="126"/>
      <c r="AS32" s="126"/>
      <c r="AT32" s="126"/>
      <c r="AU32" s="126"/>
      <c r="AV32" s="126"/>
      <c r="AW32" s="128"/>
      <c r="AX32" s="128"/>
      <c r="AY32" s="128"/>
      <c r="AZ32" s="129"/>
    </row>
    <row r="33" spans="1:61" ht="15" customHeight="1" x14ac:dyDescent="0.3">
      <c r="A33" s="617"/>
      <c r="B33" s="1737" t="s">
        <v>312</v>
      </c>
      <c r="C33" s="1737"/>
      <c r="D33" s="1737"/>
      <c r="E33" s="1748"/>
      <c r="F33" s="1748"/>
      <c r="G33" s="618"/>
      <c r="H33" s="618"/>
      <c r="I33" s="618"/>
      <c r="J33" s="618"/>
      <c r="K33" s="618"/>
      <c r="L33" s="618"/>
      <c r="M33" s="618"/>
      <c r="N33" s="618"/>
      <c r="O33" s="618"/>
      <c r="P33" s="619"/>
      <c r="Q33" s="602"/>
      <c r="R33" s="602"/>
      <c r="S33" s="597"/>
      <c r="T33" s="301" t="s">
        <v>235</v>
      </c>
      <c r="U33" s="309">
        <v>0.6</v>
      </c>
      <c r="V33" s="165" t="str">
        <f>IF($V$30="","",$V$30+(((U33-$U$30)/($U$36-$U$30))*($V$36-$V$30)))</f>
        <v/>
      </c>
      <c r="W33" s="297">
        <v>2.87E-2</v>
      </c>
      <c r="X33" s="440" t="str">
        <f t="shared" si="8"/>
        <v/>
      </c>
      <c r="Y33" s="190" t="s">
        <v>247</v>
      </c>
      <c r="Z33" s="307" t="e">
        <f>+(Z29)-((Z32*(100-Z29))/(100))</f>
        <v>#VALUE!</v>
      </c>
      <c r="AA33" s="1064"/>
      <c r="AB33" s="190"/>
      <c r="AC33" s="190"/>
      <c r="AD33" s="591"/>
      <c r="AE33" s="182">
        <v>60.1</v>
      </c>
      <c r="AF33" s="183">
        <f t="shared" si="1"/>
        <v>1.0931249999999999</v>
      </c>
    </row>
    <row r="34" spans="1:61" ht="15" customHeight="1" x14ac:dyDescent="0.3">
      <c r="A34" s="621"/>
      <c r="B34" s="622"/>
      <c r="C34" s="622"/>
      <c r="D34" s="622"/>
      <c r="E34" s="622"/>
      <c r="F34" s="622"/>
      <c r="G34" s="622"/>
      <c r="H34" s="622"/>
      <c r="I34" s="622"/>
      <c r="J34" s="622"/>
      <c r="K34" s="622"/>
      <c r="L34" s="622"/>
      <c r="M34" s="622"/>
      <c r="N34" s="622"/>
      <c r="O34" s="622"/>
      <c r="P34" s="623"/>
      <c r="Q34" s="602"/>
      <c r="R34" s="602"/>
      <c r="S34" s="585"/>
      <c r="T34" s="301" t="s">
        <v>236</v>
      </c>
      <c r="U34" s="310">
        <v>0.3</v>
      </c>
      <c r="V34" s="165" t="str">
        <f>IF($V$30="","",$V$30+(((U34-$U$30)/($U$36-$U$30))*($V$36-$V$30)))</f>
        <v/>
      </c>
      <c r="W34" s="297">
        <v>6.1400000000000003E-2</v>
      </c>
      <c r="X34" s="440" t="str">
        <f t="shared" si="8"/>
        <v/>
      </c>
      <c r="Y34" s="190" t="s">
        <v>248</v>
      </c>
      <c r="Z34" s="307" t="e">
        <f>1-(Z29/100)</f>
        <v>#VALUE!</v>
      </c>
      <c r="AA34" s="1064"/>
      <c r="AB34" s="190"/>
      <c r="AC34" s="190"/>
      <c r="AD34" s="2"/>
      <c r="AE34" s="182">
        <v>60.2</v>
      </c>
      <c r="AF34" s="183">
        <f t="shared" si="1"/>
        <v>1.0900000000000001</v>
      </c>
      <c r="BI34" s="15"/>
    </row>
    <row r="35" spans="1:61" ht="15" customHeight="1" x14ac:dyDescent="0.3">
      <c r="A35" s="624"/>
      <c r="B35" s="1740" t="s">
        <v>3</v>
      </c>
      <c r="C35" s="1740"/>
      <c r="D35" s="1740"/>
      <c r="E35" s="1741"/>
      <c r="F35" s="1741"/>
      <c r="G35" s="1741"/>
      <c r="H35" s="1741"/>
      <c r="I35" s="1741"/>
      <c r="J35" s="1741"/>
      <c r="K35" s="1741"/>
      <c r="L35" s="1741"/>
      <c r="M35" s="1741"/>
      <c r="N35" s="1741"/>
      <c r="O35" s="1741"/>
      <c r="P35" s="625"/>
      <c r="Q35" s="227"/>
      <c r="R35" s="227"/>
      <c r="S35" s="585"/>
      <c r="T35" s="301" t="s">
        <v>237</v>
      </c>
      <c r="U35" s="311">
        <v>0.15</v>
      </c>
      <c r="V35" s="165" t="str">
        <f>IF($V$30="","",$V$30+(((U35-$U$30)/($U$36-$U$30))*($V$36-$V$30)))</f>
        <v/>
      </c>
      <c r="W35" s="297">
        <v>0.1229</v>
      </c>
      <c r="X35" s="440" t="str">
        <f t="shared" si="8"/>
        <v/>
      </c>
      <c r="Y35" s="190" t="s">
        <v>245</v>
      </c>
      <c r="Z35" s="307" t="e">
        <f>+Z32*Z34</f>
        <v>#VALUE!</v>
      </c>
      <c r="AA35" s="1064"/>
      <c r="AB35" s="190"/>
      <c r="AC35" s="190"/>
      <c r="AD35" s="2"/>
      <c r="AE35" s="180">
        <v>60.3</v>
      </c>
      <c r="AF35" s="181">
        <v>1.0900000000000001</v>
      </c>
      <c r="BI35" s="15"/>
    </row>
    <row r="36" spans="1:61" ht="15" customHeight="1" x14ac:dyDescent="0.3">
      <c r="A36" s="626"/>
      <c r="B36" s="1744"/>
      <c r="C36" s="1744"/>
      <c r="D36" s="1744"/>
      <c r="E36" s="1744"/>
      <c r="F36" s="1744"/>
      <c r="G36" s="1744"/>
      <c r="H36" s="1744"/>
      <c r="I36" s="1744"/>
      <c r="J36" s="1744"/>
      <c r="K36" s="1744"/>
      <c r="L36" s="1744"/>
      <c r="M36" s="1744"/>
      <c r="N36" s="1744"/>
      <c r="O36" s="1744"/>
      <c r="P36" s="619"/>
      <c r="Q36" s="618"/>
      <c r="R36" s="618"/>
      <c r="S36" s="620"/>
      <c r="T36" s="301" t="s">
        <v>238</v>
      </c>
      <c r="U36" s="312">
        <v>7.4999999999999997E-2</v>
      </c>
      <c r="V36" s="298" t="str">
        <f>IF(Q12=AB3,'4. Gradación'!K24,'4. Gradación'!M24)</f>
        <v/>
      </c>
      <c r="W36" s="297">
        <v>0.32769999999999999</v>
      </c>
      <c r="X36" s="440" t="str">
        <f t="shared" si="8"/>
        <v/>
      </c>
      <c r="Y36" s="190" t="s">
        <v>249</v>
      </c>
      <c r="Z36" s="307" t="e">
        <f>+Z35*Z30</f>
        <v>#VALUE!</v>
      </c>
      <c r="AA36" s="1064"/>
      <c r="AB36" s="190"/>
      <c r="AC36" s="190"/>
      <c r="AD36" s="2"/>
      <c r="AE36" s="182">
        <v>60.4</v>
      </c>
      <c r="AF36" s="183">
        <f t="shared" ref="AF36:AF49" si="9">+$AF$35+((AE37-$AE$35)*(($AF$50-$AF$35)/($AE$50-$AE$35)))</f>
        <v>1.08375</v>
      </c>
      <c r="BI36" s="15"/>
    </row>
    <row r="37" spans="1:61" ht="15" customHeight="1" x14ac:dyDescent="0.3">
      <c r="A37" s="626"/>
      <c r="B37" s="1744"/>
      <c r="C37" s="1744"/>
      <c r="D37" s="1744"/>
      <c r="E37" s="1744"/>
      <c r="F37" s="1744"/>
      <c r="G37" s="1744"/>
      <c r="H37" s="1744"/>
      <c r="I37" s="1744"/>
      <c r="J37" s="1744"/>
      <c r="K37" s="1744"/>
      <c r="L37" s="1744"/>
      <c r="M37" s="1744"/>
      <c r="N37" s="1744"/>
      <c r="O37" s="1744"/>
      <c r="P37" s="619"/>
      <c r="Q37" s="618"/>
      <c r="R37" s="618"/>
      <c r="S37" s="585"/>
      <c r="T37" s="1738" t="s">
        <v>261</v>
      </c>
      <c r="U37" s="1739"/>
      <c r="V37" s="1739"/>
      <c r="W37" s="1739"/>
      <c r="X37" s="441">
        <f>+SUM(X29:X36)</f>
        <v>0.41</v>
      </c>
      <c r="Y37" s="313" t="s">
        <v>250</v>
      </c>
      <c r="Z37" s="307" t="e">
        <f>+Z31-Z36</f>
        <v>#VALUE!</v>
      </c>
      <c r="AA37" s="1064"/>
      <c r="AB37" s="190"/>
      <c r="AC37" s="190"/>
      <c r="AD37" s="2"/>
      <c r="AE37" s="182">
        <v>60.5</v>
      </c>
      <c r="AF37" s="183">
        <f t="shared" si="9"/>
        <v>1.0806249999999999</v>
      </c>
      <c r="BI37" s="15"/>
    </row>
    <row r="38" spans="1:61" ht="15" customHeight="1" thickBot="1" x14ac:dyDescent="0.35">
      <c r="A38" s="626"/>
      <c r="B38" s="1744"/>
      <c r="C38" s="1744"/>
      <c r="D38" s="1744"/>
      <c r="E38" s="1744"/>
      <c r="F38" s="1744"/>
      <c r="G38" s="1744"/>
      <c r="H38" s="1744"/>
      <c r="I38" s="1744"/>
      <c r="J38" s="1744"/>
      <c r="K38" s="1744"/>
      <c r="L38" s="1744"/>
      <c r="M38" s="1744"/>
      <c r="N38" s="1744"/>
      <c r="O38" s="1744"/>
      <c r="P38" s="619"/>
      <c r="Q38" s="618"/>
      <c r="R38" s="618"/>
      <c r="S38" s="190"/>
      <c r="T38" s="1742" t="s">
        <v>479</v>
      </c>
      <c r="U38" s="1743"/>
      <c r="V38" s="1743"/>
      <c r="W38" s="1743"/>
      <c r="X38" s="1743"/>
      <c r="Y38" s="1743"/>
      <c r="Z38" s="314" t="e">
        <f>+(Z37/(X37*Z34))*10</f>
        <v>#VALUE!</v>
      </c>
      <c r="AA38" s="1065"/>
      <c r="AB38" s="190"/>
      <c r="AC38" s="190"/>
      <c r="AD38" s="2"/>
      <c r="AE38" s="182">
        <v>60.6</v>
      </c>
      <c r="AF38" s="183">
        <f t="shared" si="9"/>
        <v>1.0774999999999999</v>
      </c>
      <c r="BI38" s="15"/>
    </row>
    <row r="39" spans="1:61" ht="6" customHeight="1" thickTop="1" thickBot="1" x14ac:dyDescent="0.35">
      <c r="A39" s="342"/>
      <c r="B39" s="1745"/>
      <c r="C39" s="1745"/>
      <c r="D39" s="1745"/>
      <c r="E39" s="1745"/>
      <c r="F39" s="1745"/>
      <c r="G39" s="1745"/>
      <c r="H39" s="1745"/>
      <c r="I39" s="1745"/>
      <c r="J39" s="1745"/>
      <c r="K39" s="1745"/>
      <c r="L39" s="1745"/>
      <c r="M39" s="1745"/>
      <c r="N39" s="1745"/>
      <c r="O39" s="1745"/>
      <c r="P39" s="524"/>
      <c r="Q39" s="618"/>
      <c r="R39" s="618"/>
      <c r="S39" s="190"/>
      <c r="T39" s="190"/>
      <c r="U39" s="190"/>
      <c r="V39" s="190"/>
      <c r="W39" s="190"/>
      <c r="X39" s="190"/>
      <c r="Y39" s="190"/>
      <c r="Z39" s="190"/>
      <c r="AA39" s="190"/>
      <c r="AB39" s="190"/>
      <c r="AC39" s="190"/>
      <c r="AE39" s="182">
        <v>60.7</v>
      </c>
      <c r="AF39" s="183">
        <f t="shared" si="9"/>
        <v>1.0743750000000001</v>
      </c>
    </row>
    <row r="40" spans="1:61" ht="15" customHeight="1" thickTop="1" thickBot="1" x14ac:dyDescent="0.35">
      <c r="A40" s="1749" t="s">
        <v>123</v>
      </c>
      <c r="B40" s="1749"/>
      <c r="C40" s="1749"/>
      <c r="D40" s="1749"/>
      <c r="E40" s="1749"/>
      <c r="F40" s="1749"/>
      <c r="G40" s="1749"/>
      <c r="H40" s="1749"/>
      <c r="I40" s="1749"/>
      <c r="J40" s="1749"/>
      <c r="K40" s="1749"/>
      <c r="L40" s="1749"/>
      <c r="M40" s="1749"/>
      <c r="N40" s="1749"/>
      <c r="O40" s="1749"/>
      <c r="P40" s="1749"/>
      <c r="Q40" s="618"/>
      <c r="R40" s="618"/>
      <c r="S40" s="315"/>
      <c r="T40" s="190"/>
      <c r="U40" s="190"/>
      <c r="V40" s="190"/>
      <c r="W40" s="190"/>
      <c r="X40" s="190"/>
      <c r="Y40" s="190"/>
      <c r="Z40" s="190"/>
      <c r="AA40" s="190"/>
      <c r="AB40" s="190"/>
      <c r="AC40" s="190"/>
      <c r="AD40" s="34"/>
      <c r="AE40" s="182">
        <v>60.8</v>
      </c>
      <c r="AF40" s="183">
        <f t="shared" si="9"/>
        <v>1.07125</v>
      </c>
      <c r="AG40" s="34"/>
    </row>
    <row r="41" spans="1:61" ht="15" customHeight="1" thickTop="1" x14ac:dyDescent="0.3">
      <c r="A41" s="628"/>
      <c r="B41" s="628"/>
      <c r="C41" s="628"/>
      <c r="D41" s="628"/>
      <c r="E41" s="628"/>
      <c r="F41" s="628"/>
      <c r="G41" s="628"/>
      <c r="H41" s="628"/>
      <c r="I41" s="628"/>
      <c r="J41" s="628"/>
      <c r="K41" s="628"/>
      <c r="L41" s="628"/>
      <c r="M41" s="628"/>
      <c r="N41" s="628"/>
      <c r="O41" s="628"/>
      <c r="P41" s="628"/>
      <c r="Q41" s="618"/>
      <c r="R41" s="618"/>
      <c r="S41" s="316"/>
      <c r="T41" s="120" t="s">
        <v>506</v>
      </c>
      <c r="U41" s="190"/>
      <c r="V41" s="190"/>
      <c r="W41" s="190"/>
      <c r="X41" s="190"/>
      <c r="Y41" s="190"/>
      <c r="Z41" s="190"/>
      <c r="AA41" s="190"/>
      <c r="AB41" s="190"/>
      <c r="AC41" s="190"/>
      <c r="AD41" s="34"/>
      <c r="AE41" s="182">
        <v>60.9</v>
      </c>
      <c r="AF41" s="183">
        <f t="shared" si="9"/>
        <v>1.0649999999999999</v>
      </c>
      <c r="AG41" s="34"/>
    </row>
    <row r="42" spans="1:61" ht="15" customHeight="1" x14ac:dyDescent="0.3">
      <c r="A42" s="1750" t="s">
        <v>186</v>
      </c>
      <c r="B42" s="1750"/>
      <c r="C42" s="1750"/>
      <c r="D42" s="1750"/>
      <c r="E42" s="1750"/>
      <c r="F42" s="1750"/>
      <c r="G42" s="1750"/>
      <c r="H42" s="1750"/>
      <c r="I42" s="1750"/>
      <c r="J42" s="1750"/>
      <c r="K42" s="1750"/>
      <c r="L42" s="1750"/>
      <c r="M42" s="1750"/>
      <c r="N42" s="1750"/>
      <c r="O42" s="1750"/>
      <c r="P42" s="1750"/>
      <c r="S42" s="316"/>
      <c r="T42" s="190"/>
      <c r="U42" s="190"/>
      <c r="V42" s="190"/>
      <c r="W42" s="190"/>
      <c r="X42" s="190"/>
      <c r="Y42" s="190"/>
      <c r="Z42" s="190"/>
      <c r="AA42" s="190"/>
      <c r="AB42" s="190"/>
      <c r="AC42" s="190"/>
      <c r="AD42" s="34"/>
      <c r="AE42" s="182">
        <v>61.1</v>
      </c>
      <c r="AF42" s="183">
        <f t="shared" si="9"/>
        <v>1.0618749999999999</v>
      </c>
      <c r="AG42" s="34"/>
    </row>
    <row r="43" spans="1:61" ht="15" customHeight="1" x14ac:dyDescent="0.3">
      <c r="A43" s="1750"/>
      <c r="B43" s="1750"/>
      <c r="C43" s="1750"/>
      <c r="D43" s="1750"/>
      <c r="E43" s="1750"/>
      <c r="F43" s="1750"/>
      <c r="G43" s="1750"/>
      <c r="H43" s="1750"/>
      <c r="I43" s="1750"/>
      <c r="J43" s="1750"/>
      <c r="K43" s="1750"/>
      <c r="L43" s="1750"/>
      <c r="M43" s="1750"/>
      <c r="N43" s="1750"/>
      <c r="O43" s="1750"/>
      <c r="P43" s="1750"/>
      <c r="Q43" s="627"/>
      <c r="R43" s="627"/>
      <c r="S43" s="316"/>
      <c r="T43" s="190"/>
      <c r="U43" s="190"/>
      <c r="V43" s="190"/>
      <c r="W43" s="190"/>
      <c r="X43" s="190"/>
      <c r="Y43" s="190"/>
      <c r="Z43" s="190"/>
      <c r="AA43" s="190"/>
      <c r="AB43" s="190"/>
      <c r="AC43" s="190"/>
      <c r="AD43" s="34"/>
      <c r="AE43" s="182">
        <v>61.2</v>
      </c>
      <c r="AF43" s="183">
        <f t="shared" si="9"/>
        <v>1.0587500000000001</v>
      </c>
      <c r="AG43" s="34"/>
    </row>
    <row r="44" spans="1:61" ht="15" customHeight="1" x14ac:dyDescent="0.3">
      <c r="A44" s="1234"/>
      <c r="B44" s="1235"/>
      <c r="C44" s="1235"/>
      <c r="D44" s="1235"/>
      <c r="E44" s="40"/>
      <c r="I44" s="1495"/>
      <c r="J44" s="1495"/>
      <c r="K44" s="1495"/>
      <c r="L44" s="1495"/>
      <c r="M44" s="1495"/>
      <c r="N44" s="1495"/>
      <c r="O44" s="1495"/>
      <c r="P44" s="1495"/>
      <c r="Q44" s="628"/>
      <c r="R44" s="628"/>
      <c r="S44" s="280"/>
      <c r="T44" s="190"/>
      <c r="U44" s="190"/>
      <c r="V44" s="190"/>
      <c r="W44" s="190"/>
      <c r="X44" s="190"/>
      <c r="Y44" s="190"/>
      <c r="Z44" s="190"/>
      <c r="AA44" s="190"/>
      <c r="AB44" s="190"/>
      <c r="AC44" s="190"/>
      <c r="AD44" s="34"/>
      <c r="AE44" s="182">
        <v>61.3</v>
      </c>
      <c r="AF44" s="183">
        <f t="shared" si="9"/>
        <v>1.055625</v>
      </c>
      <c r="AG44" s="34"/>
    </row>
    <row r="45" spans="1:61" ht="15" customHeight="1" x14ac:dyDescent="0.3">
      <c r="A45" s="1234"/>
      <c r="B45" s="1235"/>
      <c r="C45" s="1235"/>
      <c r="D45" s="1235"/>
      <c r="E45" s="1235"/>
      <c r="F45" s="1235"/>
      <c r="G45" s="1235"/>
      <c r="H45" s="1235"/>
      <c r="Q45" s="629"/>
      <c r="R45" s="629"/>
      <c r="S45" s="317"/>
      <c r="T45" s="190"/>
      <c r="U45" s="190"/>
      <c r="V45" s="190"/>
      <c r="W45" s="190"/>
      <c r="X45" s="190"/>
      <c r="Y45" s="190"/>
      <c r="Z45" s="190"/>
      <c r="AA45" s="190"/>
      <c r="AB45" s="234"/>
      <c r="AC45" s="234"/>
      <c r="AD45" s="34"/>
      <c r="AE45" s="182">
        <v>61.4</v>
      </c>
      <c r="AF45" s="183">
        <f t="shared" si="9"/>
        <v>1.0525</v>
      </c>
      <c r="AG45" s="34"/>
    </row>
    <row r="46" spans="1:61" ht="15" customHeight="1" x14ac:dyDescent="0.3">
      <c r="A46" s="1234"/>
      <c r="B46" s="1235"/>
      <c r="C46" s="1235"/>
      <c r="D46" s="1235"/>
      <c r="E46" s="1235"/>
      <c r="F46" s="1235"/>
      <c r="G46" s="1235"/>
      <c r="H46" s="1235"/>
      <c r="Q46" s="629"/>
      <c r="R46" s="629"/>
      <c r="S46" s="235"/>
      <c r="T46" s="190" t="s">
        <v>300</v>
      </c>
      <c r="U46" s="190"/>
      <c r="V46" s="190"/>
      <c r="W46" s="190"/>
      <c r="X46" s="190"/>
      <c r="Y46" s="190"/>
      <c r="Z46" s="190"/>
      <c r="AA46" s="190"/>
      <c r="AB46" s="234"/>
      <c r="AC46" s="234"/>
      <c r="AD46" s="34"/>
      <c r="AE46" s="182">
        <v>61.5</v>
      </c>
      <c r="AF46" s="183">
        <f t="shared" si="9"/>
        <v>1.0493749999999999</v>
      </c>
      <c r="AG46" s="34"/>
    </row>
    <row r="47" spans="1:61" ht="21.75" customHeight="1" x14ac:dyDescent="0.3">
      <c r="A47" s="1234"/>
      <c r="B47" s="1235"/>
      <c r="C47" s="1235"/>
      <c r="D47" s="1235"/>
      <c r="E47" s="40"/>
      <c r="Q47" s="518"/>
      <c r="R47" s="518"/>
      <c r="S47" s="235"/>
      <c r="T47" s="190"/>
      <c r="U47" s="190"/>
      <c r="V47" s="190"/>
      <c r="W47" s="190"/>
      <c r="X47" s="190"/>
      <c r="Y47" s="190"/>
      <c r="Z47" s="190"/>
      <c r="AA47" s="190"/>
      <c r="AB47" s="234"/>
      <c r="AC47" s="234"/>
      <c r="AD47" s="34"/>
      <c r="AE47" s="182">
        <v>61.6</v>
      </c>
      <c r="AF47" s="183">
        <f t="shared" si="9"/>
        <v>1.0462499999999999</v>
      </c>
      <c r="AG47" s="34"/>
    </row>
    <row r="48" spans="1:61" ht="33.75" customHeight="1" x14ac:dyDescent="0.3">
      <c r="A48" s="1234"/>
      <c r="B48" s="1235"/>
      <c r="C48" s="1235"/>
      <c r="D48" s="1235"/>
      <c r="E48" s="40"/>
      <c r="S48" s="318"/>
      <c r="T48" s="190"/>
      <c r="U48" s="190"/>
      <c r="V48" s="190"/>
      <c r="W48" s="190"/>
      <c r="X48" s="190"/>
      <c r="Y48" s="190"/>
      <c r="Z48" s="190"/>
      <c r="AA48" s="190"/>
      <c r="AB48" s="234"/>
      <c r="AC48" s="234"/>
      <c r="AD48" s="34"/>
      <c r="AE48" s="182">
        <v>61.7</v>
      </c>
      <c r="AF48" s="183">
        <f t="shared" si="9"/>
        <v>1.0431250000000001</v>
      </c>
      <c r="AG48" s="34"/>
    </row>
    <row r="49" spans="1:56" ht="13" customHeight="1" x14ac:dyDescent="0.3">
      <c r="A49" s="1234"/>
      <c r="B49" s="1235"/>
      <c r="C49" s="1235"/>
      <c r="D49" s="1235"/>
      <c r="S49" s="318"/>
      <c r="T49" s="190"/>
      <c r="U49" s="190"/>
      <c r="V49" s="190"/>
      <c r="W49" s="190"/>
      <c r="X49" s="190"/>
      <c r="Y49" s="190"/>
      <c r="Z49" s="190"/>
      <c r="AA49" s="190"/>
      <c r="AB49" s="234"/>
      <c r="AC49" s="234"/>
      <c r="AD49" s="34"/>
      <c r="AE49" s="182">
        <v>61.8</v>
      </c>
      <c r="AF49" s="183">
        <f t="shared" si="9"/>
        <v>1.04</v>
      </c>
      <c r="AG49" s="34"/>
      <c r="BA49" s="34"/>
      <c r="BB49" s="34"/>
      <c r="BC49" s="34"/>
      <c r="BD49" s="34"/>
    </row>
    <row r="50" spans="1:56" ht="13" customHeight="1" x14ac:dyDescent="0.3">
      <c r="A50" s="1234"/>
      <c r="B50" s="1235"/>
      <c r="C50" s="1235"/>
      <c r="D50" s="1235"/>
      <c r="S50" s="241"/>
      <c r="T50" s="190"/>
      <c r="U50" s="190"/>
      <c r="V50" s="190"/>
      <c r="W50" s="190"/>
      <c r="X50" s="190"/>
      <c r="Y50" s="190"/>
      <c r="Z50" s="190"/>
      <c r="AA50" s="190"/>
      <c r="AB50" s="234"/>
      <c r="AC50" s="234"/>
      <c r="AD50" s="34"/>
      <c r="AE50" s="180">
        <v>61.9</v>
      </c>
      <c r="AF50" s="181">
        <v>1.04</v>
      </c>
      <c r="AG50" s="34"/>
      <c r="BA50" s="34"/>
      <c r="BB50" s="34"/>
      <c r="BC50" s="34"/>
      <c r="BD50" s="34"/>
    </row>
    <row r="51" spans="1:56" ht="13" customHeight="1" x14ac:dyDescent="0.3">
      <c r="A51" s="1234"/>
      <c r="B51" s="1235"/>
      <c r="C51" s="1235"/>
      <c r="D51" s="1235"/>
      <c r="S51" s="241"/>
      <c r="T51" s="190"/>
      <c r="U51" s="190"/>
      <c r="V51" s="190"/>
      <c r="W51" s="190"/>
      <c r="X51" s="190"/>
      <c r="Y51" s="190"/>
      <c r="Z51" s="190"/>
      <c r="AA51" s="190"/>
      <c r="AB51" s="234"/>
      <c r="AC51" s="234"/>
      <c r="AD51" s="34"/>
      <c r="AE51" s="182">
        <v>62</v>
      </c>
      <c r="AF51" s="183">
        <f t="shared" ref="AF51:AF65" si="10">+$AF$50+((AE51-$AE$50)*(($AF$66-$AF$50)/($AE$66-$AE$50)))</f>
        <v>1.0375000000000001</v>
      </c>
      <c r="AG51" s="34"/>
      <c r="BA51" s="34"/>
      <c r="BB51" s="34"/>
      <c r="BC51" s="34"/>
      <c r="BD51" s="34"/>
    </row>
    <row r="52" spans="1:56" ht="13" customHeight="1" x14ac:dyDescent="0.3">
      <c r="A52" s="1234"/>
      <c r="B52" s="1235"/>
      <c r="C52" s="1235"/>
      <c r="D52" s="1235"/>
      <c r="S52" s="241"/>
      <c r="T52" s="190"/>
      <c r="U52" s="190"/>
      <c r="V52" s="190"/>
      <c r="W52" s="190"/>
      <c r="X52" s="190"/>
      <c r="Y52" s="190"/>
      <c r="Z52" s="190"/>
      <c r="AA52" s="190"/>
      <c r="AB52" s="234"/>
      <c r="AC52" s="234"/>
      <c r="AD52" s="34"/>
      <c r="AE52" s="182">
        <v>62.1</v>
      </c>
      <c r="AF52" s="183">
        <f t="shared" si="10"/>
        <v>1.0349999999999999</v>
      </c>
      <c r="AG52" s="576"/>
      <c r="BA52" s="34"/>
      <c r="BB52" s="34"/>
      <c r="BC52" s="34"/>
      <c r="BD52" s="34"/>
    </row>
    <row r="53" spans="1:56" ht="15.75" customHeight="1" x14ac:dyDescent="0.45">
      <c r="A53" s="1234"/>
      <c r="B53" s="1235"/>
      <c r="C53" s="1235"/>
      <c r="D53" s="1235"/>
      <c r="S53" s="242"/>
      <c r="T53" s="190"/>
      <c r="U53" s="190"/>
      <c r="V53" s="190"/>
      <c r="W53" s="190"/>
      <c r="X53" s="190"/>
      <c r="Y53" s="190"/>
      <c r="Z53" s="190"/>
      <c r="AA53" s="190"/>
      <c r="AB53" s="234"/>
      <c r="AC53" s="234"/>
      <c r="AD53" s="34"/>
      <c r="AE53" s="182">
        <v>62.2</v>
      </c>
      <c r="AF53" s="183">
        <f t="shared" si="10"/>
        <v>1.0325</v>
      </c>
      <c r="AG53" s="715"/>
      <c r="BA53" s="34"/>
      <c r="BB53" s="34"/>
      <c r="BC53" s="34"/>
      <c r="BD53" s="34"/>
    </row>
    <row r="54" spans="1:56" ht="17.25" customHeight="1" x14ac:dyDescent="0.3">
      <c r="A54" s="1234"/>
      <c r="B54" s="1235"/>
      <c r="C54" s="1235"/>
      <c r="D54" s="1235"/>
      <c r="S54" s="319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34"/>
      <c r="AE54" s="182">
        <v>62.3</v>
      </c>
      <c r="AF54" s="183">
        <f t="shared" si="10"/>
        <v>1.03</v>
      </c>
      <c r="BA54" s="34"/>
      <c r="BB54" s="34"/>
      <c r="BC54" s="34"/>
      <c r="BD54" s="34"/>
    </row>
    <row r="55" spans="1:56" ht="14.25" customHeight="1" x14ac:dyDescent="0.3">
      <c r="A55" s="1234"/>
      <c r="B55" s="1235"/>
      <c r="C55" s="1235"/>
      <c r="D55" s="1235"/>
      <c r="S55" s="320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34"/>
      <c r="AE55" s="182">
        <v>62.4</v>
      </c>
      <c r="AF55" s="183">
        <f t="shared" si="10"/>
        <v>1.0275000000000001</v>
      </c>
      <c r="BA55" s="34"/>
      <c r="BB55" s="34"/>
      <c r="BC55" s="34"/>
      <c r="BD55" s="34"/>
    </row>
    <row r="56" spans="1:56" ht="13.5" customHeight="1" x14ac:dyDescent="0.3">
      <c r="A56" s="1234"/>
      <c r="B56" s="1235"/>
      <c r="C56" s="1235"/>
      <c r="D56" s="1235"/>
      <c r="S56" s="320"/>
      <c r="T56" s="234"/>
      <c r="U56" s="234"/>
      <c r="V56" s="234"/>
      <c r="W56" s="234"/>
      <c r="X56" s="234"/>
      <c r="Y56" s="234"/>
      <c r="Z56" s="234"/>
      <c r="AA56" s="234"/>
      <c r="AB56" s="234"/>
      <c r="AC56" s="234"/>
      <c r="AD56" s="34"/>
      <c r="AE56" s="182">
        <v>62.5</v>
      </c>
      <c r="AF56" s="183">
        <f t="shared" si="10"/>
        <v>1.0249999999999999</v>
      </c>
      <c r="BA56" s="34"/>
      <c r="BB56" s="34"/>
      <c r="BC56" s="34"/>
      <c r="BD56" s="34"/>
    </row>
    <row r="57" spans="1:56" ht="12" customHeight="1" x14ac:dyDescent="0.3">
      <c r="A57" s="1234"/>
      <c r="B57" s="1235"/>
      <c r="C57" s="1235"/>
      <c r="D57" s="1235"/>
      <c r="S57" s="321"/>
      <c r="T57" s="234"/>
      <c r="U57" s="176"/>
      <c r="V57" s="234"/>
      <c r="W57" s="234"/>
      <c r="X57" s="234"/>
      <c r="Y57" s="234"/>
      <c r="Z57" s="234"/>
      <c r="AA57" s="234"/>
      <c r="AB57" s="234"/>
      <c r="AC57" s="234"/>
      <c r="AD57" s="34"/>
      <c r="AE57" s="182">
        <v>62.6</v>
      </c>
      <c r="AF57" s="183">
        <f t="shared" si="10"/>
        <v>1.0225</v>
      </c>
      <c r="BA57" s="34"/>
      <c r="BB57" s="34"/>
      <c r="BC57" s="34"/>
      <c r="BD57" s="34"/>
    </row>
    <row r="58" spans="1:56" ht="12" customHeight="1" x14ac:dyDescent="0.3">
      <c r="A58" s="1234"/>
      <c r="B58" s="1235"/>
      <c r="C58" s="1235"/>
      <c r="D58" s="1235"/>
      <c r="S58" s="321"/>
      <c r="T58" s="234"/>
      <c r="U58" s="176"/>
      <c r="V58" s="234"/>
      <c r="W58" s="234"/>
      <c r="X58" s="234"/>
      <c r="Y58" s="234"/>
      <c r="Z58" s="234"/>
      <c r="AA58" s="234"/>
      <c r="AB58" s="234"/>
      <c r="AC58" s="234"/>
      <c r="AD58" s="34"/>
      <c r="AE58" s="182">
        <v>62.7</v>
      </c>
      <c r="AF58" s="183">
        <f t="shared" si="10"/>
        <v>1.02</v>
      </c>
      <c r="BA58" s="34"/>
      <c r="BB58" s="34"/>
      <c r="BC58" s="34"/>
      <c r="BD58" s="34"/>
    </row>
    <row r="59" spans="1:56" ht="12" customHeight="1" x14ac:dyDescent="0.3">
      <c r="A59" s="1234"/>
      <c r="B59" s="1235"/>
      <c r="C59" s="1235"/>
      <c r="D59" s="1235"/>
      <c r="S59" s="321"/>
      <c r="T59" s="234"/>
      <c r="U59" s="234"/>
      <c r="V59" s="234"/>
      <c r="W59" s="234"/>
      <c r="X59" s="234"/>
      <c r="Y59" s="234"/>
      <c r="Z59" s="234"/>
      <c r="AA59" s="234"/>
      <c r="AB59" s="234"/>
      <c r="AC59" s="234"/>
      <c r="AD59" s="34"/>
      <c r="AE59" s="182">
        <v>62.8</v>
      </c>
      <c r="AF59" s="183">
        <f t="shared" si="10"/>
        <v>1.0175000000000001</v>
      </c>
      <c r="BA59" s="34"/>
      <c r="BB59" s="34"/>
      <c r="BC59" s="34"/>
      <c r="BD59" s="34"/>
    </row>
    <row r="60" spans="1:56" ht="12" customHeight="1" x14ac:dyDescent="0.3">
      <c r="A60" s="1234"/>
      <c r="B60" s="1235"/>
      <c r="C60" s="1235"/>
      <c r="D60" s="1235"/>
      <c r="S60" s="322"/>
      <c r="T60" s="234"/>
      <c r="U60" s="234"/>
      <c r="V60" s="234"/>
      <c r="W60" s="234"/>
      <c r="X60" s="234"/>
      <c r="Y60" s="234"/>
      <c r="Z60" s="234"/>
      <c r="AA60" s="234"/>
      <c r="AB60" s="234"/>
      <c r="AC60" s="234"/>
      <c r="AD60" s="34"/>
      <c r="AE60" s="182">
        <v>62.9</v>
      </c>
      <c r="AF60" s="183">
        <f t="shared" si="10"/>
        <v>1.0150000000000001</v>
      </c>
      <c r="BA60" s="34"/>
      <c r="BB60" s="34"/>
      <c r="BC60" s="34"/>
      <c r="BD60" s="34"/>
    </row>
    <row r="61" spans="1:56" ht="13" customHeight="1" x14ac:dyDescent="0.3">
      <c r="A61" s="1234"/>
      <c r="B61" s="1235"/>
      <c r="C61" s="1235"/>
      <c r="D61" s="1235"/>
      <c r="S61" s="321"/>
      <c r="T61" s="323"/>
      <c r="U61" s="323"/>
      <c r="V61" s="234"/>
      <c r="W61" s="234"/>
      <c r="X61" s="234"/>
      <c r="Y61" s="234"/>
      <c r="Z61" s="234"/>
      <c r="AA61" s="234"/>
      <c r="AB61" s="234"/>
      <c r="AC61" s="234"/>
      <c r="AD61" s="34"/>
      <c r="AE61" s="182">
        <v>63</v>
      </c>
      <c r="AF61" s="183">
        <f t="shared" si="10"/>
        <v>1.0125</v>
      </c>
      <c r="BA61" s="34"/>
      <c r="BB61" s="34"/>
      <c r="BC61" s="34"/>
      <c r="BD61" s="34"/>
    </row>
    <row r="62" spans="1:56" ht="13" customHeight="1" x14ac:dyDescent="0.3">
      <c r="A62" s="1234"/>
      <c r="B62" s="1235"/>
      <c r="C62" s="1235"/>
      <c r="D62" s="1235"/>
      <c r="S62" s="319"/>
      <c r="T62" s="234"/>
      <c r="U62" s="234"/>
      <c r="V62" s="234"/>
      <c r="W62" s="234"/>
      <c r="X62" s="234"/>
      <c r="Y62" s="234"/>
      <c r="Z62" s="234"/>
      <c r="AA62" s="234"/>
      <c r="AB62" s="234"/>
      <c r="AC62" s="234"/>
      <c r="AD62" s="34"/>
      <c r="AE62" s="182">
        <v>63.1</v>
      </c>
      <c r="AF62" s="183">
        <f t="shared" si="10"/>
        <v>1.01</v>
      </c>
      <c r="BA62" s="34"/>
      <c r="BB62" s="34"/>
      <c r="BC62" s="34"/>
      <c r="BD62" s="34"/>
    </row>
    <row r="63" spans="1:56" ht="24" customHeight="1" x14ac:dyDescent="0.3">
      <c r="S63" s="320"/>
      <c r="T63" s="234"/>
      <c r="U63" s="324"/>
      <c r="V63" s="234"/>
      <c r="W63" s="234"/>
      <c r="X63" s="234"/>
      <c r="Y63" s="234"/>
      <c r="Z63" s="234"/>
      <c r="AA63" s="234"/>
      <c r="AB63" s="234"/>
      <c r="AC63" s="234"/>
      <c r="AD63" s="34"/>
      <c r="AE63" s="182">
        <v>63.2</v>
      </c>
      <c r="AF63" s="183">
        <f t="shared" si="10"/>
        <v>1.0074999999999998</v>
      </c>
      <c r="BA63" s="34"/>
      <c r="BB63" s="34"/>
      <c r="BC63" s="34"/>
      <c r="BD63" s="34"/>
    </row>
    <row r="64" spans="1:56" ht="13" customHeight="1" x14ac:dyDescent="0.3">
      <c r="S64" s="77"/>
      <c r="T64" s="234"/>
      <c r="U64" s="325"/>
      <c r="V64" s="234"/>
      <c r="W64" s="234"/>
      <c r="X64" s="234"/>
      <c r="Y64" s="234"/>
      <c r="Z64" s="234"/>
      <c r="AA64" s="234"/>
      <c r="AB64" s="234"/>
      <c r="AC64" s="234"/>
      <c r="AD64" s="34"/>
      <c r="AE64" s="182">
        <v>63.3</v>
      </c>
      <c r="AF64" s="183">
        <f t="shared" si="10"/>
        <v>1.0050000000000001</v>
      </c>
      <c r="BA64" s="34"/>
      <c r="BB64" s="34"/>
      <c r="BC64" s="34"/>
      <c r="BD64" s="34"/>
    </row>
    <row r="65" spans="1:56" ht="13" customHeight="1" x14ac:dyDescent="0.3">
      <c r="S65" s="77"/>
      <c r="T65" s="234"/>
      <c r="U65" s="325"/>
      <c r="V65" s="234"/>
      <c r="W65" s="234"/>
      <c r="X65" s="234"/>
      <c r="Y65" s="234"/>
      <c r="Z65" s="234"/>
      <c r="AA65" s="234"/>
      <c r="AB65" s="262"/>
      <c r="AC65" s="262"/>
      <c r="AD65" s="46"/>
      <c r="AE65" s="182">
        <v>63.4</v>
      </c>
      <c r="AF65" s="183">
        <f t="shared" si="10"/>
        <v>1.0024999999999999</v>
      </c>
      <c r="BA65" s="34"/>
      <c r="BB65" s="34"/>
      <c r="BC65" s="34"/>
      <c r="BD65" s="34"/>
    </row>
    <row r="66" spans="1:56" ht="13" customHeight="1" x14ac:dyDescent="0.3">
      <c r="S66" s="77"/>
      <c r="T66" s="234"/>
      <c r="U66" s="325"/>
      <c r="V66" s="234"/>
      <c r="W66" s="234"/>
      <c r="X66" s="234"/>
      <c r="Y66" s="234"/>
      <c r="Z66" s="234"/>
      <c r="AA66" s="234"/>
      <c r="AB66" s="262"/>
      <c r="AC66" s="262"/>
      <c r="AD66" s="46"/>
      <c r="AE66" s="180">
        <v>63.5</v>
      </c>
      <c r="AF66" s="181">
        <v>1</v>
      </c>
      <c r="BA66" s="34"/>
      <c r="BB66" s="34"/>
      <c r="BC66" s="34"/>
      <c r="BD66" s="34"/>
    </row>
    <row r="67" spans="1:56" ht="13" customHeight="1" x14ac:dyDescent="0.3">
      <c r="S67" s="77"/>
      <c r="T67" s="234"/>
      <c r="U67" s="325"/>
      <c r="V67" s="234"/>
      <c r="W67" s="321"/>
      <c r="X67" s="321"/>
      <c r="Y67" s="321"/>
      <c r="Z67" s="321"/>
      <c r="AA67" s="321"/>
      <c r="AB67" s="321"/>
      <c r="AC67" s="321"/>
      <c r="AD67" s="174"/>
      <c r="AE67" s="182">
        <v>63.6</v>
      </c>
      <c r="AF67" s="183">
        <f t="shared" ref="AF67:AF81" si="11">+$AF$66+((AE67-$AE$66)*(($AF$82-$AF$66)/($AE$82-$AE$66)))</f>
        <v>0.99749999999999994</v>
      </c>
      <c r="BA67" s="34"/>
      <c r="BB67" s="34"/>
      <c r="BC67" s="34"/>
      <c r="BD67" s="34"/>
    </row>
    <row r="68" spans="1:56" ht="13" customHeight="1" x14ac:dyDescent="0.3">
      <c r="S68" s="326"/>
      <c r="T68" s="234"/>
      <c r="U68" s="321"/>
      <c r="V68" s="234"/>
      <c r="W68" s="327"/>
      <c r="X68" s="328"/>
      <c r="Y68" s="328"/>
      <c r="Z68" s="263"/>
      <c r="AA68" s="263"/>
      <c r="AB68" s="263"/>
      <c r="AC68" s="263"/>
      <c r="AD68" s="177"/>
      <c r="AE68" s="182">
        <v>63.7</v>
      </c>
      <c r="AF68" s="183">
        <f t="shared" si="11"/>
        <v>0.99499999999999988</v>
      </c>
      <c r="BA68" s="34"/>
      <c r="BB68" s="34"/>
      <c r="BC68" s="34"/>
      <c r="BD68" s="34"/>
    </row>
    <row r="69" spans="1:56" ht="13" customHeight="1" x14ac:dyDescent="0.3">
      <c r="S69" s="326"/>
      <c r="T69" s="234"/>
      <c r="U69" s="234"/>
      <c r="V69" s="234"/>
      <c r="W69" s="329"/>
      <c r="X69" s="330"/>
      <c r="Y69" s="263"/>
      <c r="Z69" s="263"/>
      <c r="AA69" s="263"/>
      <c r="AB69" s="263"/>
      <c r="AC69" s="263"/>
      <c r="AD69" s="177"/>
      <c r="AE69" s="182">
        <v>63.8</v>
      </c>
      <c r="AF69" s="183">
        <f t="shared" si="11"/>
        <v>0.99250000000000005</v>
      </c>
      <c r="BA69" s="34"/>
      <c r="BB69" s="34"/>
      <c r="BC69" s="34"/>
      <c r="BD69" s="34"/>
    </row>
    <row r="70" spans="1:56" ht="13" customHeight="1" x14ac:dyDescent="0.3">
      <c r="S70" s="331"/>
      <c r="T70" s="332"/>
      <c r="U70" s="332"/>
      <c r="V70" s="1751"/>
      <c r="W70" s="329"/>
      <c r="X70" s="333"/>
      <c r="Y70" s="333"/>
      <c r="Z70" s="333"/>
      <c r="AA70" s="333"/>
      <c r="AB70" s="333"/>
      <c r="AC70" s="333"/>
      <c r="AD70" s="37"/>
      <c r="AE70" s="182">
        <v>63.9</v>
      </c>
      <c r="AF70" s="183">
        <f t="shared" si="11"/>
        <v>0.99</v>
      </c>
      <c r="BA70" s="34"/>
      <c r="BB70" s="34"/>
      <c r="BC70" s="34"/>
      <c r="BD70" s="34"/>
    </row>
    <row r="71" spans="1:56" ht="13" customHeight="1" x14ac:dyDescent="0.3">
      <c r="S71" s="331"/>
      <c r="T71" s="332"/>
      <c r="U71" s="332"/>
      <c r="V71" s="1751"/>
      <c r="W71" s="234"/>
      <c r="X71" s="333"/>
      <c r="Y71" s="333"/>
      <c r="Z71" s="333"/>
      <c r="AA71" s="333"/>
      <c r="AB71" s="333"/>
      <c r="AC71" s="333"/>
      <c r="AD71" s="37"/>
      <c r="AE71" s="182">
        <v>64</v>
      </c>
      <c r="AF71" s="183">
        <f t="shared" si="11"/>
        <v>0.98749999999999993</v>
      </c>
      <c r="BA71" s="34"/>
      <c r="BB71" s="34"/>
      <c r="BC71" s="34"/>
      <c r="BD71" s="34"/>
    </row>
    <row r="72" spans="1:56" ht="13" customHeight="1" x14ac:dyDescent="0.3">
      <c r="S72" s="331"/>
      <c r="T72" s="332"/>
      <c r="U72" s="332"/>
      <c r="V72" s="1751"/>
      <c r="W72" s="234"/>
      <c r="X72" s="333"/>
      <c r="Y72" s="333"/>
      <c r="Z72" s="333"/>
      <c r="AA72" s="333"/>
      <c r="AB72" s="333"/>
      <c r="AC72" s="333"/>
      <c r="AD72" s="37"/>
      <c r="AE72" s="182">
        <v>64.100000000000094</v>
      </c>
      <c r="AF72" s="183">
        <f t="shared" si="11"/>
        <v>0.98499999999999754</v>
      </c>
      <c r="BA72" s="34"/>
      <c r="BB72" s="34"/>
      <c r="BC72" s="34"/>
      <c r="BD72" s="34"/>
    </row>
    <row r="73" spans="1:56" ht="13" customHeight="1" x14ac:dyDescent="0.3">
      <c r="S73" s="334"/>
      <c r="T73" s="332"/>
      <c r="U73" s="332"/>
      <c r="V73" s="1751"/>
      <c r="W73" s="234"/>
      <c r="X73" s="333"/>
      <c r="Y73" s="333"/>
      <c r="Z73" s="333"/>
      <c r="AA73" s="333"/>
      <c r="AB73" s="333"/>
      <c r="AC73" s="333"/>
      <c r="AD73" s="37"/>
      <c r="AE73" s="182">
        <v>64.200000000000102</v>
      </c>
      <c r="AF73" s="183">
        <f t="shared" si="11"/>
        <v>0.98249999999999738</v>
      </c>
      <c r="BA73" s="34"/>
      <c r="BB73" s="34"/>
      <c r="BC73" s="34"/>
      <c r="BD73" s="34"/>
    </row>
    <row r="74" spans="1:56" ht="13" customHeight="1" x14ac:dyDescent="0.3">
      <c r="E74" s="14"/>
      <c r="F74" s="14"/>
      <c r="S74" s="335"/>
      <c r="T74" s="234"/>
      <c r="U74" s="234"/>
      <c r="V74" s="1751"/>
      <c r="W74" s="234"/>
      <c r="X74" s="333"/>
      <c r="Y74" s="333"/>
      <c r="Z74" s="333"/>
      <c r="AA74" s="333"/>
      <c r="AB74" s="333"/>
      <c r="AC74" s="333"/>
      <c r="AD74" s="37"/>
      <c r="AE74" s="182">
        <v>64.300000000000097</v>
      </c>
      <c r="AF74" s="183">
        <f t="shared" si="11"/>
        <v>0.97999999999999754</v>
      </c>
      <c r="BA74" s="34"/>
      <c r="BB74" s="34"/>
      <c r="BC74" s="34"/>
      <c r="BD74" s="34"/>
    </row>
    <row r="75" spans="1:56" ht="13" customHeight="1" x14ac:dyDescent="0.3">
      <c r="E75" s="14"/>
      <c r="F75" s="14"/>
      <c r="S75" s="335"/>
      <c r="T75" s="332"/>
      <c r="U75" s="234"/>
      <c r="V75" s="1751"/>
      <c r="W75" s="329"/>
      <c r="X75" s="333"/>
      <c r="Y75" s="333"/>
      <c r="Z75" s="333"/>
      <c r="AA75" s="333"/>
      <c r="AB75" s="333"/>
      <c r="AC75" s="333"/>
      <c r="AD75" s="37"/>
      <c r="AE75" s="182">
        <v>64.400000000000006</v>
      </c>
      <c r="AF75" s="183">
        <f t="shared" si="11"/>
        <v>0.97749999999999981</v>
      </c>
      <c r="BA75" s="34"/>
      <c r="BB75" s="34"/>
      <c r="BC75" s="34"/>
      <c r="BD75" s="34"/>
    </row>
    <row r="76" spans="1:56" ht="13" customHeight="1" x14ac:dyDescent="0.3">
      <c r="E76" s="14"/>
      <c r="F76" s="14"/>
      <c r="S76" s="335"/>
      <c r="T76" s="234"/>
      <c r="U76" s="234"/>
      <c r="V76" s="1751"/>
      <c r="W76" s="234"/>
      <c r="X76" s="333"/>
      <c r="Y76" s="333"/>
      <c r="Z76" s="333"/>
      <c r="AA76" s="333"/>
      <c r="AB76" s="333"/>
      <c r="AC76" s="333"/>
      <c r="AD76" s="37"/>
      <c r="AE76" s="182">
        <v>64.5</v>
      </c>
      <c r="AF76" s="183">
        <f t="shared" si="11"/>
        <v>0.97499999999999987</v>
      </c>
      <c r="BA76" s="34"/>
      <c r="BB76" s="34"/>
      <c r="BC76" s="34"/>
      <c r="BD76" s="34"/>
    </row>
    <row r="77" spans="1:56" ht="13" customHeight="1" x14ac:dyDescent="0.3">
      <c r="E77" s="14"/>
      <c r="F77" s="14"/>
      <c r="S77" s="335"/>
      <c r="T77" s="234"/>
      <c r="U77" s="234"/>
      <c r="V77" s="1751"/>
      <c r="W77" s="234"/>
      <c r="X77" s="333"/>
      <c r="Y77" s="333"/>
      <c r="Z77" s="333"/>
      <c r="AA77" s="333"/>
      <c r="AB77" s="333"/>
      <c r="AC77" s="333"/>
      <c r="AD77" s="37"/>
      <c r="AE77" s="182">
        <v>64.599999999999994</v>
      </c>
      <c r="AF77" s="183">
        <f t="shared" si="11"/>
        <v>0.97250000000000003</v>
      </c>
      <c r="BA77" s="34"/>
      <c r="BB77" s="34"/>
      <c r="BC77" s="34"/>
      <c r="BD77" s="34"/>
    </row>
    <row r="78" spans="1:56" ht="13" customHeight="1" x14ac:dyDescent="0.3">
      <c r="E78" s="14"/>
      <c r="F78" s="14"/>
      <c r="S78" s="335"/>
      <c r="T78" s="234"/>
      <c r="U78" s="234"/>
      <c r="V78" s="1751"/>
      <c r="W78" s="234"/>
      <c r="X78" s="333"/>
      <c r="Y78" s="333"/>
      <c r="Z78" s="333"/>
      <c r="AA78" s="333"/>
      <c r="AB78" s="333"/>
      <c r="AC78" s="333"/>
      <c r="AD78" s="37"/>
      <c r="AE78" s="182">
        <v>64.7</v>
      </c>
      <c r="AF78" s="183">
        <f t="shared" si="11"/>
        <v>0.96999999999999975</v>
      </c>
      <c r="BA78" s="34"/>
      <c r="BB78" s="34"/>
      <c r="BC78" s="34"/>
      <c r="BD78" s="34"/>
    </row>
    <row r="79" spans="1:56" s="14" customFormat="1" ht="13" customHeight="1" x14ac:dyDescent="0.3">
      <c r="A79" s="120"/>
      <c r="B79" s="120"/>
      <c r="C79" s="120"/>
      <c r="D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335"/>
      <c r="T79" s="262"/>
      <c r="U79" s="262"/>
      <c r="V79" s="262"/>
      <c r="W79" s="234"/>
      <c r="X79" s="333"/>
      <c r="Y79" s="333"/>
      <c r="Z79" s="333"/>
      <c r="AA79" s="333"/>
      <c r="AB79" s="333"/>
      <c r="AC79" s="333"/>
      <c r="AD79" s="37"/>
      <c r="AE79" s="182">
        <v>64.8</v>
      </c>
      <c r="AF79" s="183">
        <f t="shared" si="11"/>
        <v>0.96749999999999992</v>
      </c>
      <c r="AG79" s="120"/>
      <c r="AH79" s="120"/>
      <c r="AI79" s="120"/>
      <c r="AJ79" s="120"/>
      <c r="AK79" s="120"/>
      <c r="AL79" s="120"/>
      <c r="AM79" s="120"/>
      <c r="AN79" s="120"/>
      <c r="AO79" s="120"/>
      <c r="AP79" s="120"/>
      <c r="AQ79" s="120"/>
      <c r="AR79" s="120"/>
      <c r="AS79" s="120"/>
      <c r="AT79" s="120"/>
      <c r="AU79" s="120"/>
      <c r="AV79" s="120"/>
      <c r="AW79" s="120"/>
      <c r="AX79" s="120"/>
      <c r="AY79" s="120"/>
      <c r="AZ79" s="120"/>
      <c r="BA79" s="46"/>
      <c r="BB79" s="46"/>
      <c r="BC79" s="46"/>
      <c r="BD79" s="46"/>
    </row>
    <row r="80" spans="1:56" s="14" customFormat="1" ht="13" customHeight="1" x14ac:dyDescent="0.3">
      <c r="A80" s="120"/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335"/>
      <c r="T80" s="262"/>
      <c r="U80" s="262"/>
      <c r="V80" s="262"/>
      <c r="W80" s="329"/>
      <c r="X80" s="333"/>
      <c r="Y80" s="333"/>
      <c r="Z80" s="333"/>
      <c r="AA80" s="333"/>
      <c r="AB80" s="333"/>
      <c r="AC80" s="333"/>
      <c r="AD80" s="37"/>
      <c r="AE80" s="182">
        <v>64.900000000000006</v>
      </c>
      <c r="AF80" s="183">
        <f t="shared" si="11"/>
        <v>0.96499999999999975</v>
      </c>
      <c r="AG80" s="120"/>
      <c r="AH80" s="120"/>
      <c r="AI80" s="120"/>
      <c r="AJ80" s="120"/>
      <c r="AK80" s="120"/>
      <c r="AL80" s="120"/>
      <c r="AM80" s="120"/>
      <c r="AN80" s="120"/>
      <c r="AO80" s="120"/>
      <c r="AP80" s="120"/>
      <c r="AQ80" s="120"/>
      <c r="AR80" s="120"/>
      <c r="AS80" s="120"/>
      <c r="AT80" s="120"/>
      <c r="AU80" s="120"/>
      <c r="AV80" s="120"/>
      <c r="AW80" s="120"/>
      <c r="AX80" s="120"/>
      <c r="AY80" s="120"/>
      <c r="AZ80" s="120"/>
      <c r="BA80" s="46"/>
      <c r="BB80" s="46"/>
      <c r="BC80" s="46"/>
      <c r="BD80" s="46"/>
    </row>
    <row r="81" spans="1:56" s="14" customFormat="1" ht="13" customHeight="1" x14ac:dyDescent="0.3">
      <c r="A81" s="120"/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335"/>
      <c r="T81" s="262"/>
      <c r="U81" s="262"/>
      <c r="V81" s="1754"/>
      <c r="W81" s="234"/>
      <c r="X81" s="333"/>
      <c r="Y81" s="333"/>
      <c r="Z81" s="333"/>
      <c r="AA81" s="333"/>
      <c r="AB81" s="333"/>
      <c r="AC81" s="333"/>
      <c r="AD81" s="37"/>
      <c r="AE81" s="182">
        <v>65</v>
      </c>
      <c r="AF81" s="183">
        <f t="shared" si="11"/>
        <v>0.9624999999999998</v>
      </c>
      <c r="AG81" s="120"/>
      <c r="AH81" s="120"/>
      <c r="AI81" s="120"/>
      <c r="AJ81" s="120"/>
      <c r="AK81" s="120"/>
      <c r="AL81" s="120"/>
      <c r="AM81" s="120"/>
      <c r="AN81" s="120"/>
      <c r="AO81" s="120"/>
      <c r="AP81" s="120"/>
      <c r="AQ81" s="120"/>
      <c r="AR81" s="120"/>
      <c r="AS81" s="120"/>
      <c r="AT81" s="120"/>
      <c r="AU81" s="120"/>
      <c r="AV81" s="120"/>
      <c r="AW81" s="120"/>
      <c r="AX81" s="120"/>
      <c r="AY81" s="120"/>
      <c r="AZ81" s="120"/>
      <c r="BA81" s="46"/>
      <c r="BB81" s="46"/>
      <c r="BC81" s="46"/>
      <c r="BD81" s="46"/>
    </row>
    <row r="82" spans="1:56" s="14" customFormat="1" ht="13" customHeight="1" x14ac:dyDescent="0.3">
      <c r="A82" s="120"/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335"/>
      <c r="T82" s="262"/>
      <c r="U82" s="262"/>
      <c r="V82" s="1754"/>
      <c r="W82" s="234"/>
      <c r="X82" s="333"/>
      <c r="Y82" s="333"/>
      <c r="Z82" s="333"/>
      <c r="AA82" s="333"/>
      <c r="AB82" s="333"/>
      <c r="AC82" s="333"/>
      <c r="AD82" s="37"/>
      <c r="AE82" s="180">
        <v>65.099999999999994</v>
      </c>
      <c r="AF82" s="181">
        <v>0.96</v>
      </c>
      <c r="AG82" s="120"/>
      <c r="AH82" s="120"/>
      <c r="AI82" s="120"/>
      <c r="AJ82" s="120"/>
      <c r="AK82" s="120"/>
      <c r="AL82" s="120"/>
      <c r="AM82" s="120"/>
      <c r="AN82" s="120"/>
      <c r="AO82" s="120"/>
      <c r="AP82" s="120"/>
      <c r="AQ82" s="120"/>
      <c r="AR82" s="120"/>
      <c r="AS82" s="120"/>
      <c r="AT82" s="120"/>
      <c r="AU82" s="120"/>
      <c r="AV82" s="120"/>
      <c r="AW82" s="120"/>
      <c r="AX82" s="120"/>
      <c r="AY82" s="120"/>
      <c r="AZ82" s="120"/>
      <c r="BA82" s="46"/>
      <c r="BB82" s="46"/>
      <c r="BC82" s="46"/>
      <c r="BD82" s="46"/>
    </row>
    <row r="83" spans="1:56" s="14" customFormat="1" ht="11.15" customHeight="1" x14ac:dyDescent="0.3">
      <c r="A83" s="120"/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234"/>
      <c r="T83" s="262"/>
      <c r="U83" s="262"/>
      <c r="V83" s="1754"/>
      <c r="W83" s="234"/>
      <c r="X83" s="333"/>
      <c r="Y83" s="333"/>
      <c r="Z83" s="333"/>
      <c r="AA83" s="333"/>
      <c r="AB83" s="333"/>
      <c r="AC83" s="333"/>
      <c r="AD83" s="37"/>
      <c r="AE83" s="182">
        <v>65.2</v>
      </c>
      <c r="AF83" s="183">
        <f t="shared" ref="AF83:AF97" si="12">+$AF$82+((AE83-$AE$82)*(($AF$98-$AF$82)/($AE$98-$AE$82)))</f>
        <v>0.95812499999999978</v>
      </c>
      <c r="AG83" s="120"/>
      <c r="AH83" s="120"/>
      <c r="AI83" s="120"/>
      <c r="AJ83" s="120"/>
      <c r="AK83" s="120"/>
      <c r="AL83" s="120"/>
      <c r="AM83" s="120"/>
      <c r="AN83" s="120"/>
      <c r="AO83" s="120"/>
      <c r="AP83" s="120"/>
      <c r="AQ83" s="120"/>
      <c r="AR83" s="120"/>
      <c r="AS83" s="120"/>
      <c r="AT83" s="120"/>
      <c r="AU83" s="120"/>
      <c r="AV83" s="120"/>
      <c r="AW83" s="120"/>
      <c r="AX83" s="120"/>
      <c r="AY83" s="120"/>
      <c r="AZ83" s="120"/>
      <c r="BA83" s="46"/>
      <c r="BB83" s="46"/>
      <c r="BC83" s="46"/>
      <c r="BD83" s="46"/>
    </row>
    <row r="84" spans="1:56" s="14" customFormat="1" ht="11.15" customHeight="1" x14ac:dyDescent="0.3">
      <c r="A84" s="120"/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234"/>
      <c r="T84" s="262"/>
      <c r="U84" s="262"/>
      <c r="V84" s="262"/>
      <c r="W84" s="234"/>
      <c r="X84" s="333"/>
      <c r="Y84" s="333"/>
      <c r="Z84" s="333"/>
      <c r="AA84" s="333"/>
      <c r="AB84" s="333"/>
      <c r="AC84" s="333"/>
      <c r="AD84" s="37"/>
      <c r="AE84" s="182">
        <v>65.3</v>
      </c>
      <c r="AF84" s="183">
        <f t="shared" si="12"/>
        <v>0.95624999999999993</v>
      </c>
      <c r="AG84" s="120"/>
      <c r="AH84" s="120"/>
      <c r="AI84" s="120"/>
      <c r="AJ84" s="120"/>
      <c r="AK84" s="120"/>
      <c r="AL84" s="120"/>
      <c r="AM84" s="120"/>
      <c r="AN84" s="120"/>
      <c r="AO84" s="120"/>
      <c r="AP84" s="120"/>
      <c r="AQ84" s="120"/>
      <c r="AR84" s="120"/>
      <c r="AS84" s="120"/>
      <c r="AT84" s="120"/>
      <c r="AU84" s="120"/>
      <c r="AV84" s="120"/>
      <c r="AW84" s="120"/>
      <c r="AX84" s="120"/>
      <c r="AY84" s="120"/>
      <c r="AZ84" s="120"/>
      <c r="BA84" s="46"/>
      <c r="BB84" s="46"/>
      <c r="BC84" s="46"/>
      <c r="BD84" s="46"/>
    </row>
    <row r="85" spans="1:56" ht="11.15" customHeight="1" x14ac:dyDescent="0.3">
      <c r="S85" s="234"/>
      <c r="T85" s="234"/>
      <c r="U85" s="234"/>
      <c r="V85" s="234"/>
      <c r="W85" s="262"/>
      <c r="X85" s="262"/>
      <c r="Y85" s="262"/>
      <c r="Z85" s="262"/>
      <c r="AA85" s="262"/>
      <c r="AB85" s="234"/>
      <c r="AC85" s="234"/>
      <c r="AD85" s="34"/>
      <c r="AE85" s="182">
        <v>65.400000000000006</v>
      </c>
      <c r="AF85" s="183">
        <f t="shared" si="12"/>
        <v>0.95437499999999975</v>
      </c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</row>
    <row r="86" spans="1:56" ht="11.15" customHeight="1" x14ac:dyDescent="0.3">
      <c r="S86" s="234"/>
      <c r="T86" s="234"/>
      <c r="U86" s="234"/>
      <c r="V86" s="234"/>
      <c r="W86" s="262"/>
      <c r="X86" s="262"/>
      <c r="Y86" s="262"/>
      <c r="Z86" s="262"/>
      <c r="AA86" s="262"/>
      <c r="AB86" s="234"/>
      <c r="AC86" s="234"/>
      <c r="AD86" s="34"/>
      <c r="AE86" s="182">
        <v>65.5</v>
      </c>
      <c r="AF86" s="183">
        <f t="shared" si="12"/>
        <v>0.9524999999999999</v>
      </c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</row>
    <row r="87" spans="1:56" ht="11.15" customHeight="1" x14ac:dyDescent="0.3">
      <c r="S87" s="234"/>
      <c r="T87" s="234"/>
      <c r="U87" s="234"/>
      <c r="V87" s="234"/>
      <c r="W87" s="262"/>
      <c r="X87" s="262"/>
      <c r="Y87" s="262"/>
      <c r="Z87" s="262"/>
      <c r="AA87" s="262"/>
      <c r="AB87" s="270"/>
      <c r="AC87" s="270"/>
      <c r="AD87" s="39"/>
      <c r="AE87" s="182">
        <v>65.599999999999994</v>
      </c>
      <c r="AF87" s="183">
        <f t="shared" si="12"/>
        <v>0.95062500000000005</v>
      </c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</row>
    <row r="88" spans="1:56" ht="11.15" customHeight="1" x14ac:dyDescent="0.3">
      <c r="S88" s="234"/>
      <c r="T88" s="234"/>
      <c r="U88" s="234"/>
      <c r="V88" s="234"/>
      <c r="W88" s="262"/>
      <c r="X88" s="262"/>
      <c r="Y88" s="262"/>
      <c r="Z88" s="262"/>
      <c r="AA88" s="262"/>
      <c r="AB88" s="270"/>
      <c r="AC88" s="270"/>
      <c r="AD88" s="39"/>
      <c r="AE88" s="182">
        <v>65.7</v>
      </c>
      <c r="AF88" s="183">
        <f t="shared" si="12"/>
        <v>0.94874999999999987</v>
      </c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</row>
    <row r="89" spans="1:56" ht="11.15" customHeight="1" x14ac:dyDescent="0.3">
      <c r="S89" s="234"/>
      <c r="T89" s="234"/>
      <c r="U89" s="234"/>
      <c r="V89" s="234"/>
      <c r="W89" s="262"/>
      <c r="X89" s="262"/>
      <c r="Y89" s="262"/>
      <c r="Z89" s="262"/>
      <c r="AA89" s="262"/>
      <c r="AB89" s="270"/>
      <c r="AC89" s="270"/>
      <c r="AD89" s="39"/>
      <c r="AE89" s="182">
        <v>65.8</v>
      </c>
      <c r="AF89" s="183">
        <f t="shared" si="12"/>
        <v>0.94687500000000002</v>
      </c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</row>
    <row r="90" spans="1:56" ht="11.15" customHeight="1" x14ac:dyDescent="0.3">
      <c r="E90" s="15"/>
      <c r="F90" s="15"/>
      <c r="S90" s="234"/>
      <c r="T90" s="234"/>
      <c r="U90" s="234"/>
      <c r="V90" s="234"/>
      <c r="W90" s="262"/>
      <c r="X90" s="262"/>
      <c r="Y90" s="262"/>
      <c r="Z90" s="262"/>
      <c r="AA90" s="262"/>
      <c r="AB90" s="270"/>
      <c r="AC90" s="270"/>
      <c r="AD90" s="526"/>
      <c r="AE90" s="182">
        <v>65.900000000000006</v>
      </c>
      <c r="AF90" s="183">
        <f t="shared" si="12"/>
        <v>0.94499999999999984</v>
      </c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</row>
    <row r="91" spans="1:56" ht="11.15" customHeight="1" x14ac:dyDescent="0.3">
      <c r="E91" s="15"/>
      <c r="F91" s="15"/>
      <c r="S91" s="234"/>
      <c r="T91" s="234"/>
      <c r="U91" s="234"/>
      <c r="V91" s="234"/>
      <c r="W91" s="234"/>
      <c r="X91" s="234"/>
      <c r="Y91" s="234"/>
      <c r="Z91" s="234"/>
      <c r="AA91" s="234"/>
      <c r="AB91" s="270"/>
      <c r="AC91" s="270"/>
      <c r="AD91" s="525"/>
      <c r="AE91" s="182">
        <v>66</v>
      </c>
      <c r="AF91" s="183">
        <f t="shared" si="12"/>
        <v>0.94312499999999999</v>
      </c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</row>
    <row r="92" spans="1:56" ht="11.15" customHeight="1" x14ac:dyDescent="0.3">
      <c r="E92" s="15"/>
      <c r="F92" s="15"/>
      <c r="S92" s="234"/>
      <c r="T92" s="234"/>
      <c r="U92" s="234"/>
      <c r="V92" s="234"/>
      <c r="W92" s="234"/>
      <c r="X92" s="234"/>
      <c r="Y92" s="234"/>
      <c r="Z92" s="234"/>
      <c r="AA92" s="234"/>
      <c r="AB92" s="527"/>
      <c r="AC92" s="527"/>
      <c r="AD92" s="191"/>
      <c r="AE92" s="182">
        <v>66.099999999999994</v>
      </c>
      <c r="AF92" s="183">
        <f t="shared" si="12"/>
        <v>0.94125000000000014</v>
      </c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</row>
    <row r="93" spans="1:56" ht="11.15" customHeight="1" x14ac:dyDescent="0.3">
      <c r="E93" s="15"/>
      <c r="F93" s="15"/>
      <c r="S93" s="234"/>
      <c r="T93" s="234"/>
      <c r="U93" s="234"/>
      <c r="V93" s="234"/>
      <c r="W93" s="234"/>
      <c r="X93" s="234"/>
      <c r="Y93" s="234"/>
      <c r="Z93" s="234"/>
      <c r="AA93" s="234"/>
      <c r="AB93" s="275"/>
      <c r="AC93" s="275"/>
      <c r="AD93" s="525"/>
      <c r="AE93" s="182">
        <v>66.2</v>
      </c>
      <c r="AF93" s="183">
        <f t="shared" si="12"/>
        <v>0.93937499999999996</v>
      </c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</row>
    <row r="94" spans="1:56" ht="11.15" customHeight="1" x14ac:dyDescent="0.3">
      <c r="E94" s="15"/>
      <c r="F94" s="15"/>
      <c r="S94" s="234"/>
      <c r="T94" s="234"/>
      <c r="U94" s="234"/>
      <c r="V94" s="234"/>
      <c r="W94" s="234"/>
      <c r="X94" s="234"/>
      <c r="Y94" s="234"/>
      <c r="Z94" s="234"/>
      <c r="AA94" s="234"/>
      <c r="AB94" s="270"/>
      <c r="AC94" s="270"/>
      <c r="AD94" s="525"/>
      <c r="AE94" s="182">
        <v>66.300000000000097</v>
      </c>
      <c r="AF94" s="183">
        <f t="shared" si="12"/>
        <v>0.93749999999999822</v>
      </c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</row>
    <row r="95" spans="1:56" s="15" customFormat="1" ht="11.15" customHeight="1" x14ac:dyDescent="0.3">
      <c r="A95" s="120"/>
      <c r="B95" s="120"/>
      <c r="C95" s="120"/>
      <c r="D95" s="120"/>
      <c r="G95" s="120"/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234"/>
      <c r="T95" s="275"/>
      <c r="U95" s="277"/>
      <c r="V95" s="275"/>
      <c r="W95" s="234"/>
      <c r="X95" s="234"/>
      <c r="Y95" s="234"/>
      <c r="Z95" s="234"/>
      <c r="AA95" s="234"/>
      <c r="AB95" s="275"/>
      <c r="AC95" s="275"/>
      <c r="AD95" s="188"/>
      <c r="AE95" s="182">
        <v>66.400000000000006</v>
      </c>
      <c r="AF95" s="183">
        <f t="shared" si="12"/>
        <v>0.93562499999999993</v>
      </c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9"/>
      <c r="BB95" s="39"/>
      <c r="BC95" s="39"/>
      <c r="BD95" s="39"/>
    </row>
    <row r="96" spans="1:56" s="15" customFormat="1" ht="11.15" customHeight="1" x14ac:dyDescent="0.3">
      <c r="A96" s="120"/>
      <c r="B96" s="120"/>
      <c r="C96" s="120"/>
      <c r="D96" s="120"/>
      <c r="G96" s="120"/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234"/>
      <c r="T96" s="275"/>
      <c r="U96" s="277"/>
      <c r="V96" s="275"/>
      <c r="W96" s="234"/>
      <c r="X96" s="234"/>
      <c r="Y96" s="234"/>
      <c r="Z96" s="234"/>
      <c r="AA96" s="234"/>
      <c r="AB96" s="275"/>
      <c r="AC96" s="275"/>
      <c r="AD96" s="188"/>
      <c r="AE96" s="182">
        <v>66.500000000000099</v>
      </c>
      <c r="AF96" s="183">
        <f t="shared" si="12"/>
        <v>0.93374999999999819</v>
      </c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9"/>
      <c r="BB96" s="39"/>
      <c r="BC96" s="39"/>
      <c r="BD96" s="39"/>
    </row>
    <row r="97" spans="1:56" s="15" customFormat="1" ht="11.15" customHeight="1" x14ac:dyDescent="0.3">
      <c r="A97" s="120"/>
      <c r="B97" s="120"/>
      <c r="C97" s="120"/>
      <c r="D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234"/>
      <c r="T97" s="270"/>
      <c r="U97" s="270"/>
      <c r="V97" s="270"/>
      <c r="W97" s="234"/>
      <c r="X97" s="234"/>
      <c r="Y97" s="234"/>
      <c r="Z97" s="234"/>
      <c r="AA97" s="234"/>
      <c r="AB97" s="275"/>
      <c r="AC97" s="275"/>
      <c r="AD97" s="229"/>
      <c r="AE97" s="182">
        <v>66.600000000000094</v>
      </c>
      <c r="AF97" s="183">
        <f t="shared" si="12"/>
        <v>0.93187499999999834</v>
      </c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9"/>
      <c r="BB97" s="39"/>
      <c r="BC97" s="39"/>
      <c r="BD97" s="39"/>
    </row>
    <row r="98" spans="1:56" s="15" customFormat="1" ht="11.15" customHeight="1" x14ac:dyDescent="0.3">
      <c r="A98" s="120"/>
      <c r="B98" s="120"/>
      <c r="C98" s="120"/>
      <c r="D98" s="120"/>
      <c r="G98" s="120"/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234"/>
      <c r="T98" s="270"/>
      <c r="U98" s="270"/>
      <c r="V98" s="270"/>
      <c r="W98" s="234"/>
      <c r="X98" s="234"/>
      <c r="Y98" s="234"/>
      <c r="Z98" s="234"/>
      <c r="AA98" s="234"/>
      <c r="AB98" s="275"/>
      <c r="AC98" s="275"/>
      <c r="AD98" s="229"/>
      <c r="AE98" s="180">
        <v>66.7</v>
      </c>
      <c r="AF98" s="181">
        <v>0.93</v>
      </c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9"/>
      <c r="BB98" s="39"/>
      <c r="BC98" s="39"/>
      <c r="BD98" s="39"/>
    </row>
    <row r="99" spans="1:56" s="15" customFormat="1" ht="11.15" customHeight="1" x14ac:dyDescent="0.3">
      <c r="A99" s="120"/>
      <c r="B99" s="120"/>
      <c r="C99" s="120"/>
      <c r="D99" s="120"/>
      <c r="G99" s="120"/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336"/>
      <c r="T99" s="337"/>
      <c r="U99" s="337"/>
      <c r="V99" s="337"/>
      <c r="W99" s="234"/>
      <c r="X99" s="234"/>
      <c r="Y99" s="234"/>
      <c r="Z99" s="234"/>
      <c r="AA99" s="234"/>
      <c r="AB99" s="275"/>
      <c r="AC99" s="275"/>
      <c r="AD99" s="230"/>
      <c r="AE99" s="182">
        <v>66.8</v>
      </c>
      <c r="AF99" s="183">
        <f t="shared" ref="AF99:AF113" si="13">+$AF$98+((AE99-$AE$98)*(($AF$114-$AF$98)/($AE$114-$AE$98)))</f>
        <v>0.92750000000000032</v>
      </c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9"/>
      <c r="BB99" s="39"/>
      <c r="BC99" s="39"/>
      <c r="BD99" s="39"/>
    </row>
    <row r="100" spans="1:56" s="15" customFormat="1" ht="11.15" customHeight="1" x14ac:dyDescent="0.3">
      <c r="A100" s="120"/>
      <c r="B100" s="120"/>
      <c r="C100" s="120"/>
      <c r="D100" s="120"/>
      <c r="G100" s="120"/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315"/>
      <c r="T100" s="527"/>
      <c r="U100" s="527"/>
      <c r="V100" s="527"/>
      <c r="W100" s="234"/>
      <c r="X100" s="234"/>
      <c r="Y100" s="234"/>
      <c r="Z100" s="234"/>
      <c r="AA100" s="234"/>
      <c r="AB100" s="275"/>
      <c r="AC100" s="275"/>
      <c r="AD100" s="230"/>
      <c r="AE100" s="182">
        <v>66.900000000000006</v>
      </c>
      <c r="AF100" s="183">
        <f t="shared" si="13"/>
        <v>0.92500000000000027</v>
      </c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9"/>
      <c r="BB100" s="39"/>
      <c r="BC100" s="39"/>
      <c r="BD100" s="39"/>
    </row>
    <row r="101" spans="1:56" s="15" customFormat="1" ht="10.5" customHeight="1" x14ac:dyDescent="0.3">
      <c r="A101" s="120"/>
      <c r="B101" s="120"/>
      <c r="C101" s="120"/>
      <c r="D101" s="120"/>
      <c r="G101" s="120"/>
      <c r="H101" s="120"/>
      <c r="I101" s="120"/>
      <c r="J101" s="120"/>
      <c r="K101" s="1"/>
      <c r="L101" s="1"/>
      <c r="M101" s="120"/>
      <c r="N101" s="120"/>
      <c r="O101" s="120"/>
      <c r="P101" s="120"/>
      <c r="Q101" s="120"/>
      <c r="R101" s="120"/>
      <c r="S101" s="338"/>
      <c r="T101" s="275"/>
      <c r="U101" s="277"/>
      <c r="V101" s="275"/>
      <c r="W101" s="337"/>
      <c r="X101" s="337"/>
      <c r="Y101" s="337"/>
      <c r="Z101" s="337"/>
      <c r="AA101" s="337"/>
      <c r="AB101" s="275"/>
      <c r="AC101" s="275"/>
      <c r="AD101" s="195"/>
      <c r="AE101" s="182">
        <v>67</v>
      </c>
      <c r="AF101" s="183">
        <f t="shared" si="13"/>
        <v>0.92250000000000054</v>
      </c>
      <c r="AG101" s="46"/>
      <c r="AH101" s="46"/>
      <c r="AI101" s="46"/>
      <c r="AJ101" s="46"/>
      <c r="AK101" s="46"/>
      <c r="AL101" s="46"/>
      <c r="AM101" s="46"/>
      <c r="AN101" s="46"/>
      <c r="AO101" s="46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9"/>
      <c r="BB101" s="39"/>
      <c r="BC101" s="39"/>
      <c r="BD101" s="39"/>
    </row>
    <row r="102" spans="1:56" s="15" customFormat="1" ht="18" customHeight="1" x14ac:dyDescent="0.3">
      <c r="A102" s="120"/>
      <c r="B102" s="120"/>
      <c r="C102" s="120"/>
      <c r="D102" s="120"/>
      <c r="G102" s="120"/>
      <c r="H102" s="120"/>
      <c r="I102" s="120"/>
      <c r="J102" s="120"/>
      <c r="M102" s="120"/>
      <c r="N102" s="120"/>
      <c r="O102" s="120"/>
      <c r="P102" s="120"/>
      <c r="Q102" s="120"/>
      <c r="R102" s="120"/>
      <c r="S102" s="339"/>
      <c r="T102" s="275"/>
      <c r="U102" s="277"/>
      <c r="V102" s="275"/>
      <c r="W102" s="337"/>
      <c r="X102" s="337"/>
      <c r="Y102" s="337"/>
      <c r="Z102" s="337"/>
      <c r="AA102" s="337"/>
      <c r="AB102" s="275"/>
      <c r="AC102" s="275"/>
      <c r="AD102" s="195"/>
      <c r="AE102" s="182">
        <v>67.099999999999994</v>
      </c>
      <c r="AF102" s="183">
        <f t="shared" si="13"/>
        <v>0.92000000000000082</v>
      </c>
      <c r="AG102" s="46"/>
      <c r="AH102" s="46"/>
      <c r="AI102" s="46"/>
      <c r="AJ102" s="46"/>
      <c r="AK102" s="46"/>
      <c r="AL102" s="46"/>
      <c r="AM102" s="46"/>
      <c r="AN102" s="46"/>
      <c r="AO102" s="46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9"/>
      <c r="BB102" s="39"/>
      <c r="BC102" s="39"/>
      <c r="BD102" s="39"/>
    </row>
    <row r="103" spans="1:56" s="15" customFormat="1" ht="28" customHeight="1" x14ac:dyDescent="0.3">
      <c r="A103" s="120"/>
      <c r="B103" s="120"/>
      <c r="C103" s="120"/>
      <c r="D103" s="120"/>
      <c r="G103" s="120"/>
      <c r="H103" s="120"/>
      <c r="I103" s="120"/>
      <c r="J103" s="120"/>
      <c r="M103" s="120"/>
      <c r="N103" s="120"/>
      <c r="O103" s="120"/>
      <c r="P103" s="120"/>
      <c r="Q103" s="120"/>
      <c r="R103" s="120"/>
      <c r="S103" s="316"/>
      <c r="T103" s="275"/>
      <c r="U103" s="277"/>
      <c r="V103" s="275"/>
      <c r="W103" s="270"/>
      <c r="X103" s="270"/>
      <c r="Y103" s="270"/>
      <c r="Z103" s="270"/>
      <c r="AA103" s="270"/>
      <c r="AB103" s="275"/>
      <c r="AC103" s="275"/>
      <c r="AD103" s="198"/>
      <c r="AE103" s="182">
        <v>67.2</v>
      </c>
      <c r="AF103" s="183">
        <f t="shared" si="13"/>
        <v>0.91750000000000076</v>
      </c>
      <c r="AG103" s="174"/>
      <c r="AH103" s="174"/>
      <c r="AI103" s="174"/>
      <c r="AJ103" s="34"/>
      <c r="AK103" s="34"/>
      <c r="AL103" s="34"/>
      <c r="AM103" s="46"/>
      <c r="AN103" s="46"/>
      <c r="AO103" s="46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9"/>
      <c r="BB103" s="39"/>
      <c r="BC103" s="39"/>
      <c r="BD103" s="39"/>
    </row>
    <row r="104" spans="1:56" s="15" customFormat="1" ht="9.75" customHeight="1" x14ac:dyDescent="0.3">
      <c r="A104" s="120"/>
      <c r="B104" s="120"/>
      <c r="C104" s="120"/>
      <c r="D104" s="120"/>
      <c r="G104" s="120"/>
      <c r="H104" s="120"/>
      <c r="I104" s="120"/>
      <c r="J104" s="120"/>
      <c r="M104" s="120"/>
      <c r="N104" s="120"/>
      <c r="O104" s="120"/>
      <c r="P104" s="120"/>
      <c r="Q104" s="120"/>
      <c r="R104" s="120"/>
      <c r="S104" s="316"/>
      <c r="T104" s="275"/>
      <c r="U104" s="277"/>
      <c r="V104" s="275"/>
      <c r="W104" s="270"/>
      <c r="X104" s="270"/>
      <c r="Y104" s="270"/>
      <c r="Z104" s="270"/>
      <c r="AA104" s="270"/>
      <c r="AB104" s="275"/>
      <c r="AC104" s="275"/>
      <c r="AD104" s="231"/>
      <c r="AE104" s="182">
        <v>67.3</v>
      </c>
      <c r="AF104" s="183">
        <f t="shared" si="13"/>
        <v>0.91500000000000103</v>
      </c>
      <c r="AG104" s="177"/>
      <c r="AH104" s="177"/>
      <c r="AI104" s="177"/>
      <c r="AJ104" s="177"/>
      <c r="AK104" s="177"/>
      <c r="AL104" s="34"/>
      <c r="AM104" s="153"/>
      <c r="AN104" s="516"/>
      <c r="AO104" s="46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9"/>
      <c r="BB104" s="39"/>
      <c r="BC104" s="39"/>
      <c r="BD104" s="39"/>
    </row>
    <row r="105" spans="1:56" s="15" customFormat="1" ht="14.15" customHeight="1" x14ac:dyDescent="0.3">
      <c r="A105" s="120"/>
      <c r="B105" s="120"/>
      <c r="C105" s="120"/>
      <c r="D105" s="120"/>
      <c r="G105" s="120"/>
      <c r="H105" s="120"/>
      <c r="I105" s="120"/>
      <c r="J105" s="120"/>
      <c r="M105" s="120"/>
      <c r="N105" s="120"/>
      <c r="O105" s="120"/>
      <c r="P105" s="120"/>
      <c r="Q105" s="120"/>
      <c r="R105" s="120"/>
      <c r="S105" s="279"/>
      <c r="T105" s="275"/>
      <c r="U105" s="277"/>
      <c r="V105" s="275"/>
      <c r="W105" s="340"/>
      <c r="X105" s="340"/>
      <c r="Y105" s="337"/>
      <c r="Z105" s="337"/>
      <c r="AA105" s="337"/>
      <c r="AB105" s="275"/>
      <c r="AC105" s="275"/>
      <c r="AD105" s="200"/>
      <c r="AE105" s="182">
        <v>67.400000000000006</v>
      </c>
      <c r="AF105" s="183">
        <f t="shared" si="13"/>
        <v>0.91250000000000098</v>
      </c>
      <c r="AG105" s="177"/>
      <c r="AH105" s="177"/>
      <c r="AI105" s="177"/>
      <c r="AJ105" s="177"/>
      <c r="AK105" s="177"/>
      <c r="AL105" s="34"/>
      <c r="AM105" s="153"/>
      <c r="AN105" s="516"/>
      <c r="AO105" s="46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9"/>
      <c r="BB105" s="39"/>
      <c r="BC105" s="39"/>
      <c r="BD105" s="39"/>
    </row>
    <row r="106" spans="1:56" s="15" customFormat="1" ht="14.15" customHeight="1" x14ac:dyDescent="0.3">
      <c r="A106" s="120"/>
      <c r="B106" s="120"/>
      <c r="C106" s="120"/>
      <c r="D106" s="120"/>
      <c r="G106" s="120"/>
      <c r="H106" s="120"/>
      <c r="I106" s="120"/>
      <c r="J106" s="120"/>
      <c r="M106" s="120"/>
      <c r="N106" s="120"/>
      <c r="O106" s="120"/>
      <c r="P106" s="120"/>
      <c r="Q106" s="120"/>
      <c r="R106" s="120"/>
      <c r="S106" s="280"/>
      <c r="T106" s="275"/>
      <c r="U106" s="277"/>
      <c r="V106" s="275"/>
      <c r="W106" s="340"/>
      <c r="X106" s="340"/>
      <c r="Y106" s="340"/>
      <c r="Z106" s="527"/>
      <c r="AA106" s="527"/>
      <c r="AB106" s="275"/>
      <c r="AC106" s="275"/>
      <c r="AD106" s="202"/>
      <c r="AE106" s="182">
        <v>67.500000000000099</v>
      </c>
      <c r="AF106" s="183">
        <f t="shared" si="13"/>
        <v>0.90999999999999881</v>
      </c>
      <c r="AG106" s="37"/>
      <c r="AH106" s="37"/>
      <c r="AI106" s="37"/>
      <c r="AJ106" s="37"/>
      <c r="AK106" s="37"/>
      <c r="AL106" s="34"/>
      <c r="AM106" s="46"/>
      <c r="AN106" s="46"/>
      <c r="AO106" s="46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9"/>
      <c r="BB106" s="39"/>
      <c r="BC106" s="39"/>
      <c r="BD106" s="39"/>
    </row>
    <row r="107" spans="1:56" s="15" customFormat="1" ht="14.15" customHeight="1" x14ac:dyDescent="0.3">
      <c r="A107" s="120"/>
      <c r="B107" s="120"/>
      <c r="C107" s="120"/>
      <c r="D107" s="120"/>
      <c r="G107" s="120"/>
      <c r="H107" s="120"/>
      <c r="I107" s="120"/>
      <c r="J107" s="120"/>
      <c r="M107" s="120"/>
      <c r="N107" s="120"/>
      <c r="O107" s="120"/>
      <c r="P107" s="120"/>
      <c r="Q107" s="120"/>
      <c r="R107" s="120"/>
      <c r="S107" s="280"/>
      <c r="T107" s="275"/>
      <c r="U107" s="277"/>
      <c r="V107" s="275"/>
      <c r="W107" s="340"/>
      <c r="X107" s="340"/>
      <c r="Y107" s="340"/>
      <c r="Z107" s="277"/>
      <c r="AA107" s="277"/>
      <c r="AB107" s="275"/>
      <c r="AC107" s="275"/>
      <c r="AD107" s="200"/>
      <c r="AE107" s="182">
        <v>67.600000000000094</v>
      </c>
      <c r="AF107" s="183">
        <f t="shared" si="13"/>
        <v>0.90749999999999909</v>
      </c>
      <c r="AG107" s="37"/>
      <c r="AH107" s="37"/>
      <c r="AI107" s="37"/>
      <c r="AJ107" s="37"/>
      <c r="AK107" s="37"/>
      <c r="AL107" s="34"/>
      <c r="AM107" s="46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9"/>
      <c r="BB107" s="39"/>
      <c r="BC107" s="39"/>
      <c r="BD107" s="39"/>
    </row>
    <row r="108" spans="1:56" s="15" customFormat="1" ht="12" customHeight="1" x14ac:dyDescent="0.3">
      <c r="A108" s="120"/>
      <c r="B108" s="120"/>
      <c r="C108" s="120"/>
      <c r="D108" s="120"/>
      <c r="G108" s="120"/>
      <c r="H108" s="120"/>
      <c r="I108" s="120"/>
      <c r="J108" s="120"/>
      <c r="M108" s="120"/>
      <c r="N108" s="120"/>
      <c r="O108" s="120"/>
      <c r="P108" s="120"/>
      <c r="Q108" s="120"/>
      <c r="R108" s="120"/>
      <c r="S108" s="235"/>
      <c r="T108" s="275"/>
      <c r="U108" s="277"/>
      <c r="V108" s="275"/>
      <c r="W108" s="340"/>
      <c r="X108" s="340"/>
      <c r="Y108" s="340"/>
      <c r="Z108" s="270"/>
      <c r="AA108" s="270"/>
      <c r="AB108" s="275"/>
      <c r="AC108" s="275"/>
      <c r="AD108" s="206"/>
      <c r="AE108" s="182">
        <v>67.700000000000102</v>
      </c>
      <c r="AF108" s="183">
        <f t="shared" si="13"/>
        <v>0.90499999999999903</v>
      </c>
      <c r="AG108" s="37"/>
      <c r="AH108" s="37"/>
      <c r="AI108" s="37"/>
      <c r="AJ108" s="37"/>
      <c r="AK108" s="37"/>
      <c r="AL108" s="34"/>
      <c r="AM108" s="46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9"/>
      <c r="BB108" s="39"/>
      <c r="BC108" s="39"/>
      <c r="BD108" s="39"/>
    </row>
    <row r="109" spans="1:56" s="15" customFormat="1" ht="12" customHeight="1" x14ac:dyDescent="0.3">
      <c r="A109" s="120"/>
      <c r="B109" s="120"/>
      <c r="C109" s="120"/>
      <c r="D109" s="120"/>
      <c r="G109" s="120"/>
      <c r="H109" s="120"/>
      <c r="I109" s="120"/>
      <c r="J109" s="120"/>
      <c r="M109" s="120"/>
      <c r="N109" s="120"/>
      <c r="O109" s="120"/>
      <c r="P109" s="120"/>
      <c r="Q109" s="120"/>
      <c r="R109" s="120"/>
      <c r="S109" s="235"/>
      <c r="T109" s="275"/>
      <c r="U109" s="277"/>
      <c r="V109" s="275"/>
      <c r="W109" s="340"/>
      <c r="X109" s="340"/>
      <c r="Y109" s="340"/>
      <c r="Z109" s="277"/>
      <c r="AA109" s="277"/>
      <c r="AB109" s="275"/>
      <c r="AC109" s="275"/>
      <c r="AD109" s="206"/>
      <c r="AE109" s="182">
        <v>67.800000000000097</v>
      </c>
      <c r="AF109" s="183">
        <f t="shared" si="13"/>
        <v>0.9024999999999993</v>
      </c>
      <c r="AG109" s="37"/>
      <c r="AH109" s="37"/>
      <c r="AI109" s="37"/>
      <c r="AJ109" s="37"/>
      <c r="AK109" s="37"/>
      <c r="AL109" s="34"/>
      <c r="AM109" s="46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9"/>
      <c r="BB109" s="39"/>
      <c r="BC109" s="39"/>
      <c r="BD109" s="39"/>
    </row>
    <row r="110" spans="1:56" s="15" customFormat="1" ht="14.15" customHeight="1" x14ac:dyDescent="0.3">
      <c r="A110" s="120"/>
      <c r="B110" s="120"/>
      <c r="C110" s="120"/>
      <c r="D110" s="120"/>
      <c r="G110" s="120"/>
      <c r="H110" s="120"/>
      <c r="I110" s="120"/>
      <c r="J110" s="120"/>
      <c r="M110" s="120"/>
      <c r="N110" s="120"/>
      <c r="O110" s="120"/>
      <c r="P110" s="120"/>
      <c r="Q110" s="120"/>
      <c r="R110" s="120"/>
      <c r="S110" s="318"/>
      <c r="T110" s="275"/>
      <c r="U110" s="277"/>
      <c r="V110" s="275"/>
      <c r="W110" s="340"/>
      <c r="X110" s="340"/>
      <c r="Y110" s="340"/>
      <c r="Z110" s="277"/>
      <c r="AA110" s="277"/>
      <c r="AB110" s="275"/>
      <c r="AC110" s="275"/>
      <c r="AD110" s="211"/>
      <c r="AE110" s="182">
        <v>67.900000000000105</v>
      </c>
      <c r="AF110" s="183">
        <f t="shared" si="13"/>
        <v>0.89999999999999925</v>
      </c>
      <c r="AG110" s="37"/>
      <c r="AH110" s="37"/>
      <c r="AI110" s="37"/>
      <c r="AJ110" s="37"/>
      <c r="AK110" s="37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9"/>
      <c r="BB110" s="39"/>
      <c r="BC110" s="39"/>
      <c r="BD110" s="39"/>
    </row>
    <row r="111" spans="1:56" s="15" customFormat="1" ht="14.15" customHeight="1" x14ac:dyDescent="0.3">
      <c r="A111" s="120"/>
      <c r="B111" s="120"/>
      <c r="C111" s="120"/>
      <c r="D111" s="120"/>
      <c r="G111" s="120"/>
      <c r="H111" s="120"/>
      <c r="I111" s="120"/>
      <c r="J111" s="120"/>
      <c r="M111" s="120"/>
      <c r="N111" s="120"/>
      <c r="O111" s="120"/>
      <c r="P111" s="120"/>
      <c r="Q111" s="120"/>
      <c r="R111" s="120"/>
      <c r="S111" s="318"/>
      <c r="T111" s="275"/>
      <c r="U111" s="277"/>
      <c r="V111" s="275"/>
      <c r="W111" s="340"/>
      <c r="X111" s="340"/>
      <c r="Y111" s="340"/>
      <c r="Z111" s="277"/>
      <c r="AA111" s="277"/>
      <c r="AB111" s="275"/>
      <c r="AC111" s="275"/>
      <c r="AD111" s="201"/>
      <c r="AE111" s="182">
        <v>68.000000000000099</v>
      </c>
      <c r="AF111" s="183">
        <f t="shared" si="13"/>
        <v>0.89749999999999952</v>
      </c>
      <c r="AG111" s="37"/>
      <c r="AH111" s="37"/>
      <c r="AI111" s="37"/>
      <c r="AJ111" s="37"/>
      <c r="AK111" s="37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9"/>
      <c r="BB111" s="39"/>
      <c r="BC111" s="39"/>
      <c r="BD111" s="39"/>
    </row>
    <row r="112" spans="1:56" s="15" customFormat="1" ht="14.15" customHeight="1" x14ac:dyDescent="0.3">
      <c r="A112" s="120"/>
      <c r="B112" s="120"/>
      <c r="C112" s="120"/>
      <c r="D112" s="120"/>
      <c r="G112" s="120"/>
      <c r="H112" s="120"/>
      <c r="I112" s="120"/>
      <c r="J112" s="120"/>
      <c r="M112" s="120"/>
      <c r="N112" s="120"/>
      <c r="O112" s="120"/>
      <c r="P112" s="120"/>
      <c r="Q112" s="120"/>
      <c r="R112" s="120"/>
      <c r="S112" s="241"/>
      <c r="T112" s="275"/>
      <c r="U112" s="277"/>
      <c r="V112" s="275"/>
      <c r="W112" s="340"/>
      <c r="X112" s="340"/>
      <c r="Y112" s="340"/>
      <c r="Z112" s="277"/>
      <c r="AA112" s="277"/>
      <c r="AB112" s="275"/>
      <c r="AC112" s="275"/>
      <c r="AD112" s="201"/>
      <c r="AE112" s="182">
        <v>68.100000000000094</v>
      </c>
      <c r="AF112" s="183">
        <f t="shared" si="13"/>
        <v>0.8949999999999998</v>
      </c>
      <c r="AG112" s="37"/>
      <c r="AH112" s="37"/>
      <c r="AI112" s="37"/>
      <c r="AJ112" s="37"/>
      <c r="AK112" s="37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9"/>
      <c r="BB112" s="39"/>
      <c r="BC112" s="39"/>
      <c r="BD112" s="39"/>
    </row>
    <row r="113" spans="1:56" s="15" customFormat="1" ht="14.15" customHeight="1" x14ac:dyDescent="0.3">
      <c r="A113" s="120"/>
      <c r="B113" s="120"/>
      <c r="C113" s="120"/>
      <c r="D113" s="120"/>
      <c r="G113" s="120"/>
      <c r="H113" s="120"/>
      <c r="I113" s="120"/>
      <c r="J113" s="120"/>
      <c r="M113" s="120"/>
      <c r="N113" s="120"/>
      <c r="O113" s="120"/>
      <c r="P113" s="120"/>
      <c r="Q113" s="120"/>
      <c r="R113" s="120"/>
      <c r="S113" s="241"/>
      <c r="T113" s="275"/>
      <c r="U113" s="277"/>
      <c r="V113" s="275"/>
      <c r="W113" s="340"/>
      <c r="X113" s="340"/>
      <c r="Y113" s="340"/>
      <c r="Z113" s="277"/>
      <c r="AA113" s="277"/>
      <c r="AB113" s="275"/>
      <c r="AC113" s="275"/>
      <c r="AD113" s="201"/>
      <c r="AE113" s="182">
        <v>68.200000000000102</v>
      </c>
      <c r="AF113" s="183">
        <f t="shared" si="13"/>
        <v>0.89249999999999974</v>
      </c>
      <c r="AG113" s="37"/>
      <c r="AH113" s="37"/>
      <c r="AI113" s="37"/>
      <c r="AJ113" s="37"/>
      <c r="AK113" s="37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9"/>
      <c r="BB113" s="39"/>
      <c r="BC113" s="39"/>
      <c r="BD113" s="39"/>
    </row>
    <row r="114" spans="1:56" s="15" customFormat="1" ht="13.5" customHeight="1" thickBot="1" x14ac:dyDescent="0.35">
      <c r="A114" s="120"/>
      <c r="B114" s="120"/>
      <c r="C114" s="120"/>
      <c r="D114" s="120"/>
      <c r="G114" s="120"/>
      <c r="H114" s="120"/>
      <c r="I114" s="120"/>
      <c r="J114" s="120"/>
      <c r="M114" s="120"/>
      <c r="N114" s="120"/>
      <c r="O114" s="120"/>
      <c r="P114" s="120"/>
      <c r="Q114" s="120"/>
      <c r="R114" s="120"/>
      <c r="S114" s="241"/>
      <c r="T114" s="275"/>
      <c r="U114" s="277"/>
      <c r="V114" s="275"/>
      <c r="W114" s="340"/>
      <c r="X114" s="340"/>
      <c r="Y114" s="340"/>
      <c r="Z114" s="277"/>
      <c r="AA114" s="277"/>
      <c r="AB114" s="275"/>
      <c r="AC114" s="275"/>
      <c r="AD114" s="201"/>
      <c r="AE114" s="184">
        <v>68.300000000000097</v>
      </c>
      <c r="AF114" s="185">
        <v>0.89</v>
      </c>
      <c r="AG114" s="37"/>
      <c r="AH114" s="37"/>
      <c r="AI114" s="37"/>
      <c r="AJ114" s="178"/>
      <c r="AK114" s="178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9"/>
      <c r="BB114" s="39"/>
      <c r="BC114" s="39"/>
      <c r="BD114" s="39"/>
    </row>
    <row r="115" spans="1:56" s="15" customFormat="1" ht="15" customHeight="1" thickTop="1" x14ac:dyDescent="0.3">
      <c r="A115" s="120"/>
      <c r="B115" s="120"/>
      <c r="C115" s="120"/>
      <c r="D115" s="120"/>
      <c r="G115" s="120"/>
      <c r="H115" s="120"/>
      <c r="I115" s="120"/>
      <c r="J115" s="120"/>
      <c r="M115" s="120"/>
      <c r="N115" s="120"/>
      <c r="O115" s="120"/>
      <c r="P115" s="120"/>
      <c r="Q115" s="120"/>
      <c r="R115" s="120"/>
      <c r="S115" s="242"/>
      <c r="T115" s="275"/>
      <c r="U115" s="277"/>
      <c r="V115" s="275"/>
      <c r="W115" s="340"/>
      <c r="X115" s="340"/>
      <c r="Y115" s="340"/>
      <c r="Z115" s="277"/>
      <c r="AA115" s="277"/>
      <c r="AB115" s="275"/>
      <c r="AC115" s="275"/>
      <c r="AD115" s="201"/>
      <c r="AG115" s="37"/>
      <c r="AH115" s="37"/>
      <c r="AI115" s="37"/>
      <c r="AJ115" s="178"/>
      <c r="AK115" s="178"/>
      <c r="AL115" s="46"/>
      <c r="AM115" s="34"/>
      <c r="AN115" s="34"/>
      <c r="AO115" s="34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39"/>
      <c r="BB115" s="39"/>
      <c r="BC115" s="39"/>
      <c r="BD115" s="39"/>
    </row>
    <row r="116" spans="1:56" s="15" customFormat="1" ht="20.149999999999999" customHeight="1" x14ac:dyDescent="0.3">
      <c r="A116" s="120"/>
      <c r="B116" s="120"/>
      <c r="C116" s="120"/>
      <c r="D116" s="120"/>
      <c r="G116" s="120"/>
      <c r="H116" s="120"/>
      <c r="I116" s="120"/>
      <c r="J116" s="120"/>
      <c r="M116" s="120"/>
      <c r="N116" s="120"/>
      <c r="O116" s="120"/>
      <c r="P116" s="120"/>
      <c r="Q116" s="120"/>
      <c r="R116" s="120"/>
      <c r="S116" s="341"/>
      <c r="T116" s="275"/>
      <c r="U116" s="277"/>
      <c r="V116" s="275"/>
      <c r="W116" s="340"/>
      <c r="X116" s="340"/>
      <c r="Y116" s="340"/>
      <c r="Z116" s="277"/>
      <c r="AA116" s="277"/>
      <c r="AB116" s="275"/>
      <c r="AC116" s="275"/>
      <c r="AD116" s="201"/>
      <c r="AG116" s="37"/>
      <c r="AH116" s="37"/>
      <c r="AI116" s="178"/>
      <c r="AJ116" s="178"/>
      <c r="AK116" s="178"/>
      <c r="AL116" s="46"/>
      <c r="AM116" s="34"/>
      <c r="AN116" s="34"/>
      <c r="AO116" s="34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39"/>
      <c r="BB116" s="39"/>
      <c r="BC116" s="39"/>
      <c r="BD116" s="39"/>
    </row>
    <row r="117" spans="1:56" s="15" customFormat="1" ht="15" customHeight="1" x14ac:dyDescent="0.3">
      <c r="A117" s="120"/>
      <c r="B117" s="120"/>
      <c r="C117" s="120"/>
      <c r="D117" s="120"/>
      <c r="G117" s="120"/>
      <c r="H117" s="120"/>
      <c r="I117" s="120"/>
      <c r="J117" s="120"/>
      <c r="M117" s="120"/>
      <c r="N117" s="120"/>
      <c r="O117" s="120"/>
      <c r="P117" s="120"/>
      <c r="Q117" s="120"/>
      <c r="R117" s="120"/>
      <c r="S117" s="1755"/>
      <c r="T117" s="1755"/>
      <c r="U117" s="1756"/>
      <c r="V117" s="1756"/>
      <c r="W117" s="340"/>
      <c r="X117" s="340"/>
      <c r="Y117" s="340"/>
      <c r="Z117" s="277"/>
      <c r="AA117" s="277"/>
      <c r="AB117" s="275"/>
      <c r="AC117" s="275"/>
      <c r="AD117" s="201"/>
      <c r="AG117" s="37"/>
      <c r="AH117" s="37"/>
      <c r="AI117" s="178"/>
      <c r="AJ117" s="178"/>
      <c r="AK117" s="178"/>
      <c r="AL117" s="46"/>
      <c r="AM117" s="34"/>
      <c r="AN117" s="34"/>
      <c r="AO117" s="39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39"/>
      <c r="BB117" s="39"/>
      <c r="BC117" s="39"/>
      <c r="BD117" s="39"/>
    </row>
    <row r="118" spans="1:56" s="15" customFormat="1" ht="15" customHeight="1" x14ac:dyDescent="0.3">
      <c r="A118" s="120"/>
      <c r="B118" s="120"/>
      <c r="C118" s="120"/>
      <c r="D118" s="120"/>
      <c r="G118" s="120"/>
      <c r="H118" s="120"/>
      <c r="I118" s="120"/>
      <c r="J118" s="120"/>
      <c r="M118" s="120"/>
      <c r="N118" s="120"/>
      <c r="O118" s="120"/>
      <c r="P118" s="120"/>
      <c r="Q118" s="120"/>
      <c r="R118" s="120"/>
      <c r="S118" s="523"/>
      <c r="T118" s="275"/>
      <c r="U118" s="1756"/>
      <c r="V118" s="1756"/>
      <c r="W118" s="340"/>
      <c r="X118" s="340"/>
      <c r="Y118" s="340"/>
      <c r="Z118" s="277"/>
      <c r="AA118" s="277"/>
      <c r="AB118" s="275"/>
      <c r="AC118" s="275"/>
      <c r="AD118" s="201"/>
      <c r="AG118" s="37"/>
      <c r="AH118" s="37"/>
      <c r="AI118" s="178"/>
      <c r="AJ118" s="34"/>
      <c r="AK118" s="34"/>
      <c r="AL118" s="34"/>
      <c r="AM118" s="39"/>
      <c r="AN118" s="39"/>
      <c r="AO118" s="39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39"/>
      <c r="BB118" s="39"/>
      <c r="BC118" s="39"/>
      <c r="BD118" s="39"/>
    </row>
    <row r="119" spans="1:56" s="15" customFormat="1" ht="15" customHeight="1" x14ac:dyDescent="0.3">
      <c r="A119" s="120"/>
      <c r="B119" s="120"/>
      <c r="C119" s="120"/>
      <c r="D119" s="120"/>
      <c r="G119" s="120"/>
      <c r="H119" s="120"/>
      <c r="I119" s="120"/>
      <c r="J119" s="120"/>
      <c r="M119" s="120"/>
      <c r="N119" s="120"/>
      <c r="O119" s="120"/>
      <c r="P119" s="120"/>
      <c r="Q119" s="120"/>
      <c r="R119" s="120"/>
      <c r="S119" s="523"/>
      <c r="T119" s="275"/>
      <c r="U119" s="277"/>
      <c r="V119" s="275"/>
      <c r="W119" s="340"/>
      <c r="X119" s="340"/>
      <c r="Y119" s="340"/>
      <c r="Z119" s="277"/>
      <c r="AA119" s="277"/>
      <c r="AB119" s="275"/>
      <c r="AC119" s="275"/>
      <c r="AD119" s="201"/>
      <c r="AG119" s="37"/>
      <c r="AH119" s="37"/>
      <c r="AI119" s="178"/>
      <c r="AJ119" s="34"/>
      <c r="AK119" s="34"/>
      <c r="AL119" s="34"/>
      <c r="AM119" s="39"/>
      <c r="AN119" s="39"/>
      <c r="AO119" s="39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39"/>
      <c r="BB119" s="39"/>
      <c r="BC119" s="39"/>
      <c r="BD119" s="39"/>
    </row>
    <row r="120" spans="1:56" s="15" customFormat="1" ht="15" customHeight="1" x14ac:dyDescent="0.3">
      <c r="A120" s="120"/>
      <c r="B120" s="120"/>
      <c r="C120" s="120"/>
      <c r="D120" s="120"/>
      <c r="G120" s="120"/>
      <c r="H120" s="120"/>
      <c r="I120" s="120"/>
      <c r="J120" s="120"/>
      <c r="M120" s="120"/>
      <c r="N120" s="120"/>
      <c r="O120" s="120"/>
      <c r="P120" s="120"/>
      <c r="Q120" s="120"/>
      <c r="R120" s="120"/>
      <c r="S120" s="1752"/>
      <c r="T120" s="1752"/>
      <c r="U120" s="1752"/>
      <c r="V120" s="1752"/>
      <c r="W120" s="340"/>
      <c r="X120" s="340"/>
      <c r="Y120" s="340"/>
      <c r="Z120" s="277"/>
      <c r="AA120" s="277"/>
      <c r="AB120" s="275"/>
      <c r="AC120" s="275"/>
      <c r="AD120" s="201"/>
      <c r="AG120" s="37"/>
      <c r="AH120" s="37"/>
      <c r="AI120" s="178"/>
      <c r="AJ120" s="39"/>
      <c r="AK120" s="39"/>
      <c r="AL120" s="39"/>
      <c r="AM120" s="39"/>
      <c r="AN120" s="39"/>
      <c r="AO120" s="39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39"/>
      <c r="BB120" s="39"/>
      <c r="BC120" s="39"/>
      <c r="BD120" s="39"/>
    </row>
    <row r="121" spans="1:56" s="15" customFormat="1" ht="20.149999999999999" customHeight="1" x14ac:dyDescent="0.3">
      <c r="A121" s="120"/>
      <c r="B121" s="120"/>
      <c r="C121" s="120"/>
      <c r="D121" s="120"/>
      <c r="G121" s="120"/>
      <c r="H121" s="120"/>
      <c r="I121" s="120"/>
      <c r="J121" s="120"/>
      <c r="M121" s="120"/>
      <c r="N121" s="120"/>
      <c r="O121" s="120"/>
      <c r="P121" s="120"/>
      <c r="Q121" s="120"/>
      <c r="R121" s="120"/>
      <c r="S121" s="1752"/>
      <c r="T121" s="1752"/>
      <c r="U121" s="1752"/>
      <c r="V121" s="1752"/>
      <c r="W121" s="340"/>
      <c r="X121" s="340"/>
      <c r="Y121" s="340"/>
      <c r="Z121" s="277"/>
      <c r="AA121" s="277"/>
      <c r="AB121" s="275"/>
      <c r="AC121" s="275"/>
      <c r="AD121" s="201"/>
      <c r="AG121" s="34"/>
      <c r="AH121" s="34"/>
      <c r="AI121" s="34"/>
      <c r="AJ121" s="39"/>
      <c r="AK121" s="39"/>
      <c r="AL121" s="39"/>
      <c r="AM121" s="39"/>
      <c r="AN121" s="39"/>
      <c r="AO121" s="39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9"/>
      <c r="BB121" s="39"/>
      <c r="BC121" s="39"/>
      <c r="BD121" s="39"/>
    </row>
    <row r="122" spans="1:56" s="15" customFormat="1" ht="20.149999999999999" customHeight="1" x14ac:dyDescent="0.3">
      <c r="A122" s="120"/>
      <c r="B122" s="120"/>
      <c r="C122" s="120"/>
      <c r="D122" s="120"/>
      <c r="G122" s="120"/>
      <c r="H122" s="120"/>
      <c r="I122" s="120"/>
      <c r="J122" s="120"/>
      <c r="M122" s="120"/>
      <c r="N122" s="120"/>
      <c r="O122" s="120"/>
      <c r="P122" s="120"/>
      <c r="Q122" s="120"/>
      <c r="R122" s="120"/>
      <c r="S122" s="2"/>
      <c r="T122" s="179"/>
      <c r="U122" s="1753"/>
      <c r="V122" s="1753"/>
      <c r="Z122" s="88"/>
      <c r="AA122" s="88"/>
      <c r="AB122" s="2"/>
      <c r="AC122" s="2"/>
      <c r="AD122" s="201"/>
      <c r="AG122" s="34"/>
      <c r="AH122" s="34"/>
      <c r="AI122" s="34"/>
      <c r="AJ122" s="39"/>
      <c r="AK122" s="39"/>
      <c r="AL122" s="39"/>
      <c r="AM122" s="39"/>
      <c r="AN122" s="39"/>
      <c r="AO122" s="39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9"/>
      <c r="BB122" s="39"/>
      <c r="BC122" s="39"/>
      <c r="BD122" s="39"/>
    </row>
    <row r="123" spans="1:56" s="15" customFormat="1" ht="21" customHeight="1" x14ac:dyDescent="0.3">
      <c r="A123" s="120"/>
      <c r="B123" s="120"/>
      <c r="C123" s="120"/>
      <c r="D123" s="120"/>
      <c r="G123" s="120"/>
      <c r="H123" s="120"/>
      <c r="I123" s="120"/>
      <c r="J123" s="120"/>
      <c r="M123" s="120"/>
      <c r="N123" s="120"/>
      <c r="O123" s="120"/>
      <c r="P123" s="120"/>
      <c r="Q123" s="120"/>
      <c r="R123" s="120"/>
      <c r="S123" s="224"/>
      <c r="T123" s="2"/>
      <c r="U123" s="86"/>
      <c r="V123" s="87"/>
      <c r="Z123" s="88"/>
      <c r="AA123" s="88"/>
      <c r="AB123" s="42"/>
      <c r="AC123" s="42"/>
      <c r="AD123" s="201"/>
      <c r="AG123" s="39"/>
      <c r="AH123" s="39"/>
      <c r="AI123" s="39"/>
      <c r="AJ123" s="39"/>
      <c r="AK123" s="39"/>
      <c r="AL123" s="39"/>
      <c r="AM123" s="39"/>
      <c r="AN123" s="39"/>
      <c r="AO123" s="39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9"/>
      <c r="BB123" s="39"/>
      <c r="BC123" s="39"/>
      <c r="BD123" s="39"/>
    </row>
    <row r="124" spans="1:56" s="15" customFormat="1" ht="15" customHeight="1" x14ac:dyDescent="0.3">
      <c r="A124" s="120"/>
      <c r="B124" s="120"/>
      <c r="C124" s="120"/>
      <c r="D124" s="120"/>
      <c r="G124" s="120"/>
      <c r="H124" s="120"/>
      <c r="I124" s="120"/>
      <c r="J124" s="120"/>
      <c r="M124" s="120"/>
      <c r="N124" s="120"/>
      <c r="O124" s="120"/>
      <c r="P124" s="120"/>
      <c r="Q124" s="120"/>
      <c r="R124" s="120"/>
      <c r="S124" s="225"/>
      <c r="T124" s="2"/>
      <c r="U124" s="86"/>
      <c r="V124" s="87"/>
      <c r="Z124" s="88"/>
      <c r="AA124" s="88"/>
      <c r="AB124" s="42"/>
      <c r="AC124" s="42"/>
      <c r="AD124" s="201"/>
      <c r="AG124" s="39"/>
      <c r="AH124" s="39"/>
      <c r="AI124" s="39"/>
      <c r="AJ124" s="39"/>
      <c r="AK124" s="39"/>
      <c r="AL124" s="39"/>
      <c r="AM124" s="39"/>
      <c r="AN124" s="39"/>
      <c r="AO124" s="39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9"/>
      <c r="BB124" s="39"/>
      <c r="BC124" s="39"/>
      <c r="BD124" s="39"/>
    </row>
    <row r="125" spans="1:56" s="15" customFormat="1" ht="15" customHeight="1" x14ac:dyDescent="0.3">
      <c r="A125" s="120"/>
      <c r="B125" s="120"/>
      <c r="C125" s="120"/>
      <c r="D125" s="120"/>
      <c r="G125" s="120"/>
      <c r="H125" s="120"/>
      <c r="I125" s="120"/>
      <c r="J125" s="120"/>
      <c r="M125" s="120"/>
      <c r="N125" s="120"/>
      <c r="O125" s="120"/>
      <c r="P125" s="120"/>
      <c r="Q125" s="120"/>
      <c r="R125" s="120"/>
      <c r="S125" s="226"/>
      <c r="T125" s="2"/>
      <c r="U125" s="86"/>
      <c r="V125" s="87"/>
      <c r="Z125" s="88"/>
      <c r="AA125" s="88"/>
      <c r="AB125" s="42"/>
      <c r="AC125" s="42"/>
      <c r="AD125" s="201"/>
      <c r="AG125" s="39"/>
      <c r="AH125" s="39"/>
      <c r="AI125" s="39"/>
      <c r="AJ125" s="39"/>
      <c r="AK125" s="39"/>
      <c r="AL125" s="39"/>
      <c r="AM125" s="39"/>
      <c r="AN125" s="39"/>
      <c r="AO125" s="39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9"/>
      <c r="BB125" s="39"/>
      <c r="BC125" s="39"/>
      <c r="BD125" s="39"/>
    </row>
    <row r="126" spans="1:56" s="15" customFormat="1" ht="14.15" customHeight="1" x14ac:dyDescent="0.3">
      <c r="A126" s="120"/>
      <c r="B126" s="120"/>
      <c r="C126" s="120"/>
      <c r="D126" s="120"/>
      <c r="E126" s="16"/>
      <c r="F126" s="16"/>
      <c r="G126" s="120"/>
      <c r="H126" s="120"/>
      <c r="I126" s="120"/>
      <c r="J126" s="120"/>
      <c r="K126" s="16"/>
      <c r="L126" s="16"/>
      <c r="M126" s="120"/>
      <c r="N126" s="120"/>
      <c r="O126" s="120"/>
      <c r="P126" s="120"/>
      <c r="Q126" s="120"/>
      <c r="R126" s="120"/>
      <c r="S126" s="79"/>
      <c r="T126" s="2"/>
      <c r="U126" s="86"/>
      <c r="V126" s="87"/>
      <c r="Z126" s="88"/>
      <c r="AA126" s="88"/>
      <c r="AB126" s="42"/>
      <c r="AC126" s="42"/>
      <c r="AD126" s="201"/>
      <c r="AG126" s="526"/>
      <c r="AH126" s="526"/>
      <c r="AI126" s="526"/>
      <c r="AJ126" s="39"/>
      <c r="AK126" s="39"/>
      <c r="AL126" s="39"/>
      <c r="AM126" s="39"/>
      <c r="AN126" s="39"/>
      <c r="AO126" s="39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9"/>
      <c r="BB126" s="39"/>
      <c r="BC126" s="39"/>
      <c r="BD126" s="39"/>
    </row>
    <row r="127" spans="1:56" s="15" customFormat="1" ht="14.15" customHeight="1" x14ac:dyDescent="0.3">
      <c r="A127" s="120"/>
      <c r="B127" s="120"/>
      <c r="C127" s="120"/>
      <c r="D127" s="120"/>
      <c r="E127" s="16"/>
      <c r="F127" s="16"/>
      <c r="G127" s="120"/>
      <c r="H127" s="120"/>
      <c r="I127" s="120"/>
      <c r="J127" s="120"/>
      <c r="K127" s="16"/>
      <c r="L127" s="16"/>
      <c r="M127" s="120"/>
      <c r="N127" s="120"/>
      <c r="O127" s="120"/>
      <c r="P127" s="120"/>
      <c r="Q127" s="120"/>
      <c r="R127" s="120"/>
      <c r="S127" s="80"/>
      <c r="T127" s="2"/>
      <c r="U127" s="86"/>
      <c r="V127" s="87"/>
      <c r="Z127" s="88"/>
      <c r="AA127" s="88"/>
      <c r="AB127" s="42"/>
      <c r="AC127" s="42"/>
      <c r="AD127" s="201"/>
      <c r="AG127" s="525"/>
      <c r="AH127" s="525"/>
      <c r="AI127" s="525"/>
      <c r="AJ127" s="39"/>
      <c r="AK127" s="39"/>
      <c r="AL127" s="39"/>
      <c r="AM127" s="39"/>
      <c r="AN127" s="39"/>
      <c r="AO127" s="39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9"/>
      <c r="BB127" s="39"/>
      <c r="BC127" s="39"/>
      <c r="BD127" s="39"/>
    </row>
    <row r="128" spans="1:56" s="15" customFormat="1" ht="14.15" customHeight="1" x14ac:dyDescent="0.3">
      <c r="A128" s="120"/>
      <c r="B128" s="120"/>
      <c r="C128" s="120"/>
      <c r="D128" s="120"/>
      <c r="E128" s="16"/>
      <c r="F128" s="16"/>
      <c r="G128" s="120"/>
      <c r="H128" s="120"/>
      <c r="I128" s="120"/>
      <c r="J128" s="120"/>
      <c r="K128" s="16"/>
      <c r="L128" s="16"/>
      <c r="M128" s="120"/>
      <c r="N128" s="120"/>
      <c r="O128" s="120"/>
      <c r="P128" s="120"/>
      <c r="Q128" s="120"/>
      <c r="R128" s="120"/>
      <c r="S128" s="227"/>
      <c r="T128" s="2"/>
      <c r="U128" s="86"/>
      <c r="V128" s="87"/>
      <c r="Z128" s="88"/>
      <c r="AA128" s="88"/>
      <c r="AB128" s="42"/>
      <c r="AC128" s="42"/>
      <c r="AD128" s="201"/>
      <c r="AG128" s="191"/>
      <c r="AH128" s="191"/>
      <c r="AI128" s="191"/>
      <c r="AJ128" s="39"/>
      <c r="AK128" s="39"/>
      <c r="AL128" s="39"/>
      <c r="AM128" s="39"/>
      <c r="AN128" s="39"/>
      <c r="AO128" s="39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9"/>
      <c r="BB128" s="39"/>
      <c r="BC128" s="39"/>
      <c r="BD128" s="39"/>
    </row>
    <row r="129" spans="1:56" s="15" customFormat="1" ht="14.15" customHeight="1" x14ac:dyDescent="0.3">
      <c r="A129" s="120"/>
      <c r="B129" s="120"/>
      <c r="C129" s="120"/>
      <c r="D129" s="120"/>
      <c r="E129" s="16"/>
      <c r="F129" s="16"/>
      <c r="G129" s="120"/>
      <c r="H129" s="120"/>
      <c r="I129" s="120"/>
      <c r="J129" s="120"/>
      <c r="K129" s="16"/>
      <c r="L129" s="16"/>
      <c r="M129" s="120"/>
      <c r="N129" s="120"/>
      <c r="O129" s="120"/>
      <c r="P129" s="120"/>
      <c r="Q129" s="120"/>
      <c r="R129" s="120"/>
      <c r="S129" s="227"/>
      <c r="T129" s="170"/>
      <c r="U129" s="39"/>
      <c r="V129" s="39"/>
      <c r="Z129" s="88"/>
      <c r="AA129" s="88"/>
      <c r="AB129" s="42"/>
      <c r="AC129" s="42"/>
      <c r="AD129" s="110"/>
      <c r="AE129" s="16"/>
      <c r="AF129" s="16"/>
      <c r="AG129" s="525"/>
      <c r="AH129" s="188"/>
      <c r="AI129" s="525"/>
      <c r="AJ129" s="39"/>
      <c r="AK129" s="39"/>
      <c r="AL129" s="39"/>
      <c r="AM129" s="39"/>
      <c r="AN129" s="39"/>
      <c r="AO129" s="39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9"/>
      <c r="BB129" s="39"/>
      <c r="BC129" s="39"/>
      <c r="BD129" s="39"/>
    </row>
    <row r="130" spans="1:56" s="15" customFormat="1" ht="15" customHeight="1" x14ac:dyDescent="0.3">
      <c r="A130" s="120"/>
      <c r="B130" s="120"/>
      <c r="C130" s="120"/>
      <c r="D130" s="120"/>
      <c r="E130" s="16"/>
      <c r="F130" s="16"/>
      <c r="G130" s="120"/>
      <c r="H130" s="120"/>
      <c r="I130" s="120"/>
      <c r="J130" s="120"/>
      <c r="K130" s="16"/>
      <c r="L130" s="16"/>
      <c r="M130" s="120"/>
      <c r="N130" s="120"/>
      <c r="O130" s="120"/>
      <c r="P130" s="120"/>
      <c r="Q130" s="120"/>
      <c r="R130" s="120"/>
      <c r="S130" s="227"/>
      <c r="T130" s="2"/>
      <c r="U130" s="86"/>
      <c r="V130" s="87"/>
      <c r="Z130" s="88"/>
      <c r="AA130" s="88"/>
      <c r="AB130" s="39"/>
      <c r="AC130" s="39"/>
      <c r="AD130" s="110"/>
      <c r="AE130" s="16"/>
      <c r="AF130" s="16"/>
      <c r="AG130" s="166"/>
      <c r="AH130" s="192"/>
      <c r="AI130" s="192"/>
      <c r="AJ130" s="39"/>
      <c r="AK130" s="39"/>
      <c r="AL130" s="39"/>
      <c r="AM130" s="39"/>
      <c r="AN130" s="39"/>
      <c r="AO130" s="39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9"/>
      <c r="BB130" s="39"/>
      <c r="BC130" s="39"/>
      <c r="BD130" s="39"/>
    </row>
    <row r="131" spans="1:56" s="16" customFormat="1" ht="15" customHeight="1" x14ac:dyDescent="0.3">
      <c r="A131" s="120"/>
      <c r="B131" s="120"/>
      <c r="C131" s="120"/>
      <c r="D131" s="120"/>
      <c r="G131" s="120"/>
      <c r="H131" s="120"/>
      <c r="I131" s="120"/>
      <c r="J131" s="120"/>
      <c r="M131" s="120"/>
      <c r="N131" s="120"/>
      <c r="O131" s="120"/>
      <c r="P131" s="120"/>
      <c r="Q131" s="120"/>
      <c r="R131" s="120"/>
      <c r="S131" s="630"/>
      <c r="T131" s="42"/>
      <c r="U131" s="148"/>
      <c r="V131" s="144"/>
      <c r="Z131" s="88"/>
      <c r="AA131" s="88"/>
      <c r="AB131" s="34"/>
      <c r="AC131" s="34"/>
      <c r="AD131" s="174"/>
      <c r="AG131" s="188"/>
      <c r="AH131" s="192"/>
      <c r="AI131" s="192"/>
      <c r="AJ131" s="39"/>
      <c r="AK131" s="39"/>
      <c r="AL131" s="39"/>
      <c r="AM131" s="39"/>
      <c r="AN131" s="39"/>
      <c r="AO131" s="84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</row>
    <row r="132" spans="1:56" s="16" customFormat="1" ht="15" customHeight="1" x14ac:dyDescent="0.3">
      <c r="A132" s="120"/>
      <c r="B132" s="120"/>
      <c r="C132" s="120"/>
      <c r="D132" s="120"/>
      <c r="G132" s="120"/>
      <c r="H132" s="120"/>
      <c r="I132" s="120"/>
      <c r="J132" s="120"/>
      <c r="M132" s="120"/>
      <c r="N132" s="120"/>
      <c r="O132" s="120"/>
      <c r="P132" s="120"/>
      <c r="Q132" s="120"/>
      <c r="R132" s="120"/>
      <c r="S132" s="48"/>
      <c r="T132" s="42"/>
      <c r="U132" s="41"/>
      <c r="V132" s="41"/>
      <c r="Z132" s="88"/>
      <c r="AA132" s="88"/>
      <c r="AB132" s="34"/>
      <c r="AC132" s="34"/>
      <c r="AD132" s="40"/>
      <c r="AG132" s="188"/>
      <c r="AH132" s="192"/>
      <c r="AI132" s="525"/>
      <c r="AJ132" s="39"/>
      <c r="AK132" s="39"/>
      <c r="AL132" s="39"/>
      <c r="AM132" s="85"/>
      <c r="AN132" s="85"/>
      <c r="AO132" s="84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</row>
    <row r="133" spans="1:56" s="16" customFormat="1" ht="15" customHeight="1" x14ac:dyDescent="0.3">
      <c r="A133" s="120"/>
      <c r="B133" s="120"/>
      <c r="C133" s="120"/>
      <c r="D133" s="120"/>
      <c r="G133" s="120"/>
      <c r="H133" s="120"/>
      <c r="I133" s="120"/>
      <c r="J133" s="120"/>
      <c r="M133" s="120"/>
      <c r="N133" s="120"/>
      <c r="O133" s="120"/>
      <c r="P133" s="120"/>
      <c r="Q133" s="120"/>
      <c r="R133" s="120"/>
      <c r="Z133" s="88"/>
      <c r="AA133" s="88"/>
      <c r="AB133" s="34"/>
      <c r="AC133" s="34"/>
      <c r="AD133" s="40"/>
      <c r="AG133" s="229"/>
      <c r="AH133" s="229"/>
      <c r="AI133" s="229"/>
      <c r="AJ133" s="39"/>
      <c r="AK133" s="39"/>
      <c r="AL133" s="39"/>
      <c r="AM133" s="85"/>
      <c r="AN133" s="85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</row>
    <row r="134" spans="1:56" s="16" customFormat="1" ht="15.75" customHeight="1" x14ac:dyDescent="0.3">
      <c r="A134" s="120"/>
      <c r="B134" s="120"/>
      <c r="C134" s="120"/>
      <c r="D134" s="120"/>
      <c r="G134" s="120"/>
      <c r="H134" s="120"/>
      <c r="I134" s="120"/>
      <c r="J134" s="120"/>
      <c r="M134" s="120"/>
      <c r="N134" s="120"/>
      <c r="O134" s="120"/>
      <c r="P134" s="120"/>
      <c r="Q134" s="120"/>
      <c r="R134" s="120"/>
      <c r="Z134" s="228"/>
      <c r="AA134" s="228"/>
      <c r="AB134" s="34"/>
      <c r="AC134" s="34"/>
      <c r="AD134" s="174"/>
      <c r="AG134" s="229"/>
      <c r="AH134" s="229"/>
      <c r="AI134" s="229"/>
      <c r="AJ134" s="39"/>
      <c r="AK134" s="85"/>
      <c r="AL134" s="85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</row>
    <row r="135" spans="1:56" s="16" customFormat="1" ht="15" customHeight="1" x14ac:dyDescent="0.3">
      <c r="A135" s="120"/>
      <c r="B135" s="120"/>
      <c r="C135" s="120"/>
      <c r="D135" s="120"/>
      <c r="G135" s="120"/>
      <c r="H135" s="120"/>
      <c r="I135" s="120"/>
      <c r="J135" s="120"/>
      <c r="M135" s="120"/>
      <c r="N135" s="120"/>
      <c r="O135" s="120"/>
      <c r="P135" s="120"/>
      <c r="Q135" s="120"/>
      <c r="R135" s="120"/>
      <c r="Z135" s="228"/>
      <c r="AA135" s="228"/>
      <c r="AB135" s="34"/>
      <c r="AC135" s="34"/>
      <c r="AD135" s="174"/>
      <c r="AG135" s="230"/>
      <c r="AH135" s="230"/>
      <c r="AI135" s="230"/>
      <c r="AJ135" s="39"/>
      <c r="AK135" s="85"/>
      <c r="AL135" s="85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</row>
    <row r="136" spans="1:56" s="16" customFormat="1" ht="15" customHeight="1" x14ac:dyDescent="0.3">
      <c r="A136" s="120"/>
      <c r="B136" s="120"/>
      <c r="C136" s="120"/>
      <c r="D136" s="120"/>
      <c r="G136" s="120"/>
      <c r="H136" s="120"/>
      <c r="I136" s="120"/>
      <c r="J136" s="120"/>
      <c r="M136" s="120"/>
      <c r="N136" s="120"/>
      <c r="O136" s="120"/>
      <c r="P136" s="120"/>
      <c r="Q136" s="120"/>
      <c r="R136" s="120"/>
      <c r="Z136" s="228"/>
      <c r="AA136" s="228"/>
      <c r="AB136" s="34"/>
      <c r="AC136" s="34"/>
      <c r="AD136" s="174"/>
      <c r="AG136" s="230"/>
      <c r="AH136" s="194"/>
      <c r="AI136" s="194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</row>
    <row r="137" spans="1:56" s="16" customFormat="1" ht="15" customHeight="1" x14ac:dyDescent="0.3">
      <c r="A137" s="120"/>
      <c r="B137" s="120"/>
      <c r="C137" s="120"/>
      <c r="D137" s="120"/>
      <c r="E137" s="15"/>
      <c r="F137" s="15"/>
      <c r="G137" s="120"/>
      <c r="H137" s="120"/>
      <c r="I137" s="120"/>
      <c r="J137" s="120"/>
      <c r="K137" s="15"/>
      <c r="L137" s="15"/>
      <c r="M137" s="120"/>
      <c r="N137" s="120"/>
      <c r="O137" s="120"/>
      <c r="P137" s="120"/>
      <c r="Q137" s="120"/>
      <c r="R137" s="120"/>
      <c r="S137" s="48"/>
      <c r="T137" s="42"/>
      <c r="U137" s="148"/>
      <c r="V137" s="89"/>
      <c r="Z137" s="228"/>
      <c r="AA137" s="228"/>
      <c r="AB137" s="34"/>
      <c r="AC137" s="34"/>
      <c r="AD137" s="174"/>
      <c r="AG137" s="195"/>
      <c r="AH137" s="196"/>
      <c r="AI137" s="197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</row>
    <row r="138" spans="1:56" s="16" customFormat="1" ht="15" customHeight="1" x14ac:dyDescent="0.3">
      <c r="A138" s="120"/>
      <c r="B138" s="120"/>
      <c r="C138" s="120"/>
      <c r="D138" s="120"/>
      <c r="E138" s="15"/>
      <c r="F138" s="15"/>
      <c r="G138" s="120"/>
      <c r="H138" s="120"/>
      <c r="I138" s="120"/>
      <c r="J138" s="120"/>
      <c r="K138" s="15"/>
      <c r="L138" s="15"/>
      <c r="M138" s="120"/>
      <c r="N138" s="120"/>
      <c r="O138" s="120"/>
      <c r="P138" s="120"/>
      <c r="Q138" s="120"/>
      <c r="R138" s="120"/>
      <c r="S138" s="224"/>
      <c r="T138" s="42"/>
      <c r="U138" s="148"/>
      <c r="V138" s="89"/>
      <c r="Z138" s="228"/>
      <c r="AA138" s="228"/>
      <c r="AB138" s="34"/>
      <c r="AC138" s="34"/>
      <c r="AD138" s="174"/>
      <c r="AG138" s="195"/>
      <c r="AH138" s="196"/>
      <c r="AI138" s="197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</row>
    <row r="139" spans="1:56" s="16" customFormat="1" ht="15" customHeight="1" x14ac:dyDescent="0.3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81"/>
      <c r="T139" s="41"/>
      <c r="U139" s="42"/>
      <c r="V139" s="89"/>
      <c r="Z139" s="144"/>
      <c r="AA139" s="144"/>
      <c r="AB139" s="34"/>
      <c r="AC139" s="34"/>
      <c r="AD139" s="174"/>
      <c r="AG139" s="198"/>
      <c r="AH139" s="198"/>
      <c r="AI139" s="198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</row>
    <row r="140" spans="1:56" s="16" customFormat="1" ht="15" customHeight="1" x14ac:dyDescent="0.3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81"/>
      <c r="T140" s="41"/>
      <c r="U140" s="42"/>
      <c r="V140" s="89"/>
      <c r="Z140" s="144"/>
      <c r="AA140" s="144"/>
      <c r="AB140" s="34"/>
      <c r="AC140" s="34"/>
      <c r="AD140" s="174"/>
      <c r="AE140" s="15"/>
      <c r="AF140" s="15"/>
      <c r="AG140" s="231"/>
      <c r="AH140" s="188"/>
      <c r="AI140" s="525"/>
      <c r="AJ140" s="39"/>
      <c r="AK140" s="39"/>
      <c r="AL140" s="39"/>
      <c r="AM140" s="39"/>
      <c r="AN140" s="39"/>
      <c r="AO140" s="19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</row>
    <row r="141" spans="1:56" s="16" customFormat="1" ht="15" customHeight="1" x14ac:dyDescent="0.3">
      <c r="A141" s="120"/>
      <c r="B141" s="120"/>
      <c r="C141" s="120"/>
      <c r="D141" s="120"/>
      <c r="E141" s="120"/>
      <c r="F141" s="120"/>
      <c r="G141" s="120"/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81"/>
      <c r="T141" s="41"/>
      <c r="U141" s="42"/>
      <c r="V141" s="89"/>
      <c r="Z141" s="144"/>
      <c r="AA141" s="144"/>
      <c r="AB141" s="34"/>
      <c r="AC141" s="34"/>
      <c r="AD141" s="174"/>
      <c r="AE141" s="15"/>
      <c r="AF141" s="15"/>
      <c r="AG141" s="167"/>
      <c r="AH141" s="167"/>
      <c r="AI141" s="167"/>
      <c r="AJ141" s="39"/>
      <c r="AK141" s="39"/>
      <c r="AL141" s="39"/>
      <c r="AM141" s="199"/>
      <c r="AN141" s="199"/>
      <c r="AO141" s="201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</row>
    <row r="142" spans="1:56" s="15" customFormat="1" ht="15" customHeight="1" x14ac:dyDescent="0.3">
      <c r="A142" s="120"/>
      <c r="B142" s="120"/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81"/>
      <c r="T142" s="41"/>
      <c r="U142" s="42"/>
      <c r="V142" s="89"/>
      <c r="Z142" s="42"/>
      <c r="AA142" s="42"/>
      <c r="AB142" s="34"/>
      <c r="AC142" s="34"/>
      <c r="AD142" s="34"/>
      <c r="AE142" s="120"/>
      <c r="AF142" s="120"/>
      <c r="AG142" s="203"/>
      <c r="AH142" s="167"/>
      <c r="AI142" s="167"/>
      <c r="AJ142" s="39"/>
      <c r="AK142" s="39"/>
      <c r="AL142" s="39"/>
      <c r="AM142" s="201"/>
      <c r="AN142" s="201"/>
      <c r="AO142" s="204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</row>
    <row r="143" spans="1:56" s="15" customFormat="1" ht="15" customHeight="1" x14ac:dyDescent="0.3">
      <c r="A143" s="120"/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81"/>
      <c r="T143" s="41"/>
      <c r="U143" s="42"/>
      <c r="V143" s="89"/>
      <c r="Z143" s="42"/>
      <c r="AA143" s="42"/>
      <c r="AB143" s="34"/>
      <c r="AC143" s="34"/>
      <c r="AD143" s="34"/>
      <c r="AE143" s="120"/>
      <c r="AF143" s="120"/>
      <c r="AG143" s="200"/>
      <c r="AH143" s="200"/>
      <c r="AI143" s="200"/>
      <c r="AJ143" s="199"/>
      <c r="AK143" s="199"/>
      <c r="AL143" s="199"/>
      <c r="AM143" s="204"/>
      <c r="AN143" s="204"/>
      <c r="AO143" s="205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</row>
    <row r="144" spans="1:56" ht="15" customHeight="1" x14ac:dyDescent="0.3">
      <c r="S144" s="143"/>
      <c r="T144" s="41"/>
      <c r="U144" s="42"/>
      <c r="V144" s="89"/>
      <c r="Z144" s="42"/>
      <c r="AA144" s="42"/>
      <c r="AB144" s="34"/>
      <c r="AC144" s="34"/>
      <c r="AD144" s="34"/>
      <c r="AG144" s="206"/>
      <c r="AH144" s="206"/>
      <c r="AI144" s="206"/>
      <c r="AJ144" s="201"/>
      <c r="AK144" s="201"/>
      <c r="AL144" s="201"/>
      <c r="AM144" s="209"/>
      <c r="AN144" s="209"/>
      <c r="AO144" s="207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</row>
    <row r="145" spans="19:52" ht="15" customHeight="1" x14ac:dyDescent="0.3">
      <c r="S145" s="143"/>
      <c r="T145" s="41"/>
      <c r="U145" s="42"/>
      <c r="V145" s="34"/>
      <c r="Z145" s="42"/>
      <c r="AA145" s="42"/>
      <c r="AB145" s="34"/>
      <c r="AC145" s="34"/>
      <c r="AD145" s="34"/>
      <c r="AG145" s="206"/>
      <c r="AH145" s="206"/>
      <c r="AI145" s="206"/>
      <c r="AJ145" s="208"/>
      <c r="AK145" s="209"/>
      <c r="AL145" s="209"/>
      <c r="AM145" s="209"/>
      <c r="AN145" s="209"/>
      <c r="AO145" s="210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</row>
    <row r="146" spans="19:52" ht="15" customHeight="1" x14ac:dyDescent="0.3">
      <c r="S146" s="145"/>
      <c r="T146" s="41"/>
      <c r="U146" s="34"/>
      <c r="V146" s="34"/>
      <c r="Z146" s="50"/>
      <c r="AA146" s="50"/>
      <c r="AB146" s="50"/>
      <c r="AC146" s="50"/>
      <c r="AD146" s="34"/>
      <c r="AG146" s="199"/>
      <c r="AH146" s="199"/>
      <c r="AI146" s="199"/>
      <c r="AJ146" s="212"/>
      <c r="AK146" s="209"/>
      <c r="AL146" s="209"/>
      <c r="AM146" s="209"/>
      <c r="AN146" s="209"/>
      <c r="AO146" s="205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</row>
    <row r="147" spans="19:52" ht="15" customHeight="1" x14ac:dyDescent="0.3">
      <c r="S147" s="81"/>
      <c r="T147" s="41"/>
      <c r="U147" s="41"/>
      <c r="V147" s="34"/>
      <c r="Z147" s="50"/>
      <c r="AA147" s="50"/>
      <c r="AB147" s="50"/>
      <c r="AC147" s="50"/>
      <c r="AD147" s="49"/>
      <c r="AG147" s="201"/>
      <c r="AH147" s="201"/>
      <c r="AI147" s="201"/>
      <c r="AJ147" s="213"/>
      <c r="AK147" s="209"/>
      <c r="AL147" s="209"/>
      <c r="AM147" s="209"/>
      <c r="AN147" s="209"/>
      <c r="AO147" s="205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</row>
    <row r="148" spans="19:52" ht="15" customHeight="1" x14ac:dyDescent="0.3">
      <c r="S148" s="145"/>
      <c r="T148" s="34"/>
      <c r="U148" s="34"/>
      <c r="V148" s="34"/>
      <c r="Z148" s="50"/>
      <c r="AA148" s="50"/>
      <c r="AB148" s="50"/>
      <c r="AC148" s="50"/>
      <c r="AD148" s="34"/>
      <c r="AG148" s="208"/>
      <c r="AH148" s="201"/>
      <c r="AI148" s="201"/>
      <c r="AJ148" s="212"/>
      <c r="AK148" s="209"/>
      <c r="AL148" s="209"/>
      <c r="AM148" s="209"/>
      <c r="AN148" s="209"/>
      <c r="AO148" s="207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</row>
    <row r="149" spans="19:52" ht="15" customHeight="1" x14ac:dyDescent="0.3">
      <c r="V149" s="34"/>
      <c r="Z149" s="51"/>
      <c r="AA149" s="51"/>
      <c r="AB149" s="51"/>
      <c r="AC149" s="51"/>
      <c r="AD149" s="51"/>
      <c r="AG149" s="214"/>
      <c r="AH149" s="214"/>
      <c r="AI149" s="201"/>
      <c r="AJ149" s="212"/>
      <c r="AK149" s="209"/>
      <c r="AL149" s="209"/>
      <c r="AM149" s="209"/>
      <c r="AN149" s="209"/>
      <c r="AO149" s="215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</row>
    <row r="150" spans="19:52" ht="15" customHeight="1" x14ac:dyDescent="0.3">
      <c r="V150" s="34"/>
      <c r="Z150" s="34"/>
      <c r="AA150" s="34"/>
      <c r="AB150" s="34"/>
      <c r="AC150" s="34"/>
      <c r="AD150" s="34"/>
      <c r="AG150" s="216"/>
      <c r="AH150" s="216"/>
      <c r="AI150" s="201"/>
      <c r="AJ150" s="212"/>
      <c r="AK150" s="209"/>
      <c r="AL150" s="209"/>
      <c r="AM150" s="217"/>
      <c r="AN150" s="215"/>
      <c r="AO150" s="201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</row>
    <row r="151" spans="19:52" ht="24" customHeight="1" x14ac:dyDescent="0.3">
      <c r="V151" s="34"/>
      <c r="Z151" s="34"/>
      <c r="AA151" s="34"/>
      <c r="AB151" s="34"/>
      <c r="AC151" s="34"/>
      <c r="AD151" s="34"/>
      <c r="AG151" s="218"/>
      <c r="AH151" s="218"/>
      <c r="AI151" s="201"/>
      <c r="AJ151" s="212"/>
      <c r="AK151" s="209"/>
      <c r="AL151" s="209"/>
      <c r="AM151" s="201"/>
      <c r="AN151" s="201"/>
      <c r="AO151" s="201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</row>
    <row r="152" spans="19:52" ht="22" customHeight="1" x14ac:dyDescent="0.3">
      <c r="V152" s="34"/>
      <c r="Z152" s="34"/>
      <c r="AA152" s="34"/>
      <c r="AB152" s="34"/>
      <c r="AC152" s="34"/>
      <c r="AD152" s="34"/>
      <c r="AG152" s="219"/>
      <c r="AH152" s="219"/>
      <c r="AI152" s="201"/>
      <c r="AJ152" s="212"/>
      <c r="AK152" s="209"/>
      <c r="AL152" s="209"/>
      <c r="AM152" s="201"/>
      <c r="AN152" s="201"/>
      <c r="AO152" s="201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</row>
    <row r="153" spans="19:52" ht="21" customHeight="1" x14ac:dyDescent="0.3">
      <c r="V153" s="34"/>
      <c r="Z153" s="34"/>
      <c r="AA153" s="34"/>
      <c r="AB153" s="34"/>
      <c r="AC153" s="34"/>
      <c r="AD153" s="34"/>
      <c r="AG153" s="220"/>
      <c r="AH153" s="220"/>
      <c r="AI153" s="201"/>
      <c r="AJ153" s="212"/>
      <c r="AK153" s="209"/>
      <c r="AL153" s="209"/>
      <c r="AM153" s="201"/>
      <c r="AN153" s="201"/>
      <c r="AO153" s="201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</row>
    <row r="154" spans="19:52" ht="15.75" customHeight="1" x14ac:dyDescent="0.3">
      <c r="V154" s="34"/>
      <c r="Z154" s="34"/>
      <c r="AA154" s="34"/>
      <c r="AB154" s="34"/>
      <c r="AC154" s="34"/>
      <c r="AD154" s="34"/>
      <c r="AE154" s="222"/>
      <c r="AF154" s="222"/>
      <c r="AG154" s="220"/>
      <c r="AH154" s="220"/>
      <c r="AI154" s="201"/>
      <c r="AJ154" s="212"/>
      <c r="AK154" s="209"/>
      <c r="AL154" s="209"/>
      <c r="AM154" s="201"/>
      <c r="AN154" s="201"/>
      <c r="AO154" s="201"/>
      <c r="AP154" s="221"/>
      <c r="AQ154" s="221"/>
      <c r="AR154" s="221"/>
      <c r="AS154" s="221"/>
      <c r="AT154" s="39"/>
      <c r="AU154" s="39"/>
      <c r="AV154" s="39"/>
      <c r="AW154" s="39"/>
      <c r="AX154" s="39"/>
      <c r="AY154" s="39"/>
      <c r="AZ154" s="39"/>
    </row>
    <row r="155" spans="19:52" ht="12.75" customHeight="1" x14ac:dyDescent="0.3">
      <c r="V155" s="34"/>
      <c r="Z155" s="34"/>
      <c r="AA155" s="34"/>
      <c r="AB155" s="34"/>
      <c r="AC155" s="34"/>
      <c r="AD155" s="34"/>
      <c r="AE155" s="34"/>
      <c r="AF155" s="34"/>
      <c r="AG155" s="222"/>
      <c r="AH155" s="222"/>
      <c r="AI155" s="201"/>
      <c r="AJ155" s="212"/>
      <c r="AK155" s="209"/>
      <c r="AL155" s="209"/>
      <c r="AM155" s="201"/>
      <c r="AN155" s="201"/>
      <c r="AO155" s="201"/>
      <c r="AP155" s="223"/>
      <c r="AQ155" s="223"/>
      <c r="AR155" s="223"/>
      <c r="AS155" s="223"/>
      <c r="AT155" s="39"/>
      <c r="AU155" s="39"/>
      <c r="AV155" s="39"/>
      <c r="AW155" s="39"/>
      <c r="AX155" s="39"/>
      <c r="AY155" s="39"/>
      <c r="AZ155" s="39"/>
    </row>
    <row r="156" spans="19:52" ht="18.75" customHeight="1" x14ac:dyDescent="0.3">
      <c r="S156" s="193"/>
      <c r="T156" s="40"/>
      <c r="U156" s="34"/>
      <c r="V156" s="34"/>
      <c r="Z156" s="34"/>
      <c r="AA156" s="34"/>
      <c r="AB156" s="34"/>
      <c r="AC156" s="34"/>
      <c r="AD156" s="34"/>
      <c r="AE156" s="34"/>
      <c r="AF156" s="34"/>
      <c r="AG156" s="222"/>
      <c r="AH156" s="222"/>
      <c r="AI156" s="201"/>
      <c r="AJ156" s="212"/>
      <c r="AK156" s="209"/>
      <c r="AL156" s="209"/>
      <c r="AM156" s="201"/>
      <c r="AN156" s="201"/>
      <c r="AO156" s="201"/>
      <c r="AP156" s="223"/>
      <c r="AQ156" s="223"/>
      <c r="AR156" s="223"/>
      <c r="AS156" s="223"/>
      <c r="AT156" s="39"/>
      <c r="AU156" s="39"/>
      <c r="AV156" s="39"/>
      <c r="AW156" s="39"/>
      <c r="AX156" s="39"/>
      <c r="AY156" s="39"/>
      <c r="AZ156" s="39"/>
    </row>
    <row r="157" spans="19:52" ht="29.25" customHeight="1" x14ac:dyDescent="0.3">
      <c r="U157" s="34"/>
      <c r="V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</row>
    <row r="158" spans="19:52" ht="28" customHeight="1" x14ac:dyDescent="0.3">
      <c r="U158" s="34"/>
      <c r="V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</row>
    <row r="159" spans="19:52" ht="28" customHeight="1" x14ac:dyDescent="0.3">
      <c r="U159" s="34"/>
      <c r="V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</row>
    <row r="160" spans="19:52" ht="13" customHeight="1" x14ac:dyDescent="0.3">
      <c r="U160" s="34"/>
      <c r="V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</row>
    <row r="161" spans="19:56" ht="12" customHeight="1" x14ac:dyDescent="0.3">
      <c r="U161" s="34"/>
      <c r="V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</row>
    <row r="162" spans="19:56" x14ac:dyDescent="0.3">
      <c r="U162" s="34"/>
      <c r="V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</row>
    <row r="163" spans="19:56" x14ac:dyDescent="0.3">
      <c r="S163" s="34"/>
      <c r="T163" s="34"/>
      <c r="U163" s="34"/>
      <c r="V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</row>
    <row r="164" spans="19:56" x14ac:dyDescent="0.3">
      <c r="S164" s="34"/>
      <c r="T164" s="34"/>
      <c r="U164" s="34"/>
      <c r="V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</row>
    <row r="165" spans="19:56" x14ac:dyDescent="0.3">
      <c r="S165" s="34"/>
      <c r="T165" s="34"/>
      <c r="U165" s="34"/>
      <c r="V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</row>
    <row r="166" spans="19:56" x14ac:dyDescent="0.3">
      <c r="S166" s="34"/>
      <c r="T166" s="34"/>
      <c r="U166" s="34"/>
      <c r="V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</row>
    <row r="167" spans="19:56" x14ac:dyDescent="0.3">
      <c r="S167" s="34"/>
      <c r="T167" s="34"/>
      <c r="U167" s="34"/>
      <c r="V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</row>
    <row r="168" spans="19:56" x14ac:dyDescent="0.3">
      <c r="S168" s="34"/>
      <c r="T168" s="34"/>
      <c r="U168" s="34"/>
      <c r="V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</row>
    <row r="169" spans="19:56" x14ac:dyDescent="0.3">
      <c r="S169" s="34"/>
      <c r="T169" s="34"/>
      <c r="U169" s="34"/>
      <c r="V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</row>
    <row r="170" spans="19:56" x14ac:dyDescent="0.3">
      <c r="S170" s="34"/>
      <c r="T170" s="34"/>
      <c r="U170" s="34"/>
      <c r="V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</row>
    <row r="171" spans="19:56" x14ac:dyDescent="0.3">
      <c r="S171" s="34"/>
      <c r="T171" s="34"/>
      <c r="U171" s="34"/>
      <c r="V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</row>
    <row r="172" spans="19:56" x14ac:dyDescent="0.3">
      <c r="S172" s="34"/>
      <c r="T172" s="34"/>
      <c r="U172" s="34"/>
      <c r="V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</row>
    <row r="173" spans="19:56" x14ac:dyDescent="0.3">
      <c r="S173" s="34"/>
      <c r="T173" s="34"/>
      <c r="U173" s="34"/>
      <c r="V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</row>
    <row r="174" spans="19:56" x14ac:dyDescent="0.3">
      <c r="S174" s="34"/>
      <c r="T174" s="34"/>
      <c r="U174" s="34"/>
      <c r="V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</row>
    <row r="175" spans="19:56" x14ac:dyDescent="0.3">
      <c r="S175" s="34"/>
      <c r="T175" s="34"/>
      <c r="U175" s="34"/>
      <c r="V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</row>
    <row r="176" spans="19:56" x14ac:dyDescent="0.3">
      <c r="S176" s="34"/>
      <c r="T176" s="34"/>
      <c r="U176" s="34"/>
      <c r="V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</row>
    <row r="177" spans="19:56" x14ac:dyDescent="0.3">
      <c r="S177" s="34"/>
      <c r="T177" s="34"/>
      <c r="U177" s="34"/>
      <c r="V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</row>
    <row r="178" spans="19:56" x14ac:dyDescent="0.3">
      <c r="S178" s="34"/>
      <c r="T178" s="34"/>
      <c r="U178" s="34"/>
      <c r="V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</row>
    <row r="179" spans="19:56" x14ac:dyDescent="0.3">
      <c r="S179" s="34"/>
      <c r="T179" s="34"/>
      <c r="U179" s="34"/>
      <c r="V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</row>
    <row r="180" spans="19:56" x14ac:dyDescent="0.3">
      <c r="S180" s="34"/>
      <c r="T180" s="34"/>
      <c r="U180" s="34"/>
      <c r="V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</row>
    <row r="181" spans="19:56" x14ac:dyDescent="0.3">
      <c r="S181" s="34"/>
      <c r="T181" s="34"/>
      <c r="U181" s="34"/>
      <c r="V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</row>
    <row r="182" spans="19:56" x14ac:dyDescent="0.3">
      <c r="S182" s="34"/>
      <c r="T182" s="34"/>
      <c r="U182" s="34"/>
      <c r="V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</row>
    <row r="183" spans="19:56" x14ac:dyDescent="0.3">
      <c r="S183" s="34"/>
      <c r="T183" s="34"/>
      <c r="U183" s="34"/>
      <c r="V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</row>
    <row r="184" spans="19:56" x14ac:dyDescent="0.3">
      <c r="S184" s="34"/>
      <c r="T184" s="34"/>
      <c r="U184" s="34"/>
      <c r="V184" s="34"/>
      <c r="Z184" s="34"/>
      <c r="AA184" s="34"/>
      <c r="AB184" s="34"/>
      <c r="AC184" s="34"/>
      <c r="AD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</row>
    <row r="185" spans="19:56" x14ac:dyDescent="0.3">
      <c r="S185" s="34"/>
      <c r="T185" s="34"/>
      <c r="U185" s="34"/>
      <c r="V185" s="34"/>
      <c r="Z185" s="34"/>
      <c r="AA185" s="34"/>
      <c r="AB185" s="34"/>
      <c r="AC185" s="34"/>
      <c r="AD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</row>
  </sheetData>
  <sheetProtection password="B39D" sheet="1" formatCells="0" formatColumns="0" formatRows="0"/>
  <protectedRanges>
    <protectedRange sqref="M2:N3" name="Rango1_1_1"/>
    <protectedRange sqref="N4" name="Rango1_1_1_1"/>
  </protectedRanges>
  <mergeCells count="117">
    <mergeCell ref="S120:T121"/>
    <mergeCell ref="U120:V121"/>
    <mergeCell ref="U122:V122"/>
    <mergeCell ref="V73:V75"/>
    <mergeCell ref="V76:V78"/>
    <mergeCell ref="V81:V83"/>
    <mergeCell ref="S117:T117"/>
    <mergeCell ref="U117:V117"/>
    <mergeCell ref="U118:V118"/>
    <mergeCell ref="A58:D58"/>
    <mergeCell ref="A59:D59"/>
    <mergeCell ref="A60:D60"/>
    <mergeCell ref="A61:D61"/>
    <mergeCell ref="A62:D62"/>
    <mergeCell ref="V70:V72"/>
    <mergeCell ref="A52:D52"/>
    <mergeCell ref="A53:D53"/>
    <mergeCell ref="A54:D54"/>
    <mergeCell ref="A55:D55"/>
    <mergeCell ref="A56:D56"/>
    <mergeCell ref="A57:D57"/>
    <mergeCell ref="A45:H46"/>
    <mergeCell ref="A47:D47"/>
    <mergeCell ref="A48:D48"/>
    <mergeCell ref="A49:D49"/>
    <mergeCell ref="A50:D50"/>
    <mergeCell ref="A51:D51"/>
    <mergeCell ref="A40:P40"/>
    <mergeCell ref="A42:P43"/>
    <mergeCell ref="A44:D44"/>
    <mergeCell ref="I44:J44"/>
    <mergeCell ref="K44:L44"/>
    <mergeCell ref="M44:N44"/>
    <mergeCell ref="O44:P44"/>
    <mergeCell ref="B33:D33"/>
    <mergeCell ref="T37:W37"/>
    <mergeCell ref="B35:D35"/>
    <mergeCell ref="E35:O35"/>
    <mergeCell ref="T38:Y38"/>
    <mergeCell ref="B36:O39"/>
    <mergeCell ref="C30:D30"/>
    <mergeCell ref="G30:H30"/>
    <mergeCell ref="J30:M30"/>
    <mergeCell ref="O30:P30"/>
    <mergeCell ref="C31:D31"/>
    <mergeCell ref="G31:H31"/>
    <mergeCell ref="O31:P31"/>
    <mergeCell ref="E33:F33"/>
    <mergeCell ref="B27:H27"/>
    <mergeCell ref="I27:J27"/>
    <mergeCell ref="O27:P27"/>
    <mergeCell ref="A28:P28"/>
    <mergeCell ref="C29:D29"/>
    <mergeCell ref="G29:H29"/>
    <mergeCell ref="J29:N29"/>
    <mergeCell ref="O29:P29"/>
    <mergeCell ref="T27:Z27"/>
    <mergeCell ref="B25:H25"/>
    <mergeCell ref="I25:J25"/>
    <mergeCell ref="O25:P25"/>
    <mergeCell ref="B26:H26"/>
    <mergeCell ref="I26:J26"/>
    <mergeCell ref="O26:P26"/>
    <mergeCell ref="B23:H23"/>
    <mergeCell ref="I23:J23"/>
    <mergeCell ref="O23:P23"/>
    <mergeCell ref="B24:H24"/>
    <mergeCell ref="I24:J24"/>
    <mergeCell ref="O24:P24"/>
    <mergeCell ref="I21:J21"/>
    <mergeCell ref="O21:P22"/>
    <mergeCell ref="I22:J22"/>
    <mergeCell ref="B19:H19"/>
    <mergeCell ref="I19:J19"/>
    <mergeCell ref="O19:P19"/>
    <mergeCell ref="T21:U21"/>
    <mergeCell ref="B20:H20"/>
    <mergeCell ref="I20:J20"/>
    <mergeCell ref="O20:P20"/>
    <mergeCell ref="B21:H22"/>
    <mergeCell ref="Q10:R10"/>
    <mergeCell ref="Q11:R11"/>
    <mergeCell ref="T2:AB2"/>
    <mergeCell ref="B18:H18"/>
    <mergeCell ref="I18:J18"/>
    <mergeCell ref="B15:H15"/>
    <mergeCell ref="I15:J15"/>
    <mergeCell ref="O15:P15"/>
    <mergeCell ref="B16:H16"/>
    <mergeCell ref="I16:J16"/>
    <mergeCell ref="B17:H17"/>
    <mergeCell ref="I17:J17"/>
    <mergeCell ref="Y16:Z16"/>
    <mergeCell ref="AH1:AZ1"/>
    <mergeCell ref="D4:M4"/>
    <mergeCell ref="N4:P4"/>
    <mergeCell ref="D5:P5"/>
    <mergeCell ref="Q6:R6"/>
    <mergeCell ref="J7:K7"/>
    <mergeCell ref="L7:O7"/>
    <mergeCell ref="Q7:R7"/>
    <mergeCell ref="B13:H13"/>
    <mergeCell ref="I13:J13"/>
    <mergeCell ref="K8:O8"/>
    <mergeCell ref="Q8:R8"/>
    <mergeCell ref="D1:P3"/>
    <mergeCell ref="AE1:AF1"/>
    <mergeCell ref="S13:S14"/>
    <mergeCell ref="B14:H14"/>
    <mergeCell ref="I14:J14"/>
    <mergeCell ref="O14:P14"/>
    <mergeCell ref="Q9:R9"/>
    <mergeCell ref="A10:P10"/>
    <mergeCell ref="B11:H11"/>
    <mergeCell ref="I11:J11"/>
    <mergeCell ref="B12:H12"/>
    <mergeCell ref="I12:J12"/>
  </mergeCells>
  <printOptions horizontalCentered="1"/>
  <pageMargins left="0.59055118110236227" right="0.39370078740157483" top="0.59055118110236227" bottom="0.59055118110236227" header="0" footer="0.19685039370078741"/>
  <pageSetup paperSize="9" pageOrder="overThenDown" orientation="portrait" r:id="rId1"/>
  <headerFooter scaleWithDoc="0">
    <oddFooter xml:space="preserve">&amp;L&amp;6Calle 26 No.69-76 Edificio Elemento Torre 1, Piso 3 – C.P. 111071
PBX: 3779555 – Información: Línea 195
Sede Operativa - Atención al Ciudadano: Calle 22D No. 120-40
www.umv.gov.co&amp;C&amp;6Página 1  de 1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58"/>
  <sheetViews>
    <sheetView showGridLines="0" view="pageBreakPreview" zoomScaleNormal="100" zoomScaleSheetLayoutView="100" workbookViewId="0">
      <selection activeCell="AP20" sqref="AP20"/>
    </sheetView>
  </sheetViews>
  <sheetFormatPr baseColWidth="10" defaultColWidth="8.453125" defaultRowHeight="12.5" x14ac:dyDescent="0.25"/>
  <cols>
    <col min="1" max="1" width="3.54296875" style="60" customWidth="1"/>
    <col min="2" max="2" width="3.7265625" style="60" customWidth="1"/>
    <col min="3" max="3" width="3.26953125" style="60" customWidth="1"/>
    <col min="4" max="4" width="4.54296875" style="60" customWidth="1"/>
    <col min="5" max="8" width="3.26953125" style="60" customWidth="1"/>
    <col min="9" max="9" width="2.81640625" style="60" customWidth="1"/>
    <col min="10" max="10" width="3.453125" style="60" customWidth="1"/>
    <col min="11" max="11" width="4.1796875" style="60" customWidth="1"/>
    <col min="12" max="12" width="2.54296875" style="60" customWidth="1"/>
    <col min="13" max="24" width="3.26953125" style="60" customWidth="1"/>
    <col min="25" max="25" width="4.7265625" style="60" customWidth="1"/>
    <col min="26" max="26" width="2.26953125" style="60" customWidth="1"/>
    <col min="27" max="28" width="3.26953125" style="60" customWidth="1"/>
    <col min="29" max="29" width="3.54296875" style="60" customWidth="1"/>
    <col min="30" max="30" width="7.1796875" style="60" customWidth="1"/>
    <col min="31" max="41" width="5.1796875" style="60" customWidth="1"/>
    <col min="42" max="16384" width="8.453125" style="60"/>
  </cols>
  <sheetData>
    <row r="1" spans="1:41" s="58" customFormat="1" ht="15" customHeight="1" x14ac:dyDescent="0.25">
      <c r="A1" s="1765"/>
      <c r="B1" s="1766"/>
      <c r="C1" s="1766"/>
      <c r="D1" s="1767"/>
      <c r="E1" s="1771" t="s">
        <v>304</v>
      </c>
      <c r="F1" s="1772"/>
      <c r="G1" s="1772"/>
      <c r="H1" s="1772"/>
      <c r="I1" s="1772"/>
      <c r="J1" s="1772"/>
      <c r="K1" s="1772"/>
      <c r="L1" s="1772"/>
      <c r="M1" s="1772"/>
      <c r="N1" s="1772"/>
      <c r="O1" s="1772"/>
      <c r="P1" s="1772"/>
      <c r="Q1" s="1772"/>
      <c r="R1" s="1772"/>
      <c r="S1" s="1772"/>
      <c r="T1" s="1772"/>
      <c r="U1" s="1772"/>
      <c r="V1" s="1772"/>
      <c r="W1" s="1772"/>
      <c r="X1" s="1772"/>
      <c r="Y1" s="1772"/>
      <c r="Z1" s="1772"/>
      <c r="AA1" s="1772"/>
      <c r="AB1" s="1772"/>
      <c r="AC1" s="1773"/>
    </row>
    <row r="2" spans="1:41" s="58" customFormat="1" ht="15" customHeight="1" x14ac:dyDescent="0.25">
      <c r="A2" s="1768"/>
      <c r="B2" s="1769"/>
      <c r="C2" s="1769"/>
      <c r="D2" s="1770"/>
      <c r="E2" s="1774"/>
      <c r="F2" s="1775"/>
      <c r="G2" s="1775"/>
      <c r="H2" s="1775"/>
      <c r="I2" s="1775"/>
      <c r="J2" s="1775"/>
      <c r="K2" s="1775"/>
      <c r="L2" s="1775"/>
      <c r="M2" s="1775"/>
      <c r="N2" s="1775"/>
      <c r="O2" s="1775"/>
      <c r="P2" s="1775"/>
      <c r="Q2" s="1775"/>
      <c r="R2" s="1775"/>
      <c r="S2" s="1775"/>
      <c r="T2" s="1775"/>
      <c r="U2" s="1775"/>
      <c r="V2" s="1775"/>
      <c r="W2" s="1775"/>
      <c r="X2" s="1775"/>
      <c r="Y2" s="1775"/>
      <c r="Z2" s="1775"/>
      <c r="AA2" s="1775"/>
      <c r="AB2" s="1775"/>
      <c r="AC2" s="1776"/>
    </row>
    <row r="3" spans="1:41" s="58" customFormat="1" ht="15" customHeight="1" x14ac:dyDescent="0.25">
      <c r="A3" s="1768"/>
      <c r="B3" s="1769"/>
      <c r="C3" s="1769"/>
      <c r="D3" s="1770"/>
      <c r="E3" s="1777"/>
      <c r="F3" s="1778"/>
      <c r="G3" s="1778"/>
      <c r="H3" s="1778"/>
      <c r="I3" s="1778"/>
      <c r="J3" s="1778"/>
      <c r="K3" s="1778"/>
      <c r="L3" s="1778"/>
      <c r="M3" s="1778"/>
      <c r="N3" s="1778"/>
      <c r="O3" s="1778"/>
      <c r="P3" s="1778"/>
      <c r="Q3" s="1778"/>
      <c r="R3" s="1778"/>
      <c r="S3" s="1778"/>
      <c r="T3" s="1778"/>
      <c r="U3" s="1778"/>
      <c r="V3" s="1778"/>
      <c r="W3" s="1778"/>
      <c r="X3" s="1778"/>
      <c r="Y3" s="1778"/>
      <c r="Z3" s="1778"/>
      <c r="AA3" s="1778"/>
      <c r="AB3" s="1778"/>
      <c r="AC3" s="1779"/>
    </row>
    <row r="4" spans="1:41" s="58" customFormat="1" ht="15" customHeight="1" x14ac:dyDescent="0.25">
      <c r="A4" s="1768"/>
      <c r="B4" s="1769"/>
      <c r="C4" s="1769"/>
      <c r="D4" s="1770"/>
      <c r="E4" s="1780" t="s">
        <v>162</v>
      </c>
      <c r="F4" s="1781"/>
      <c r="G4" s="1781"/>
      <c r="H4" s="1781"/>
      <c r="I4" s="1781"/>
      <c r="J4" s="1781"/>
      <c r="K4" s="1781"/>
      <c r="L4" s="1781"/>
      <c r="M4" s="1781"/>
      <c r="N4" s="1781"/>
      <c r="O4" s="1781"/>
      <c r="P4" s="1781"/>
      <c r="Q4" s="1781"/>
      <c r="R4" s="1781"/>
      <c r="S4" s="1781"/>
      <c r="T4" s="1781"/>
      <c r="U4" s="1782"/>
      <c r="V4" s="1780" t="s">
        <v>481</v>
      </c>
      <c r="W4" s="1781"/>
      <c r="X4" s="1781"/>
      <c r="Y4" s="1781"/>
      <c r="Z4" s="1781"/>
      <c r="AA4" s="1781"/>
      <c r="AB4" s="1781"/>
      <c r="AC4" s="1782"/>
    </row>
    <row r="5" spans="1:41" s="58" customFormat="1" ht="15" customHeight="1" x14ac:dyDescent="0.25">
      <c r="A5" s="1768"/>
      <c r="B5" s="1769"/>
      <c r="C5" s="1769"/>
      <c r="D5" s="1770"/>
      <c r="E5" s="1783" t="s">
        <v>468</v>
      </c>
      <c r="F5" s="1784"/>
      <c r="G5" s="1784"/>
      <c r="H5" s="1784"/>
      <c r="I5" s="1784"/>
      <c r="J5" s="1784"/>
      <c r="K5" s="1784"/>
      <c r="L5" s="1784"/>
      <c r="M5" s="1784"/>
      <c r="N5" s="1784"/>
      <c r="O5" s="1784"/>
      <c r="P5" s="1784"/>
      <c r="Q5" s="1784"/>
      <c r="R5" s="1784"/>
      <c r="S5" s="1784"/>
      <c r="T5" s="1784"/>
      <c r="U5" s="1784"/>
      <c r="V5" s="1784"/>
      <c r="W5" s="1784"/>
      <c r="X5" s="1784"/>
      <c r="Y5" s="1784"/>
      <c r="Z5" s="1784"/>
      <c r="AA5" s="1784"/>
      <c r="AB5" s="1784"/>
      <c r="AC5" s="1785"/>
      <c r="AD5" s="539" t="s">
        <v>305</v>
      </c>
    </row>
    <row r="6" spans="1:41" s="58" customFormat="1" ht="15" customHeight="1" x14ac:dyDescent="0.25">
      <c r="A6" s="529"/>
      <c r="B6" s="530"/>
      <c r="C6" s="530"/>
      <c r="D6" s="530"/>
      <c r="E6" s="530"/>
      <c r="F6" s="53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30"/>
      <c r="T6" s="530"/>
      <c r="U6" s="530"/>
      <c r="V6" s="530"/>
      <c r="W6" s="530"/>
      <c r="X6" s="521"/>
      <c r="Y6" s="521"/>
      <c r="Z6" s="521"/>
      <c r="AA6" s="521"/>
      <c r="AB6" s="521"/>
      <c r="AC6" s="541"/>
      <c r="AD6" s="542" t="s">
        <v>306</v>
      </c>
    </row>
    <row r="7" spans="1:41" s="59" customFormat="1" ht="15" customHeight="1" x14ac:dyDescent="0.25">
      <c r="A7" s="531"/>
      <c r="B7" s="532"/>
      <c r="C7" s="532"/>
      <c r="D7" s="532"/>
      <c r="E7" s="532"/>
      <c r="F7" s="532"/>
      <c r="G7" s="543"/>
      <c r="H7" s="543"/>
      <c r="I7" s="543"/>
      <c r="J7" s="543"/>
      <c r="K7" s="543"/>
      <c r="L7" s="543"/>
      <c r="M7" s="543"/>
      <c r="N7" s="543"/>
      <c r="O7" s="543"/>
      <c r="P7" s="543"/>
      <c r="Q7" s="1010" t="s">
        <v>55</v>
      </c>
      <c r="R7" s="1010"/>
      <c r="S7" s="1335" t="str">
        <f>IF('1. Encabezado'!S7="","",'1. Encabezado'!S7)</f>
        <v/>
      </c>
      <c r="T7" s="1335"/>
      <c r="U7" s="1335"/>
      <c r="V7" s="1335"/>
      <c r="W7" s="1335"/>
      <c r="X7" s="1335"/>
      <c r="Y7" s="1335"/>
      <c r="Z7" s="1335"/>
      <c r="AA7" s="1335"/>
      <c r="AB7" s="544"/>
      <c r="AC7" s="545"/>
      <c r="AD7" s="546" t="str">
        <f>IF(S7="","",7)</f>
        <v/>
      </c>
    </row>
    <row r="8" spans="1:41" s="59" customFormat="1" ht="15" customHeight="1" x14ac:dyDescent="0.25">
      <c r="A8" s="531"/>
      <c r="B8" s="532"/>
      <c r="C8" s="532"/>
      <c r="D8" s="532"/>
      <c r="E8" s="532"/>
      <c r="F8" s="53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7"/>
      <c r="T8" s="547"/>
      <c r="U8" s="548"/>
      <c r="V8" s="1336" t="str">
        <f>IF(S7="",AD10,CONCATENATE(AD6," ",AD7," ",AD8," ", AD9))</f>
        <v>Pagina xx de xx</v>
      </c>
      <c r="W8" s="1336"/>
      <c r="X8" s="1336"/>
      <c r="Y8" s="1336"/>
      <c r="Z8" s="1336"/>
      <c r="AA8" s="1336"/>
      <c r="AB8" s="549"/>
      <c r="AC8" s="545"/>
      <c r="AD8" s="550" t="s">
        <v>307</v>
      </c>
    </row>
    <row r="9" spans="1:41" s="59" customFormat="1" ht="15" customHeight="1" x14ac:dyDescent="0.25">
      <c r="A9" s="534"/>
      <c r="B9" s="533"/>
      <c r="C9" s="533"/>
      <c r="D9" s="533"/>
      <c r="E9" s="533"/>
      <c r="F9" s="533"/>
      <c r="G9" s="543"/>
      <c r="H9" s="543"/>
      <c r="I9" s="543"/>
      <c r="J9" s="543"/>
      <c r="K9" s="543"/>
      <c r="L9" s="543"/>
      <c r="M9" s="543"/>
      <c r="N9" s="543"/>
      <c r="O9" s="543"/>
      <c r="P9" s="543"/>
      <c r="Q9" s="543"/>
      <c r="R9" s="543"/>
      <c r="S9" s="533"/>
      <c r="T9" s="533"/>
      <c r="U9" s="533"/>
      <c r="V9" s="533"/>
      <c r="W9" s="533"/>
      <c r="X9" s="551"/>
      <c r="Y9" s="551"/>
      <c r="Z9" s="551"/>
      <c r="AA9" s="551"/>
      <c r="AB9" s="551"/>
      <c r="AC9" s="545"/>
      <c r="AD9" s="550" t="str">
        <f>IF(S7="","",'1. Encabezado'!AB10)</f>
        <v/>
      </c>
    </row>
    <row r="10" spans="1:41" s="59" customFormat="1" ht="15" customHeight="1" x14ac:dyDescent="0.25">
      <c r="A10" s="1757" t="s">
        <v>132</v>
      </c>
      <c r="B10" s="1758"/>
      <c r="C10" s="1758"/>
      <c r="D10" s="1758"/>
      <c r="E10" s="1758"/>
      <c r="F10" s="1758"/>
      <c r="G10" s="1758"/>
      <c r="H10" s="1758"/>
      <c r="I10" s="1758"/>
      <c r="J10" s="1758"/>
      <c r="K10" s="1759"/>
      <c r="L10" s="1760">
        <v>1</v>
      </c>
      <c r="M10" s="1761"/>
      <c r="N10" s="1761"/>
      <c r="O10" s="1761">
        <v>2</v>
      </c>
      <c r="P10" s="1761"/>
      <c r="Q10" s="1761"/>
      <c r="R10" s="1761">
        <v>3</v>
      </c>
      <c r="S10" s="1761"/>
      <c r="T10" s="1762"/>
      <c r="U10" s="1763">
        <v>4</v>
      </c>
      <c r="V10" s="1761"/>
      <c r="W10" s="1761"/>
      <c r="X10" s="1761">
        <v>5</v>
      </c>
      <c r="Y10" s="1761"/>
      <c r="Z10" s="1761"/>
      <c r="AA10" s="1761">
        <v>6</v>
      </c>
      <c r="AB10" s="1761"/>
      <c r="AC10" s="1764"/>
      <c r="AD10" s="552" t="s">
        <v>308</v>
      </c>
    </row>
    <row r="11" spans="1:41" s="59" customFormat="1" ht="13.5" customHeight="1" x14ac:dyDescent="0.25">
      <c r="A11" s="460" t="s">
        <v>133</v>
      </c>
      <c r="B11" s="461"/>
      <c r="C11" s="461"/>
      <c r="D11" s="461"/>
      <c r="E11" s="461"/>
      <c r="F11" s="461"/>
      <c r="G11" s="461"/>
      <c r="H11" s="461"/>
      <c r="I11" s="461"/>
      <c r="J11" s="461"/>
      <c r="K11" s="474" t="s">
        <v>10</v>
      </c>
      <c r="L11" s="1789" t="str">
        <f>IF(AD13="","",AVERAGE(AD13:AE13))</f>
        <v/>
      </c>
      <c r="M11" s="1790"/>
      <c r="N11" s="1790"/>
      <c r="O11" s="1790" t="str">
        <f>IF(AF13="","",AVERAGE(AF13:AG13))</f>
        <v/>
      </c>
      <c r="P11" s="1790"/>
      <c r="Q11" s="1790"/>
      <c r="R11" s="1790" t="str">
        <f>IF(AH13="","",AVERAGE(AH13:AI13))</f>
        <v/>
      </c>
      <c r="S11" s="1790"/>
      <c r="T11" s="1791"/>
      <c r="U11" s="1792" t="str">
        <f>IF(AJ13="","",AVERAGE(AJ13:AK13))</f>
        <v/>
      </c>
      <c r="V11" s="1793"/>
      <c r="W11" s="1793"/>
      <c r="X11" s="1793" t="str">
        <f>IF(AL13="","",AVERAGE(AL13:AM13))</f>
        <v/>
      </c>
      <c r="Y11" s="1793"/>
      <c r="Z11" s="1793"/>
      <c r="AA11" s="1793" t="str">
        <f>IF(AN13="","",AVERAGE(AN13:AO13))</f>
        <v/>
      </c>
      <c r="AB11" s="1793"/>
      <c r="AC11" s="1794"/>
      <c r="AD11" s="1786">
        <v>1</v>
      </c>
      <c r="AE11" s="1787"/>
      <c r="AF11" s="1788">
        <v>2</v>
      </c>
      <c r="AG11" s="1787"/>
      <c r="AH11" s="1788">
        <v>3</v>
      </c>
      <c r="AI11" s="1787"/>
      <c r="AJ11" s="1788">
        <v>4</v>
      </c>
      <c r="AK11" s="1787"/>
      <c r="AL11" s="1788">
        <v>5</v>
      </c>
      <c r="AM11" s="1787"/>
      <c r="AN11" s="1788">
        <v>6</v>
      </c>
      <c r="AO11" s="1787"/>
    </row>
    <row r="12" spans="1:41" ht="13.5" customHeight="1" x14ac:dyDescent="0.25">
      <c r="A12" s="460" t="s">
        <v>291</v>
      </c>
      <c r="B12" s="461"/>
      <c r="C12" s="461"/>
      <c r="D12" s="461"/>
      <c r="E12" s="461"/>
      <c r="F12" s="461"/>
      <c r="G12" s="461"/>
      <c r="H12" s="461"/>
      <c r="I12" s="461"/>
      <c r="J12" s="461"/>
      <c r="K12" s="474" t="s">
        <v>10</v>
      </c>
      <c r="L12" s="1789" t="str">
        <f>+IF(AD15="","",AVERAGE(AD15:AE16))</f>
        <v/>
      </c>
      <c r="M12" s="1790"/>
      <c r="N12" s="1790"/>
      <c r="O12" s="1790" t="str">
        <f>+IF(AF15="","",AVERAGE(AF15:AG16))</f>
        <v/>
      </c>
      <c r="P12" s="1790"/>
      <c r="Q12" s="1790"/>
      <c r="R12" s="1790" t="str">
        <f>+IF(AH15="","",AVERAGE(AH15:AI16))</f>
        <v/>
      </c>
      <c r="S12" s="1790"/>
      <c r="T12" s="1791"/>
      <c r="U12" s="1792" t="str">
        <f>+IF(AJ15="","",AVERAGE(AJ15:AK16))</f>
        <v/>
      </c>
      <c r="V12" s="1793"/>
      <c r="W12" s="1793"/>
      <c r="X12" s="1793" t="str">
        <f>+IF(AL15="","",AVERAGE(AL15:AM16))</f>
        <v/>
      </c>
      <c r="Y12" s="1793"/>
      <c r="Z12" s="1793"/>
      <c r="AA12" s="1793" t="str">
        <f>+IF(AN15="","",AVERAGE(AN15:AO16))</f>
        <v/>
      </c>
      <c r="AB12" s="1793"/>
      <c r="AC12" s="1794"/>
      <c r="AD12" s="1795" t="s">
        <v>290</v>
      </c>
      <c r="AE12" s="1795"/>
      <c r="AF12" s="1795"/>
      <c r="AG12" s="1795"/>
      <c r="AH12" s="1795"/>
      <c r="AI12" s="1795"/>
      <c r="AJ12" s="1795"/>
      <c r="AK12" s="1795"/>
      <c r="AL12" s="1795"/>
      <c r="AM12" s="1795"/>
      <c r="AN12" s="1795"/>
      <c r="AO12" s="1796"/>
    </row>
    <row r="13" spans="1:41" ht="13.5" customHeight="1" x14ac:dyDescent="0.25">
      <c r="A13" s="460" t="s">
        <v>134</v>
      </c>
      <c r="B13" s="461"/>
      <c r="C13" s="461"/>
      <c r="D13" s="461"/>
      <c r="E13" s="461"/>
      <c r="F13" s="461"/>
      <c r="G13" s="461"/>
      <c r="H13" s="461"/>
      <c r="I13" s="461"/>
      <c r="J13" s="461"/>
      <c r="K13" s="474" t="s">
        <v>37</v>
      </c>
      <c r="L13" s="1797"/>
      <c r="M13" s="1798"/>
      <c r="N13" s="1798"/>
      <c r="O13" s="1798"/>
      <c r="P13" s="1798"/>
      <c r="Q13" s="1798"/>
      <c r="R13" s="1798"/>
      <c r="S13" s="1798"/>
      <c r="T13" s="1799"/>
      <c r="U13" s="1800"/>
      <c r="V13" s="1798"/>
      <c r="W13" s="1798"/>
      <c r="X13" s="1798"/>
      <c r="Y13" s="1798"/>
      <c r="Z13" s="1798"/>
      <c r="AA13" s="1798"/>
      <c r="AB13" s="1798"/>
      <c r="AC13" s="1801"/>
      <c r="AD13" s="64"/>
      <c r="AE13" s="65"/>
      <c r="AF13" s="66"/>
      <c r="AG13" s="65"/>
      <c r="AH13" s="66"/>
      <c r="AI13" s="65"/>
      <c r="AJ13" s="66"/>
      <c r="AK13" s="65"/>
      <c r="AL13" s="66"/>
      <c r="AM13" s="65"/>
      <c r="AN13" s="66"/>
      <c r="AO13" s="65"/>
    </row>
    <row r="14" spans="1:41" ht="13.5" customHeight="1" x14ac:dyDescent="0.25">
      <c r="A14" s="460" t="s">
        <v>135</v>
      </c>
      <c r="B14" s="461"/>
      <c r="C14" s="461"/>
      <c r="D14" s="461"/>
      <c r="E14" s="461"/>
      <c r="F14" s="461"/>
      <c r="G14" s="461"/>
      <c r="H14" s="461"/>
      <c r="I14" s="461"/>
      <c r="J14" s="461"/>
      <c r="K14" s="474" t="s">
        <v>37</v>
      </c>
      <c r="L14" s="1797"/>
      <c r="M14" s="1798"/>
      <c r="N14" s="1798"/>
      <c r="O14" s="1798"/>
      <c r="P14" s="1798"/>
      <c r="Q14" s="1798"/>
      <c r="R14" s="1798"/>
      <c r="S14" s="1798"/>
      <c r="T14" s="1799"/>
      <c r="U14" s="1800"/>
      <c r="V14" s="1798"/>
      <c r="W14" s="1798"/>
      <c r="X14" s="1798"/>
      <c r="Y14" s="1798"/>
      <c r="Z14" s="1798"/>
      <c r="AA14" s="1798"/>
      <c r="AB14" s="1798"/>
      <c r="AC14" s="1801"/>
      <c r="AD14" s="1802" t="s">
        <v>292</v>
      </c>
      <c r="AE14" s="1803"/>
      <c r="AF14" s="1803"/>
      <c r="AG14" s="1803"/>
      <c r="AH14" s="1803"/>
      <c r="AI14" s="1803"/>
      <c r="AJ14" s="1803"/>
      <c r="AK14" s="1803"/>
      <c r="AL14" s="1803"/>
      <c r="AM14" s="1803"/>
      <c r="AN14" s="1803"/>
      <c r="AO14" s="1804"/>
    </row>
    <row r="15" spans="1:41" ht="13.5" customHeight="1" x14ac:dyDescent="0.25">
      <c r="A15" s="460" t="s">
        <v>455</v>
      </c>
      <c r="B15" s="461"/>
      <c r="C15" s="461"/>
      <c r="D15" s="461"/>
      <c r="E15" s="461"/>
      <c r="F15" s="461"/>
      <c r="G15" s="461"/>
      <c r="H15" s="461"/>
      <c r="I15" s="461"/>
      <c r="J15" s="461"/>
      <c r="K15" s="474" t="s">
        <v>37</v>
      </c>
      <c r="L15" s="1797"/>
      <c r="M15" s="1798"/>
      <c r="N15" s="1798"/>
      <c r="O15" s="1798"/>
      <c r="P15" s="1798"/>
      <c r="Q15" s="1798"/>
      <c r="R15" s="1798"/>
      <c r="S15" s="1798"/>
      <c r="T15" s="1799"/>
      <c r="U15" s="1800"/>
      <c r="V15" s="1798"/>
      <c r="W15" s="1798"/>
      <c r="X15" s="1798"/>
      <c r="Y15" s="1798"/>
      <c r="Z15" s="1798"/>
      <c r="AA15" s="1798"/>
      <c r="AB15" s="1798"/>
      <c r="AC15" s="1801"/>
      <c r="AD15" s="61"/>
      <c r="AE15" s="62"/>
      <c r="AF15" s="63"/>
      <c r="AG15" s="62"/>
      <c r="AH15" s="63"/>
      <c r="AI15" s="62"/>
      <c r="AJ15" s="63"/>
      <c r="AK15" s="62"/>
      <c r="AL15" s="63"/>
      <c r="AM15" s="62"/>
      <c r="AN15" s="63"/>
      <c r="AO15" s="62"/>
    </row>
    <row r="16" spans="1:41" ht="13.5" customHeight="1" x14ac:dyDescent="0.25">
      <c r="A16" s="460" t="s">
        <v>136</v>
      </c>
      <c r="B16" s="461"/>
      <c r="C16" s="461"/>
      <c r="D16" s="461"/>
      <c r="E16" s="461"/>
      <c r="F16" s="461"/>
      <c r="G16" s="461"/>
      <c r="H16" s="461"/>
      <c r="I16" s="461"/>
      <c r="J16" s="461"/>
      <c r="K16" s="474" t="s">
        <v>293</v>
      </c>
      <c r="L16" s="1810" t="str">
        <f>+IF(L14="","",(L14-L15))</f>
        <v/>
      </c>
      <c r="M16" s="1811"/>
      <c r="N16" s="1811"/>
      <c r="O16" s="1811" t="str">
        <f>+IF(O14="","",(O14-O15))</f>
        <v/>
      </c>
      <c r="P16" s="1811"/>
      <c r="Q16" s="1811"/>
      <c r="R16" s="1811" t="str">
        <f>+IF(R14="","",(R14-R15))</f>
        <v/>
      </c>
      <c r="S16" s="1811"/>
      <c r="T16" s="1812"/>
      <c r="U16" s="1813" t="str">
        <f>+IF(U14="","",(U14-U15))</f>
        <v/>
      </c>
      <c r="V16" s="1811"/>
      <c r="W16" s="1811"/>
      <c r="X16" s="1811" t="str">
        <f>+IF(X14="","",(X14-X15))</f>
        <v/>
      </c>
      <c r="Y16" s="1811"/>
      <c r="Z16" s="1811"/>
      <c r="AA16" s="1811" t="str">
        <f>+IF(AA14="","",(AA14-AA15))</f>
        <v/>
      </c>
      <c r="AB16" s="1811"/>
      <c r="AC16" s="1814"/>
      <c r="AD16" s="64"/>
      <c r="AE16" s="65"/>
      <c r="AF16" s="66"/>
      <c r="AG16" s="65"/>
      <c r="AH16" s="66"/>
      <c r="AI16" s="65"/>
      <c r="AJ16" s="66"/>
      <c r="AK16" s="65"/>
      <c r="AL16" s="66"/>
      <c r="AM16" s="65"/>
      <c r="AN16" s="66"/>
      <c r="AO16" s="65"/>
    </row>
    <row r="17" spans="1:41" ht="13.5" customHeight="1" x14ac:dyDescent="0.25">
      <c r="A17" s="460" t="s">
        <v>137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74"/>
      <c r="L17" s="1805" t="str">
        <f>IF(L13="","",L13/L16)</f>
        <v/>
      </c>
      <c r="M17" s="1806"/>
      <c r="N17" s="1806"/>
      <c r="O17" s="1806" t="str">
        <f>IF(O13="","",O13/O16)</f>
        <v/>
      </c>
      <c r="P17" s="1806"/>
      <c r="Q17" s="1806"/>
      <c r="R17" s="1806" t="str">
        <f>IF(R13="","",R13/R16)</f>
        <v/>
      </c>
      <c r="S17" s="1806"/>
      <c r="T17" s="1807"/>
      <c r="U17" s="1808" t="str">
        <f>IF(U13="","",U13/U16)</f>
        <v/>
      </c>
      <c r="V17" s="1806"/>
      <c r="W17" s="1806"/>
      <c r="X17" s="1806" t="str">
        <f>IF(X13="","",X13/X16)</f>
        <v/>
      </c>
      <c r="Y17" s="1806"/>
      <c r="Z17" s="1806"/>
      <c r="AA17" s="1806" t="str">
        <f>IF(AA13="","",AA13/AA16)</f>
        <v/>
      </c>
      <c r="AB17" s="1806"/>
      <c r="AC17" s="1809"/>
      <c r="AF17" s="1864" t="s">
        <v>488</v>
      </c>
      <c r="AG17" s="1863"/>
    </row>
    <row r="18" spans="1:41" ht="13.5" customHeight="1" x14ac:dyDescent="0.25">
      <c r="A18" s="460" t="s">
        <v>138</v>
      </c>
      <c r="B18" s="461"/>
      <c r="C18" s="461"/>
      <c r="D18" s="461"/>
      <c r="E18" s="461"/>
      <c r="F18" s="461"/>
      <c r="G18" s="461"/>
      <c r="H18" s="461"/>
      <c r="I18" s="461"/>
      <c r="J18" s="461"/>
      <c r="K18" s="474" t="s">
        <v>36</v>
      </c>
      <c r="L18" s="1820" t="str">
        <f>IF(L17="","",(1-(L17/$L$20))*100)</f>
        <v/>
      </c>
      <c r="M18" s="1821"/>
      <c r="N18" s="1822"/>
      <c r="O18" s="1823" t="str">
        <f>IF(O17="","",(1-(O17/$L$20))*100)</f>
        <v/>
      </c>
      <c r="P18" s="1821"/>
      <c r="Q18" s="1824"/>
      <c r="R18" s="1825" t="str">
        <f>IF(R17="","",(1-(R17/L20))*100)</f>
        <v/>
      </c>
      <c r="S18" s="1821"/>
      <c r="T18" s="1821"/>
      <c r="U18" s="1820" t="str">
        <f>IF(U17="","",(1-(U17/L20))*100)</f>
        <v/>
      </c>
      <c r="V18" s="1821"/>
      <c r="W18" s="1822"/>
      <c r="X18" s="1823" t="str">
        <f>IF(X17="","",(1-(X17/L20))*100)</f>
        <v/>
      </c>
      <c r="Y18" s="1821"/>
      <c r="Z18" s="1824"/>
      <c r="AA18" s="1825" t="str">
        <f>IF(AA17="","",(1-(AA17/L20))*100)</f>
        <v/>
      </c>
      <c r="AB18" s="1821"/>
      <c r="AC18" s="1821"/>
      <c r="AF18" s="1075">
        <v>8</v>
      </c>
      <c r="AG18" s="1075">
        <v>6</v>
      </c>
    </row>
    <row r="19" spans="1:41" ht="13.5" customHeight="1" x14ac:dyDescent="0.25">
      <c r="A19" s="463" t="s">
        <v>139</v>
      </c>
      <c r="B19" s="464"/>
      <c r="C19" s="464"/>
      <c r="D19" s="464"/>
      <c r="E19" s="464"/>
      <c r="F19" s="464"/>
      <c r="G19" s="464"/>
      <c r="H19" s="464"/>
      <c r="I19" s="464"/>
      <c r="J19" s="464"/>
      <c r="K19" s="510" t="s">
        <v>293</v>
      </c>
      <c r="L19" s="1815" t="str">
        <f>+IF(L16="","",(L18*L16)/100)</f>
        <v/>
      </c>
      <c r="M19" s="1816"/>
      <c r="N19" s="1816"/>
      <c r="O19" s="1816" t="str">
        <f>+IF(O16="","",(O18*O16)/100)</f>
        <v/>
      </c>
      <c r="P19" s="1816"/>
      <c r="Q19" s="1816"/>
      <c r="R19" s="1816" t="str">
        <f>+IF(R16="","",(R18*R16)/100)</f>
        <v/>
      </c>
      <c r="S19" s="1816"/>
      <c r="T19" s="1817"/>
      <c r="U19" s="1818" t="str">
        <f>+IF(U16="","",(U18*U16)/100)</f>
        <v/>
      </c>
      <c r="V19" s="1816"/>
      <c r="W19" s="1816"/>
      <c r="X19" s="1816" t="str">
        <f>+IF(X16="","",(X18*X16)/100)</f>
        <v/>
      </c>
      <c r="Y19" s="1816"/>
      <c r="Z19" s="1816"/>
      <c r="AA19" s="1816" t="str">
        <f>+IF(AA16="","",(AA18*AA16)/100)</f>
        <v/>
      </c>
      <c r="AB19" s="1816"/>
      <c r="AC19" s="1819"/>
    </row>
    <row r="20" spans="1:41" ht="13.5" customHeight="1" x14ac:dyDescent="0.25">
      <c r="A20" s="1834" t="s">
        <v>294</v>
      </c>
      <c r="B20" s="1835"/>
      <c r="C20" s="1835"/>
      <c r="D20" s="1835"/>
      <c r="E20" s="1835"/>
      <c r="F20" s="1835"/>
      <c r="G20" s="1835"/>
      <c r="H20" s="1835"/>
      <c r="I20" s="1835"/>
      <c r="J20" s="1835"/>
      <c r="K20" s="1835"/>
      <c r="L20" s="1836" t="str">
        <f>IF(L11="","",'5. Bulk y Rice'!G27)</f>
        <v/>
      </c>
      <c r="M20" s="1837"/>
      <c r="N20" s="1837"/>
      <c r="O20" s="1837"/>
      <c r="P20" s="1837"/>
      <c r="Q20" s="1837"/>
      <c r="R20" s="1837"/>
      <c r="S20" s="1837"/>
      <c r="T20" s="1838"/>
      <c r="U20" s="1836" t="str">
        <f>IF(L20="","",L20)</f>
        <v/>
      </c>
      <c r="V20" s="1837"/>
      <c r="W20" s="1837"/>
      <c r="X20" s="1837"/>
      <c r="Y20" s="1837"/>
      <c r="Z20" s="1837"/>
      <c r="AA20" s="1837"/>
      <c r="AB20" s="1837"/>
      <c r="AC20" s="1839"/>
    </row>
    <row r="21" spans="1:41" ht="13.5" customHeight="1" x14ac:dyDescent="0.25">
      <c r="A21" s="1828" t="s">
        <v>183</v>
      </c>
      <c r="B21" s="1829"/>
      <c r="C21" s="1829"/>
      <c r="D21" s="1829"/>
      <c r="E21" s="1829"/>
      <c r="F21" s="1829"/>
      <c r="G21" s="1829"/>
      <c r="H21" s="1829"/>
      <c r="I21" s="1829"/>
      <c r="J21" s="1829"/>
      <c r="K21" s="1829"/>
      <c r="L21" s="1840" t="str">
        <f>+IF(L17="","",AVERAGE(L17:T17))</f>
        <v/>
      </c>
      <c r="M21" s="1841"/>
      <c r="N21" s="1841"/>
      <c r="O21" s="1841"/>
      <c r="P21" s="1841"/>
      <c r="Q21" s="1841"/>
      <c r="R21" s="1841"/>
      <c r="S21" s="1841"/>
      <c r="T21" s="1842"/>
      <c r="U21" s="1841" t="str">
        <f>+IF(U17="","",AVERAGE(U17:AC17))</f>
        <v/>
      </c>
      <c r="V21" s="1841"/>
      <c r="W21" s="1841"/>
      <c r="X21" s="1841"/>
      <c r="Y21" s="1841"/>
      <c r="Z21" s="1841"/>
      <c r="AA21" s="1841"/>
      <c r="AB21" s="1841"/>
      <c r="AC21" s="1843"/>
      <c r="AD21" s="1826" t="s">
        <v>292</v>
      </c>
      <c r="AE21" s="1802"/>
      <c r="AF21" s="1802"/>
      <c r="AG21" s="1802"/>
      <c r="AH21" s="1802"/>
      <c r="AI21" s="1827"/>
    </row>
    <row r="22" spans="1:41" ht="13.5" customHeight="1" x14ac:dyDescent="0.25">
      <c r="A22" s="1828" t="s">
        <v>184</v>
      </c>
      <c r="B22" s="1829"/>
      <c r="C22" s="1829"/>
      <c r="D22" s="1829"/>
      <c r="E22" s="1829"/>
      <c r="F22" s="1829"/>
      <c r="G22" s="1829"/>
      <c r="H22" s="1829"/>
      <c r="I22" s="1829"/>
      <c r="J22" s="1829"/>
      <c r="K22" s="465" t="s">
        <v>36</v>
      </c>
      <c r="L22" s="1830" t="str">
        <f>+IF(L18="","",AVERAGE(L18:T18))</f>
        <v/>
      </c>
      <c r="M22" s="1831"/>
      <c r="N22" s="1831"/>
      <c r="O22" s="1831"/>
      <c r="P22" s="1831"/>
      <c r="Q22" s="1831"/>
      <c r="R22" s="1831"/>
      <c r="S22" s="1831"/>
      <c r="T22" s="1832"/>
      <c r="U22" s="1831" t="str">
        <f>+IF(U18="","",AVERAGE(U18:AC18))</f>
        <v/>
      </c>
      <c r="V22" s="1831"/>
      <c r="W22" s="1831"/>
      <c r="X22" s="1831"/>
      <c r="Y22" s="1831"/>
      <c r="Z22" s="1831"/>
      <c r="AA22" s="1831"/>
      <c r="AB22" s="1831"/>
      <c r="AC22" s="1833"/>
      <c r="AD22" s="537" t="str">
        <f>IF(L26="","",+L26)</f>
        <v/>
      </c>
      <c r="AE22" s="537"/>
      <c r="AF22" s="503" t="str">
        <f>IF(O26="","",+O26)</f>
        <v/>
      </c>
      <c r="AG22" s="503"/>
      <c r="AH22" s="536" t="str">
        <f>IF(R26="","",+R26)</f>
        <v/>
      </c>
      <c r="AI22" s="535"/>
    </row>
    <row r="23" spans="1:41" ht="13.5" customHeight="1" x14ac:dyDescent="0.25">
      <c r="A23" s="1828" t="s">
        <v>185</v>
      </c>
      <c r="B23" s="1829"/>
      <c r="C23" s="1829"/>
      <c r="D23" s="1829"/>
      <c r="E23" s="1829"/>
      <c r="F23" s="1829"/>
      <c r="G23" s="1829"/>
      <c r="H23" s="1829"/>
      <c r="I23" s="1829"/>
      <c r="J23" s="1829"/>
      <c r="K23" s="465" t="s">
        <v>293</v>
      </c>
      <c r="L23" s="1830" t="str">
        <f>+IF(L19="","",AVERAGE(L19:T19))</f>
        <v/>
      </c>
      <c r="M23" s="1831"/>
      <c r="N23" s="1831"/>
      <c r="O23" s="1831"/>
      <c r="P23" s="1831"/>
      <c r="Q23" s="1831"/>
      <c r="R23" s="1831"/>
      <c r="S23" s="1831"/>
      <c r="T23" s="1832"/>
      <c r="U23" s="1831" t="str">
        <f>+IF(U19="","",AVERAGE(U19:AC19))</f>
        <v/>
      </c>
      <c r="V23" s="1831"/>
      <c r="W23" s="1831"/>
      <c r="X23" s="1831"/>
      <c r="Y23" s="1831"/>
      <c r="Z23" s="1831"/>
      <c r="AA23" s="1831"/>
      <c r="AB23" s="1831"/>
      <c r="AC23" s="1833"/>
      <c r="AD23" s="61"/>
      <c r="AE23" s="62"/>
      <c r="AF23" s="63"/>
      <c r="AG23" s="62"/>
      <c r="AH23" s="63"/>
      <c r="AI23" s="62"/>
    </row>
    <row r="24" spans="1:41" ht="15" customHeight="1" x14ac:dyDescent="0.25">
      <c r="A24" s="1850" t="s">
        <v>129</v>
      </c>
      <c r="B24" s="1851"/>
      <c r="C24" s="1851"/>
      <c r="D24" s="1851"/>
      <c r="E24" s="1851"/>
      <c r="F24" s="1851"/>
      <c r="G24" s="1851"/>
      <c r="H24" s="1851"/>
      <c r="I24" s="1851"/>
      <c r="J24" s="1851"/>
      <c r="K24" s="1851"/>
      <c r="L24" s="1852" t="s">
        <v>130</v>
      </c>
      <c r="M24" s="1852"/>
      <c r="N24" s="1852"/>
      <c r="O24" s="1852"/>
      <c r="P24" s="1852"/>
      <c r="Q24" s="1852"/>
      <c r="R24" s="1852"/>
      <c r="S24" s="1852"/>
      <c r="T24" s="1852"/>
      <c r="U24" s="1852"/>
      <c r="V24" s="1852"/>
      <c r="W24" s="1852"/>
      <c r="X24" s="1852"/>
      <c r="Y24" s="1852"/>
      <c r="Z24" s="1852"/>
      <c r="AA24" s="1852"/>
      <c r="AB24" s="1852"/>
      <c r="AC24" s="1853"/>
      <c r="AD24" s="64"/>
      <c r="AE24" s="65"/>
      <c r="AF24" s="66"/>
      <c r="AG24" s="65"/>
      <c r="AH24" s="66"/>
      <c r="AI24" s="65"/>
    </row>
    <row r="25" spans="1:41" ht="15" customHeight="1" x14ac:dyDescent="0.25">
      <c r="A25" s="1854" t="s">
        <v>144</v>
      </c>
      <c r="B25" s="1855"/>
      <c r="C25" s="1855"/>
      <c r="D25" s="1855"/>
      <c r="E25" s="1855"/>
      <c r="F25" s="1855"/>
      <c r="G25" s="1855"/>
      <c r="H25" s="1855"/>
      <c r="I25" s="1855"/>
      <c r="J25" s="1855"/>
      <c r="K25" s="1855"/>
      <c r="L25" s="1856" t="s">
        <v>145</v>
      </c>
      <c r="M25" s="1856"/>
      <c r="N25" s="1856"/>
      <c r="O25" s="1856"/>
      <c r="P25" s="1856"/>
      <c r="Q25" s="1856"/>
      <c r="R25" s="1856"/>
      <c r="S25" s="1856"/>
      <c r="T25" s="1856"/>
      <c r="U25" s="1857" t="s">
        <v>146</v>
      </c>
      <c r="V25" s="1857"/>
      <c r="W25" s="1857"/>
      <c r="X25" s="1857"/>
      <c r="Y25" s="1857"/>
      <c r="Z25" s="1857"/>
      <c r="AA25" s="1857"/>
      <c r="AB25" s="1857"/>
      <c r="AC25" s="1858"/>
      <c r="AD25" s="1826" t="s">
        <v>301</v>
      </c>
      <c r="AE25" s="1802"/>
      <c r="AF25" s="1802"/>
      <c r="AG25" s="1802"/>
      <c r="AH25" s="1802"/>
      <c r="AI25" s="1827"/>
    </row>
    <row r="26" spans="1:41" ht="15" customHeight="1" x14ac:dyDescent="0.25">
      <c r="A26" s="466" t="s">
        <v>132</v>
      </c>
      <c r="B26" s="467"/>
      <c r="C26" s="467"/>
      <c r="D26" s="467"/>
      <c r="E26" s="467"/>
      <c r="F26" s="467"/>
      <c r="G26" s="467"/>
      <c r="H26" s="467"/>
      <c r="I26" s="467"/>
      <c r="J26" s="467"/>
      <c r="K26" s="468"/>
      <c r="L26" s="1844"/>
      <c r="M26" s="1845"/>
      <c r="N26" s="1845"/>
      <c r="O26" s="1845"/>
      <c r="P26" s="1845"/>
      <c r="Q26" s="1845"/>
      <c r="R26" s="1845"/>
      <c r="S26" s="1845"/>
      <c r="T26" s="1846"/>
      <c r="U26" s="1847" t="str">
        <f>IF(L26="","",L26)</f>
        <v/>
      </c>
      <c r="V26" s="1848"/>
      <c r="W26" s="1848"/>
      <c r="X26" s="1848" t="str">
        <f t="shared" ref="X26" si="0">IF(O26="","",O26)</f>
        <v/>
      </c>
      <c r="Y26" s="1848"/>
      <c r="Z26" s="1848"/>
      <c r="AA26" s="1848" t="str">
        <f t="shared" ref="AA26" si="1">IF(R26="","",R26)</f>
        <v/>
      </c>
      <c r="AB26" s="1848"/>
      <c r="AC26" s="1849"/>
      <c r="AD26" s="538" t="str">
        <f>IF(L26="","",HLOOKUP(AD22,$L$10:$AC$19,4))</f>
        <v/>
      </c>
      <c r="AE26" s="538"/>
      <c r="AF26" s="538" t="str">
        <f>IF(O26="","",HLOOKUP(AF22,$L$10:$AC$19,4))</f>
        <v/>
      </c>
      <c r="AG26" s="538"/>
      <c r="AH26" s="538" t="str">
        <f>IF(R26="","",HLOOKUP(AH22,$L$10:$AC$19,4))</f>
        <v/>
      </c>
      <c r="AI26" s="538"/>
      <c r="AJ26" s="67"/>
    </row>
    <row r="27" spans="1:41" ht="13.5" customHeight="1" x14ac:dyDescent="0.25">
      <c r="A27" s="469" t="s">
        <v>295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1" t="s">
        <v>10</v>
      </c>
      <c r="L27" s="1860"/>
      <c r="M27" s="1861"/>
      <c r="N27" s="1861"/>
      <c r="O27" s="1861"/>
      <c r="P27" s="1861"/>
      <c r="Q27" s="1861"/>
      <c r="R27" s="1861"/>
      <c r="S27" s="1861"/>
      <c r="T27" s="1862"/>
      <c r="U27" s="1792" t="str">
        <f>++IF(AD23="","",AVERAGE(AD23:AE24))</f>
        <v/>
      </c>
      <c r="V27" s="1793"/>
      <c r="W27" s="1793"/>
      <c r="X27" s="1793" t="str">
        <f>+IF(AF23="","",AVERAGE(AF23:AG24))</f>
        <v/>
      </c>
      <c r="Y27" s="1793"/>
      <c r="Z27" s="1793"/>
      <c r="AA27" s="1793" t="str">
        <f>+IF(AH23="","",AVERAGE(AH23:AI24))</f>
        <v/>
      </c>
      <c r="AB27" s="1793"/>
      <c r="AC27" s="1794"/>
      <c r="AD27" s="1826" t="s">
        <v>302</v>
      </c>
      <c r="AE27" s="1802"/>
      <c r="AF27" s="1802"/>
      <c r="AG27" s="1802"/>
      <c r="AH27" s="1802"/>
      <c r="AI27" s="1827"/>
      <c r="AJ27" s="1859"/>
      <c r="AK27" s="1859"/>
      <c r="AL27" s="1859"/>
      <c r="AM27" s="1859"/>
      <c r="AN27" s="1859"/>
      <c r="AO27" s="1859"/>
    </row>
    <row r="28" spans="1:41" ht="13.5" customHeight="1" x14ac:dyDescent="0.25">
      <c r="A28" s="472" t="s">
        <v>147</v>
      </c>
      <c r="B28" s="473"/>
      <c r="C28" s="473"/>
      <c r="D28" s="473"/>
      <c r="E28" s="473"/>
      <c r="F28" s="473"/>
      <c r="G28" s="473"/>
      <c r="H28" s="473"/>
      <c r="I28" s="473"/>
      <c r="J28" s="473"/>
      <c r="K28" s="474" t="s">
        <v>37</v>
      </c>
      <c r="L28" s="1797"/>
      <c r="M28" s="1798"/>
      <c r="N28" s="1798"/>
      <c r="O28" s="1798"/>
      <c r="P28" s="1798"/>
      <c r="Q28" s="1798"/>
      <c r="R28" s="1798"/>
      <c r="S28" s="1798"/>
      <c r="T28" s="1799"/>
      <c r="U28" s="1797"/>
      <c r="V28" s="1798"/>
      <c r="W28" s="1798"/>
      <c r="X28" s="1798"/>
      <c r="Y28" s="1798"/>
      <c r="Z28" s="1798"/>
      <c r="AA28" s="1798"/>
      <c r="AB28" s="1798"/>
      <c r="AC28" s="1801"/>
      <c r="AD28" s="1863" t="str">
        <f>IF(L26="","",HLOOKUP(AD22,$L$10:$AC$19,10))</f>
        <v/>
      </c>
      <c r="AE28" s="1863"/>
      <c r="AF28" s="1863" t="str">
        <f>IF(O26="","",HLOOKUP(AF22,$L$10:$AC$19,10))</f>
        <v/>
      </c>
      <c r="AG28" s="1863"/>
      <c r="AH28" s="1863" t="str">
        <f>IF(R26="","",HLOOKUP(AH22,$L$10:$AC$19,10))</f>
        <v/>
      </c>
      <c r="AI28" s="1863"/>
      <c r="AJ28" s="68"/>
      <c r="AK28" s="69"/>
      <c r="AL28" s="69"/>
      <c r="AM28" s="69"/>
      <c r="AN28" s="69"/>
      <c r="AO28" s="69"/>
    </row>
    <row r="29" spans="1:41" ht="13.5" customHeight="1" x14ac:dyDescent="0.25">
      <c r="A29" s="472" t="s">
        <v>456</v>
      </c>
      <c r="B29" s="473"/>
      <c r="C29" s="473"/>
      <c r="D29" s="473"/>
      <c r="E29" s="473"/>
      <c r="F29" s="473"/>
      <c r="G29" s="473"/>
      <c r="H29" s="473"/>
      <c r="I29" s="473"/>
      <c r="J29" s="473"/>
      <c r="K29" s="474" t="s">
        <v>37</v>
      </c>
      <c r="L29" s="1797"/>
      <c r="M29" s="1798"/>
      <c r="N29" s="1798"/>
      <c r="O29" s="1798"/>
      <c r="P29" s="1798"/>
      <c r="Q29" s="1798"/>
      <c r="R29" s="1798"/>
      <c r="S29" s="1798"/>
      <c r="T29" s="1799"/>
      <c r="U29" s="1797"/>
      <c r="V29" s="1798"/>
      <c r="W29" s="1798"/>
      <c r="X29" s="1798"/>
      <c r="Y29" s="1798"/>
      <c r="Z29" s="1798"/>
      <c r="AA29" s="1798"/>
      <c r="AB29" s="1798"/>
      <c r="AC29" s="1801"/>
      <c r="AD29" s="1864" t="s">
        <v>303</v>
      </c>
      <c r="AE29" s="1864"/>
      <c r="AF29" s="1864"/>
      <c r="AG29" s="1864"/>
      <c r="AH29" s="1864"/>
      <c r="AI29" s="1864"/>
      <c r="AJ29" s="68"/>
      <c r="AK29" s="69"/>
      <c r="AL29" s="69"/>
      <c r="AM29" s="69"/>
      <c r="AN29" s="69"/>
      <c r="AO29" s="69"/>
    </row>
    <row r="30" spans="1:41" ht="13.5" customHeight="1" x14ac:dyDescent="0.25">
      <c r="A30" s="472" t="s">
        <v>148</v>
      </c>
      <c r="B30" s="473"/>
      <c r="C30" s="473"/>
      <c r="D30" s="473"/>
      <c r="E30" s="473"/>
      <c r="F30" s="473"/>
      <c r="G30" s="473"/>
      <c r="H30" s="473"/>
      <c r="I30" s="473"/>
      <c r="J30" s="473"/>
      <c r="K30" s="474" t="s">
        <v>37</v>
      </c>
      <c r="L30" s="1865" t="str">
        <f>+IF(L28="","",L28-L29)</f>
        <v/>
      </c>
      <c r="M30" s="1793"/>
      <c r="N30" s="1793"/>
      <c r="O30" s="1793" t="str">
        <f>+IF(O28="","",O28-O29)</f>
        <v/>
      </c>
      <c r="P30" s="1793"/>
      <c r="Q30" s="1793"/>
      <c r="R30" s="1793" t="str">
        <f>+IF(R28="","",R28-R29)</f>
        <v/>
      </c>
      <c r="S30" s="1793"/>
      <c r="T30" s="1866"/>
      <c r="U30" s="1792" t="str">
        <f>+IF(U28="","",(U28-U29))</f>
        <v/>
      </c>
      <c r="V30" s="1793"/>
      <c r="W30" s="1793"/>
      <c r="X30" s="1793" t="str">
        <f>+IF(X28="","",(X28-X29))</f>
        <v/>
      </c>
      <c r="Y30" s="1793"/>
      <c r="Z30" s="1793"/>
      <c r="AA30" s="1793" t="str">
        <f>+IF(AA28="","",(AA28-AA29))</f>
        <v/>
      </c>
      <c r="AB30" s="1793"/>
      <c r="AC30" s="1794"/>
      <c r="AD30" s="1863" t="str">
        <f>IF(U26="","",HLOOKUP(AD22,$L$10:$AC$19,5))</f>
        <v/>
      </c>
      <c r="AE30" s="1863"/>
      <c r="AF30" s="1863" t="str">
        <f>IF(X26="","",HLOOKUP(AF22,$L$10:$AC$19,5))</f>
        <v/>
      </c>
      <c r="AG30" s="1863"/>
      <c r="AH30" s="1863" t="str">
        <f>IF(AA26="","",HLOOKUP(AH22,$L$10:$AC$19,5))</f>
        <v/>
      </c>
      <c r="AI30" s="1863"/>
    </row>
    <row r="31" spans="1:41" ht="13.5" customHeight="1" x14ac:dyDescent="0.25">
      <c r="A31" s="472" t="s">
        <v>149</v>
      </c>
      <c r="B31" s="473"/>
      <c r="C31" s="473"/>
      <c r="D31" s="473"/>
      <c r="E31" s="473"/>
      <c r="F31" s="473"/>
      <c r="G31" s="473"/>
      <c r="H31" s="473"/>
      <c r="I31" s="473"/>
      <c r="J31" s="473"/>
      <c r="K31" s="462" t="s">
        <v>293</v>
      </c>
      <c r="L31" s="1789" t="str">
        <f>+IF(AD26="","",L28-AD26)</f>
        <v/>
      </c>
      <c r="M31" s="1790"/>
      <c r="N31" s="1790"/>
      <c r="O31" s="1790" t="str">
        <f>+IF(AF26="","",O28-AF26)</f>
        <v/>
      </c>
      <c r="P31" s="1790"/>
      <c r="Q31" s="1790"/>
      <c r="R31" s="1790" t="str">
        <f>+IF(AH26="","",R28-AH26)</f>
        <v/>
      </c>
      <c r="S31" s="1790"/>
      <c r="T31" s="1791"/>
      <c r="U31" s="1792" t="str">
        <f>+IF(AD30="","",AD30-AD26)</f>
        <v/>
      </c>
      <c r="V31" s="1793"/>
      <c r="W31" s="1793"/>
      <c r="X31" s="1793" t="str">
        <f>+IF(AF30="","",AF30-AF26)</f>
        <v/>
      </c>
      <c r="Y31" s="1793"/>
      <c r="Z31" s="1793"/>
      <c r="AA31" s="1793" t="str">
        <f>+IF(AH30="","",AH30-AH26)</f>
        <v/>
      </c>
      <c r="AB31" s="1793"/>
      <c r="AC31" s="1794"/>
      <c r="AD31" s="1826" t="s">
        <v>136</v>
      </c>
      <c r="AE31" s="1802"/>
      <c r="AF31" s="1802"/>
      <c r="AG31" s="1802"/>
      <c r="AH31" s="1802"/>
      <c r="AI31" s="1827"/>
    </row>
    <row r="32" spans="1:41" ht="13.5" customHeight="1" x14ac:dyDescent="0.25">
      <c r="A32" s="472" t="s">
        <v>161</v>
      </c>
      <c r="B32" s="473"/>
      <c r="C32" s="473"/>
      <c r="D32" s="473"/>
      <c r="E32" s="473"/>
      <c r="F32" s="473"/>
      <c r="G32" s="473"/>
      <c r="H32" s="473"/>
      <c r="I32" s="473"/>
      <c r="J32" s="473"/>
      <c r="K32" s="475" t="s">
        <v>36</v>
      </c>
      <c r="L32" s="1865" t="str">
        <f>+IF(L31="","",(100*L31/AD28))</f>
        <v/>
      </c>
      <c r="M32" s="1793"/>
      <c r="N32" s="1793"/>
      <c r="O32" s="1793" t="str">
        <f>+IF(O31="","",(100*O31/AF28))</f>
        <v/>
      </c>
      <c r="P32" s="1793"/>
      <c r="Q32" s="1793"/>
      <c r="R32" s="1793" t="str">
        <f>+IF(R31="","",(100*R31/AH28))</f>
        <v/>
      </c>
      <c r="S32" s="1793"/>
      <c r="T32" s="1866"/>
      <c r="U32" s="1792" t="str">
        <f>+IF(U31="","",(100*U31/AD28))</f>
        <v/>
      </c>
      <c r="V32" s="1793"/>
      <c r="W32" s="1793"/>
      <c r="X32" s="1793" t="str">
        <f>+IF(X31="","",(100*X31/AF28))</f>
        <v/>
      </c>
      <c r="Y32" s="1793"/>
      <c r="Z32" s="1793"/>
      <c r="AA32" s="1793" t="str">
        <f>+IF(AA31="","",(100*AA31/AH28))</f>
        <v/>
      </c>
      <c r="AB32" s="1793"/>
      <c r="AC32" s="1794"/>
      <c r="AD32" s="1863" t="str">
        <f>IF(U26="","",HLOOKUP(AD22,$L$10:$AC$19,7))</f>
        <v/>
      </c>
      <c r="AE32" s="1863"/>
      <c r="AF32" s="1863" t="str">
        <f>IF(X26="","",HLOOKUP(AF22,$L$10:$AC$19,7))</f>
        <v/>
      </c>
      <c r="AG32" s="1863"/>
      <c r="AH32" s="1863" t="str">
        <f>IF(AA26="","",HLOOKUP(AH22,$L$10:$AC$19,7))</f>
        <v/>
      </c>
      <c r="AI32" s="1863"/>
    </row>
    <row r="33" spans="1:41" ht="13.5" customHeight="1" x14ac:dyDescent="0.25">
      <c r="A33" s="478" t="s">
        <v>150</v>
      </c>
      <c r="B33" s="480"/>
      <c r="C33" s="480"/>
      <c r="D33" s="480"/>
      <c r="E33" s="480"/>
      <c r="F33" s="480"/>
      <c r="G33" s="480"/>
      <c r="H33" s="480"/>
      <c r="I33" s="480"/>
      <c r="J33" s="480"/>
      <c r="K33" s="504" t="s">
        <v>36</v>
      </c>
      <c r="L33" s="1869" t="str">
        <f>+IF(L30="","",((L30-AD32)/AD32)*100)</f>
        <v/>
      </c>
      <c r="M33" s="1870"/>
      <c r="N33" s="1870"/>
      <c r="O33" s="1870" t="str">
        <f>+IF(O30="","",((O30-AF32)/AF32)*100)</f>
        <v/>
      </c>
      <c r="P33" s="1870"/>
      <c r="Q33" s="1870"/>
      <c r="R33" s="1870" t="str">
        <f>+IF(R30="","",((R30-AH32)/AH32)*100)</f>
        <v/>
      </c>
      <c r="S33" s="1870"/>
      <c r="T33" s="1871"/>
      <c r="U33" s="1869" t="str">
        <f>+IF(U30="","",((U30-AD32)/AD32)*100)</f>
        <v/>
      </c>
      <c r="V33" s="1870"/>
      <c r="W33" s="1870"/>
      <c r="X33" s="1870" t="str">
        <f>+IF(X30="","",((X30-AF32)/AF32)*100)</f>
        <v/>
      </c>
      <c r="Y33" s="1870"/>
      <c r="Z33" s="1870"/>
      <c r="AA33" s="1870" t="str">
        <f>+IF(AA30="","",((AA30-AH32)/AH32)*100)</f>
        <v/>
      </c>
      <c r="AB33" s="1870"/>
      <c r="AC33" s="1872"/>
      <c r="AD33" s="505"/>
      <c r="AE33" s="505"/>
      <c r="AF33" s="505"/>
      <c r="AG33" s="505"/>
      <c r="AH33" s="505"/>
      <c r="AI33" s="505"/>
    </row>
    <row r="34" spans="1:41" ht="13.5" customHeight="1" x14ac:dyDescent="0.25">
      <c r="A34" s="483" t="s">
        <v>152</v>
      </c>
      <c r="B34" s="484"/>
      <c r="C34" s="484"/>
      <c r="D34" s="484"/>
      <c r="E34" s="484"/>
      <c r="F34" s="484"/>
      <c r="G34" s="484"/>
      <c r="H34" s="484"/>
      <c r="I34" s="484"/>
      <c r="J34" s="482"/>
      <c r="K34" s="485" t="s">
        <v>36</v>
      </c>
      <c r="L34" s="1879" t="str">
        <f>+IF(L32="","",AVERAGE(L32:T32))</f>
        <v/>
      </c>
      <c r="M34" s="1880"/>
      <c r="N34" s="1880"/>
      <c r="O34" s="1880"/>
      <c r="P34" s="1880"/>
      <c r="Q34" s="1880"/>
      <c r="R34" s="1880"/>
      <c r="S34" s="1880"/>
      <c r="T34" s="1881"/>
      <c r="U34" s="1882" t="str">
        <f>+IF(U32="","",AVERAGE(U32:AC32))</f>
        <v/>
      </c>
      <c r="V34" s="1883"/>
      <c r="W34" s="1883"/>
      <c r="X34" s="1883"/>
      <c r="Y34" s="1883"/>
      <c r="Z34" s="1883"/>
      <c r="AA34" s="1883"/>
      <c r="AB34" s="1883"/>
      <c r="AC34" s="1884"/>
      <c r="AD34" s="505"/>
      <c r="AE34" s="505"/>
      <c r="AF34" s="505"/>
      <c r="AG34" s="505"/>
      <c r="AH34" s="505"/>
      <c r="AI34" s="505"/>
    </row>
    <row r="35" spans="1:41" ht="13.5" customHeight="1" x14ac:dyDescent="0.25">
      <c r="A35" s="506" t="s">
        <v>153</v>
      </c>
      <c r="B35" s="489"/>
      <c r="C35" s="489"/>
      <c r="D35" s="489"/>
      <c r="E35" s="489"/>
      <c r="F35" s="489"/>
      <c r="G35" s="489"/>
      <c r="H35" s="489"/>
      <c r="I35" s="489"/>
      <c r="J35" s="507"/>
      <c r="K35" s="508" t="s">
        <v>36</v>
      </c>
      <c r="L35" s="1885" t="str">
        <f>+IF(L33="","",AVERAGE(L33:T33))</f>
        <v/>
      </c>
      <c r="M35" s="1886"/>
      <c r="N35" s="1886"/>
      <c r="O35" s="1886"/>
      <c r="P35" s="1886"/>
      <c r="Q35" s="1886"/>
      <c r="R35" s="1886"/>
      <c r="S35" s="1886"/>
      <c r="T35" s="1887"/>
      <c r="U35" s="1888" t="str">
        <f>+IF(U33="","",AVERAGE(U33:AC33))</f>
        <v/>
      </c>
      <c r="V35" s="1889"/>
      <c r="W35" s="1889"/>
      <c r="X35" s="1889"/>
      <c r="Y35" s="1889"/>
      <c r="Z35" s="1889"/>
      <c r="AA35" s="1889"/>
      <c r="AB35" s="1889"/>
      <c r="AC35" s="1890"/>
      <c r="AD35" s="505"/>
      <c r="AE35" s="505"/>
      <c r="AF35" s="505"/>
      <c r="AG35" s="505"/>
      <c r="AH35" s="505"/>
      <c r="AI35" s="505"/>
    </row>
    <row r="36" spans="1:41" ht="15" customHeight="1" x14ac:dyDescent="0.25">
      <c r="A36" s="1850" t="s">
        <v>129</v>
      </c>
      <c r="B36" s="1851"/>
      <c r="C36" s="1851"/>
      <c r="D36" s="1851"/>
      <c r="E36" s="1851"/>
      <c r="F36" s="1851"/>
      <c r="G36" s="1851"/>
      <c r="H36" s="1851"/>
      <c r="I36" s="1851"/>
      <c r="J36" s="1851"/>
      <c r="K36" s="1867"/>
      <c r="L36" s="1868" t="s">
        <v>130</v>
      </c>
      <c r="M36" s="1852"/>
      <c r="N36" s="1852"/>
      <c r="O36" s="1852"/>
      <c r="P36" s="1852"/>
      <c r="Q36" s="1852"/>
      <c r="R36" s="1852"/>
      <c r="S36" s="1852"/>
      <c r="T36" s="1852"/>
      <c r="U36" s="1868" t="s">
        <v>131</v>
      </c>
      <c r="V36" s="1852"/>
      <c r="W36" s="1852"/>
      <c r="X36" s="1852"/>
      <c r="Y36" s="1852"/>
      <c r="Z36" s="1852"/>
      <c r="AA36" s="1852"/>
      <c r="AB36" s="1852"/>
      <c r="AC36" s="1853"/>
      <c r="AD36" s="505"/>
      <c r="AE36" s="505"/>
      <c r="AF36" s="505"/>
      <c r="AG36" s="505"/>
      <c r="AH36" s="505"/>
      <c r="AI36" s="505"/>
    </row>
    <row r="37" spans="1:41" ht="15" customHeight="1" x14ac:dyDescent="0.25">
      <c r="A37" s="1054" t="s">
        <v>482</v>
      </c>
      <c r="B37" s="1055"/>
      <c r="C37" s="1055"/>
      <c r="D37" s="1055"/>
      <c r="E37" s="1055"/>
      <c r="F37" s="1055"/>
      <c r="G37" s="1055"/>
      <c r="H37" s="1055"/>
      <c r="I37" s="1055"/>
      <c r="J37" s="1055"/>
      <c r="K37" s="1056"/>
      <c r="L37" s="1873" t="str">
        <f>IF(L26="","",L26)</f>
        <v/>
      </c>
      <c r="M37" s="1874"/>
      <c r="N37" s="1874"/>
      <c r="O37" s="1874" t="str">
        <f>IF(O26="","",O26)</f>
        <v/>
      </c>
      <c r="P37" s="1874"/>
      <c r="Q37" s="1874"/>
      <c r="R37" s="1874" t="str">
        <f>IF(R26="","",R26)</f>
        <v/>
      </c>
      <c r="S37" s="1874"/>
      <c r="T37" s="1875"/>
      <c r="U37" s="1876"/>
      <c r="V37" s="1877"/>
      <c r="W37" s="1877"/>
      <c r="X37" s="1877"/>
      <c r="Y37" s="1877"/>
      <c r="Z37" s="1877"/>
      <c r="AA37" s="1877"/>
      <c r="AB37" s="1877"/>
      <c r="AC37" s="1878"/>
    </row>
    <row r="38" spans="1:41" ht="14.15" customHeight="1" x14ac:dyDescent="0.25">
      <c r="A38" s="460" t="s">
        <v>140</v>
      </c>
      <c r="B38" s="461"/>
      <c r="C38" s="461"/>
      <c r="D38" s="461"/>
      <c r="E38" s="461"/>
      <c r="F38" s="461"/>
      <c r="G38" s="461"/>
      <c r="H38" s="461"/>
      <c r="I38" s="461"/>
      <c r="J38" s="461"/>
      <c r="K38" s="474" t="s">
        <v>141</v>
      </c>
      <c r="L38" s="1897"/>
      <c r="M38" s="1898"/>
      <c r="N38" s="1898"/>
      <c r="O38" s="1898"/>
      <c r="P38" s="1898"/>
      <c r="Q38" s="1898"/>
      <c r="R38" s="1898"/>
      <c r="S38" s="1898"/>
      <c r="T38" s="1899"/>
      <c r="U38" s="1897"/>
      <c r="V38" s="1898"/>
      <c r="W38" s="1898"/>
      <c r="X38" s="1898"/>
      <c r="Y38" s="1898"/>
      <c r="Z38" s="1898"/>
      <c r="AA38" s="1898"/>
      <c r="AB38" s="1898"/>
      <c r="AC38" s="1899"/>
      <c r="AF38" s="491"/>
      <c r="AJ38" s="1859"/>
      <c r="AK38" s="1859"/>
      <c r="AL38" s="1859"/>
      <c r="AM38" s="1859"/>
      <c r="AN38" s="1859"/>
      <c r="AO38" s="1859"/>
    </row>
    <row r="39" spans="1:41" ht="14.15" customHeight="1" x14ac:dyDescent="0.25">
      <c r="A39" s="460" t="s">
        <v>142</v>
      </c>
      <c r="B39" s="461"/>
      <c r="C39" s="461"/>
      <c r="D39" s="461"/>
      <c r="E39" s="461"/>
      <c r="F39" s="461"/>
      <c r="G39" s="461"/>
      <c r="H39" s="461"/>
      <c r="I39" s="461"/>
      <c r="J39" s="461"/>
      <c r="K39" s="474" t="s">
        <v>143</v>
      </c>
      <c r="L39" s="1891" t="str">
        <f>+IF(L38="","",L38*1000)</f>
        <v/>
      </c>
      <c r="M39" s="1892"/>
      <c r="N39" s="1892"/>
      <c r="O39" s="1892" t="str">
        <f>+IF(O38="","",O38*1000)</f>
        <v/>
      </c>
      <c r="P39" s="1892"/>
      <c r="Q39" s="1892"/>
      <c r="R39" s="1892" t="str">
        <f>+IF(R38="","",R38*1000)</f>
        <v/>
      </c>
      <c r="S39" s="1892"/>
      <c r="T39" s="1893"/>
      <c r="U39" s="1894" t="str">
        <f>+IF(U38="","",(U38*1000))</f>
        <v/>
      </c>
      <c r="V39" s="1895"/>
      <c r="W39" s="1895"/>
      <c r="X39" s="1895" t="str">
        <f>+IF(X38="","",(X38*1000))</f>
        <v/>
      </c>
      <c r="Y39" s="1895"/>
      <c r="Z39" s="1895"/>
      <c r="AA39" s="1895" t="str">
        <f>+IF(AA38="","",(AA38*1000))</f>
        <v/>
      </c>
      <c r="AB39" s="1895"/>
      <c r="AC39" s="1896"/>
    </row>
    <row r="40" spans="1:41" ht="14.15" customHeight="1" x14ac:dyDescent="0.25">
      <c r="A40" s="478" t="s">
        <v>296</v>
      </c>
      <c r="B40" s="479"/>
      <c r="C40" s="479"/>
      <c r="D40" s="479"/>
      <c r="E40" s="479"/>
      <c r="F40" s="479"/>
      <c r="G40" s="479"/>
      <c r="H40" s="479"/>
      <c r="I40" s="479"/>
      <c r="J40" s="480"/>
      <c r="K40" s="481" t="s">
        <v>151</v>
      </c>
      <c r="L40" s="1926" t="str">
        <f>+IF(L11="","",(((2000*L39)/(PI()*L12*L11))))</f>
        <v/>
      </c>
      <c r="M40" s="1927"/>
      <c r="N40" s="1927"/>
      <c r="O40" s="1927" t="str">
        <f>+IF(O11="","",(((2000*O39)/(PI()*O12*O11))))</f>
        <v/>
      </c>
      <c r="P40" s="1927"/>
      <c r="Q40" s="1927"/>
      <c r="R40" s="1927" t="str">
        <f>+IF(R11="","",(((2000*R39)/(PI()*R12*R11))))</f>
        <v/>
      </c>
      <c r="S40" s="1927"/>
      <c r="T40" s="1928"/>
      <c r="U40" s="1929" t="str">
        <f>+IF(U11="","",((((2000*U39)/(PI()*U12*U11)))))</f>
        <v/>
      </c>
      <c r="V40" s="1930"/>
      <c r="W40" s="1930"/>
      <c r="X40" s="1930" t="str">
        <f>+IF(X11="","",((((2000*X39)/(PI()*X12*X11)))))</f>
        <v/>
      </c>
      <c r="Y40" s="1930"/>
      <c r="Z40" s="1930"/>
      <c r="AA40" s="1930" t="str">
        <f>+IF(AA11="","",((((2000*AA39)/(PI()*AA12*AA11)))))</f>
        <v/>
      </c>
      <c r="AB40" s="1930"/>
      <c r="AC40" s="1931"/>
    </row>
    <row r="41" spans="1:41" ht="14.15" customHeight="1" x14ac:dyDescent="0.25">
      <c r="A41" s="476" t="s">
        <v>297</v>
      </c>
      <c r="B41" s="509"/>
      <c r="C41" s="509"/>
      <c r="D41" s="509"/>
      <c r="E41" s="509"/>
      <c r="F41" s="509"/>
      <c r="G41" s="509"/>
      <c r="H41" s="509"/>
      <c r="I41" s="509"/>
      <c r="J41" s="477"/>
      <c r="K41" s="510" t="s">
        <v>151</v>
      </c>
      <c r="L41" s="1907" t="str">
        <f>+IF(L40="","",AVERAGE(L40:T40))</f>
        <v/>
      </c>
      <c r="M41" s="1908"/>
      <c r="N41" s="1908"/>
      <c r="O41" s="1908"/>
      <c r="P41" s="1908"/>
      <c r="Q41" s="1908"/>
      <c r="R41" s="1908"/>
      <c r="S41" s="1908"/>
      <c r="T41" s="1909"/>
      <c r="U41" s="1910" t="str">
        <f>+IF(U40="","",AVERAGE(U40:AC40))</f>
        <v/>
      </c>
      <c r="V41" s="1911"/>
      <c r="W41" s="1911"/>
      <c r="X41" s="1911"/>
      <c r="Y41" s="1911"/>
      <c r="Z41" s="1911"/>
      <c r="AA41" s="1911"/>
      <c r="AB41" s="1911"/>
      <c r="AC41" s="1912"/>
    </row>
    <row r="42" spans="1:41" ht="15" customHeight="1" x14ac:dyDescent="0.25">
      <c r="A42" s="1913" t="s">
        <v>154</v>
      </c>
      <c r="B42" s="1914"/>
      <c r="C42" s="1914"/>
      <c r="D42" s="1914"/>
      <c r="E42" s="1914"/>
      <c r="F42" s="1914"/>
      <c r="G42" s="1914"/>
      <c r="H42" s="1914"/>
      <c r="I42" s="1914"/>
      <c r="J42" s="1914"/>
      <c r="K42" s="486" t="s">
        <v>36</v>
      </c>
      <c r="L42" s="1915" t="str">
        <f>+IF(U41="","",((L41/U41)*100))</f>
        <v/>
      </c>
      <c r="M42" s="1916"/>
      <c r="N42" s="1916"/>
      <c r="O42" s="1916"/>
      <c r="P42" s="1916"/>
      <c r="Q42" s="1916"/>
      <c r="R42" s="1916"/>
      <c r="S42" s="1916"/>
      <c r="T42" s="1916"/>
      <c r="U42" s="1916"/>
      <c r="V42" s="1916"/>
      <c r="W42" s="1916"/>
      <c r="X42" s="1916"/>
      <c r="Y42" s="1916"/>
      <c r="Z42" s="1916"/>
      <c r="AA42" s="1916"/>
      <c r="AB42" s="1916"/>
      <c r="AC42" s="1917"/>
    </row>
    <row r="43" spans="1:41" ht="15" customHeight="1" x14ac:dyDescent="0.25">
      <c r="A43" s="487" t="s">
        <v>155</v>
      </c>
      <c r="B43" s="484"/>
      <c r="C43" s="484"/>
      <c r="D43" s="484"/>
      <c r="E43" s="484"/>
      <c r="F43" s="484"/>
      <c r="G43" s="484"/>
      <c r="H43" s="1918" t="s">
        <v>156</v>
      </c>
      <c r="I43" s="1918"/>
      <c r="J43" s="1918"/>
      <c r="K43" s="1919"/>
      <c r="L43" s="1920" t="str">
        <f>IF(U41="","",(IF(L41&gt;=(0.8*U41),"Se acepta","Se rechaza")))</f>
        <v/>
      </c>
      <c r="M43" s="1921"/>
      <c r="N43" s="1921"/>
      <c r="O43" s="1921"/>
      <c r="P43" s="1921"/>
      <c r="Q43" s="1921"/>
      <c r="R43" s="1921"/>
      <c r="S43" s="1921"/>
      <c r="T43" s="1921"/>
      <c r="U43" s="1921"/>
      <c r="V43" s="1921"/>
      <c r="W43" s="1921"/>
      <c r="X43" s="1921"/>
      <c r="Y43" s="1921"/>
      <c r="Z43" s="1921"/>
      <c r="AA43" s="1921"/>
      <c r="AB43" s="1921"/>
      <c r="AC43" s="1922"/>
    </row>
    <row r="44" spans="1:41" ht="15" customHeight="1" x14ac:dyDescent="0.25">
      <c r="A44" s="488" t="s">
        <v>157</v>
      </c>
      <c r="B44" s="489"/>
      <c r="C44" s="489"/>
      <c r="D44" s="489"/>
      <c r="E44" s="489"/>
      <c r="F44" s="489"/>
      <c r="G44" s="489"/>
      <c r="H44" s="489"/>
      <c r="I44" s="489"/>
      <c r="J44" s="489"/>
      <c r="K44" s="490"/>
      <c r="L44" s="1901"/>
      <c r="M44" s="1902"/>
      <c r="N44" s="1902"/>
      <c r="O44" s="1902"/>
      <c r="P44" s="1902"/>
      <c r="Q44" s="1902"/>
      <c r="R44" s="1902"/>
      <c r="S44" s="1902"/>
      <c r="T44" s="1902"/>
      <c r="U44" s="1903"/>
      <c r="V44" s="1903"/>
      <c r="W44" s="1903"/>
      <c r="X44" s="1903"/>
      <c r="Y44" s="1903"/>
      <c r="Z44" s="1903"/>
      <c r="AA44" s="1903"/>
      <c r="AB44" s="1903"/>
      <c r="AC44" s="1904"/>
    </row>
    <row r="45" spans="1:41" ht="9" customHeight="1" x14ac:dyDescent="0.25">
      <c r="A45" s="1047"/>
      <c r="B45" s="1048"/>
      <c r="C45" s="1048"/>
      <c r="D45" s="1048"/>
      <c r="E45" s="1048"/>
      <c r="F45" s="1048"/>
      <c r="G45" s="1048"/>
      <c r="H45" s="1048"/>
      <c r="I45" s="1048"/>
      <c r="J45" s="1048"/>
      <c r="K45" s="1049"/>
      <c r="L45" s="1050"/>
      <c r="M45" s="1050"/>
      <c r="N45" s="1050"/>
      <c r="O45" s="1050"/>
      <c r="P45" s="1050"/>
      <c r="Q45" s="1050"/>
      <c r="R45" s="1050"/>
      <c r="S45" s="1050"/>
      <c r="T45" s="1050"/>
      <c r="U45" s="1050"/>
      <c r="V45" s="1050"/>
      <c r="W45" s="1050"/>
      <c r="X45" s="1050"/>
      <c r="Y45" s="1050"/>
      <c r="Z45" s="1050"/>
      <c r="AA45" s="1050"/>
      <c r="AB45" s="1050"/>
      <c r="AC45" s="1051"/>
    </row>
    <row r="46" spans="1:41" ht="15" customHeight="1" x14ac:dyDescent="0.25">
      <c r="A46" s="1035"/>
      <c r="B46" s="1914" t="s">
        <v>312</v>
      </c>
      <c r="C46" s="1914"/>
      <c r="D46" s="1914"/>
      <c r="E46" s="1914"/>
      <c r="F46" s="1914"/>
      <c r="G46" s="1925"/>
      <c r="H46" s="1925"/>
      <c r="I46" s="1925"/>
      <c r="J46" s="1925"/>
      <c r="K46" s="1038" t="str">
        <f>IF(L46="","","al")</f>
        <v/>
      </c>
      <c r="L46" s="1925"/>
      <c r="M46" s="1925"/>
      <c r="N46" s="1925"/>
      <c r="O46" s="1925"/>
      <c r="P46" s="1039"/>
      <c r="Q46" s="1039"/>
      <c r="R46" s="1039"/>
      <c r="V46" s="1036"/>
      <c r="W46" s="1036"/>
      <c r="X46" s="1036"/>
      <c r="Y46" s="1036"/>
      <c r="Z46" s="1036"/>
      <c r="AA46" s="1036"/>
      <c r="AB46" s="1036"/>
      <c r="AC46" s="1037"/>
    </row>
    <row r="47" spans="1:41" ht="10.5" customHeight="1" x14ac:dyDescent="0.25">
      <c r="A47" s="1040"/>
      <c r="B47" s="1041"/>
      <c r="C47" s="1042"/>
      <c r="D47" s="1042"/>
      <c r="E47" s="1042"/>
      <c r="F47" s="1042"/>
      <c r="G47" s="1042"/>
      <c r="H47" s="1042"/>
      <c r="I47" s="1042"/>
      <c r="J47" s="1042"/>
      <c r="K47" s="1043"/>
      <c r="L47" s="1044"/>
      <c r="M47" s="1044"/>
      <c r="N47" s="1044"/>
      <c r="O47" s="1044"/>
      <c r="P47" s="1044"/>
      <c r="Q47" s="1044"/>
      <c r="R47" s="1044"/>
      <c r="S47" s="1044"/>
      <c r="T47" s="1044"/>
      <c r="U47" s="1044"/>
      <c r="V47" s="1044"/>
      <c r="W47" s="1044"/>
      <c r="X47" s="1044"/>
      <c r="Y47" s="1044"/>
      <c r="Z47" s="1044"/>
      <c r="AA47" s="1044"/>
      <c r="AB47" s="1044"/>
      <c r="AC47" s="1045"/>
    </row>
    <row r="48" spans="1:41" ht="11.25" customHeight="1" x14ac:dyDescent="0.25">
      <c r="A48" s="553"/>
      <c r="B48" s="1905" t="s">
        <v>3</v>
      </c>
      <c r="C48" s="1905"/>
      <c r="D48" s="1905"/>
      <c r="E48" s="1905"/>
      <c r="F48" s="1905"/>
      <c r="G48" s="1923"/>
      <c r="H48" s="1923"/>
      <c r="I48" s="1923"/>
      <c r="J48" s="1923"/>
      <c r="K48" s="1923"/>
      <c r="L48" s="1923"/>
      <c r="M48" s="1046"/>
      <c r="N48" s="1046"/>
      <c r="O48" s="1046"/>
      <c r="P48" s="1046"/>
      <c r="Q48" s="1046"/>
      <c r="R48" s="1011" t="str">
        <f>IF(M48="","","al")</f>
        <v/>
      </c>
      <c r="S48" s="1924"/>
      <c r="T48" s="1924"/>
      <c r="U48" s="1924"/>
      <c r="V48" s="1924"/>
      <c r="W48" s="1924"/>
      <c r="X48" s="971"/>
      <c r="Y48" s="971"/>
      <c r="Z48" s="971"/>
      <c r="AA48" s="971"/>
      <c r="AB48" s="971"/>
      <c r="AC48" s="554"/>
      <c r="AD48" s="491" t="s">
        <v>298</v>
      </c>
    </row>
    <row r="49" spans="1:41" ht="15" customHeight="1" thickBot="1" x14ac:dyDescent="0.3">
      <c r="A49" s="555"/>
      <c r="B49" s="1052"/>
      <c r="C49" s="1052"/>
      <c r="D49" s="1052"/>
      <c r="E49" s="1052"/>
      <c r="F49" s="1052"/>
      <c r="G49" s="1052"/>
      <c r="H49" s="1052"/>
      <c r="I49" s="1052"/>
      <c r="J49" s="1052"/>
      <c r="K49" s="1052"/>
      <c r="L49" s="1052"/>
      <c r="M49" s="1052"/>
      <c r="N49" s="1052"/>
      <c r="O49" s="1052"/>
      <c r="P49" s="1052"/>
      <c r="Q49" s="1052"/>
      <c r="R49" s="1052"/>
      <c r="S49" s="1052"/>
      <c r="T49" s="1052"/>
      <c r="U49" s="1052"/>
      <c r="V49" s="1052"/>
      <c r="W49" s="1052"/>
      <c r="X49" s="1052"/>
      <c r="Y49" s="1052"/>
      <c r="Z49" s="1052"/>
      <c r="AA49" s="1052"/>
      <c r="AB49" s="1052"/>
      <c r="AC49" s="556"/>
      <c r="AD49" s="492" t="s">
        <v>299</v>
      </c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</row>
    <row r="50" spans="1:41" s="70" customFormat="1" ht="15" customHeight="1" thickTop="1" thickBot="1" x14ac:dyDescent="0.3">
      <c r="A50" s="1906" t="s">
        <v>158</v>
      </c>
      <c r="B50" s="1906"/>
      <c r="C50" s="1906"/>
      <c r="D50" s="1906"/>
      <c r="E50" s="1906"/>
      <c r="F50" s="1906"/>
      <c r="G50" s="1906"/>
      <c r="H50" s="1906"/>
      <c r="I50" s="1906"/>
      <c r="J50" s="1906"/>
      <c r="K50" s="1906"/>
      <c r="L50" s="1906"/>
      <c r="M50" s="1906"/>
      <c r="N50" s="1906"/>
      <c r="O50" s="1906"/>
      <c r="P50" s="1906"/>
      <c r="Q50" s="1906"/>
      <c r="R50" s="1906"/>
      <c r="S50" s="1906"/>
      <c r="T50" s="1906"/>
      <c r="U50" s="1906"/>
      <c r="V50" s="1906"/>
      <c r="W50" s="1906"/>
      <c r="X50" s="1906"/>
      <c r="Y50" s="1906"/>
      <c r="Z50" s="1906"/>
      <c r="AA50" s="1906"/>
      <c r="AB50" s="1906"/>
      <c r="AC50" s="1906"/>
      <c r="AD50" s="492"/>
    </row>
    <row r="51" spans="1:41" s="70" customFormat="1" ht="5.25" customHeight="1" thickTop="1" x14ac:dyDescent="0.2">
      <c r="A51" s="1900"/>
      <c r="B51" s="1900"/>
      <c r="C51" s="1900"/>
      <c r="D51" s="1900"/>
      <c r="E51" s="1900"/>
      <c r="F51" s="1900"/>
      <c r="G51" s="1900"/>
      <c r="H51" s="1900"/>
      <c r="I51" s="1900"/>
      <c r="J51" s="1900"/>
      <c r="K51" s="1900"/>
      <c r="L51" s="1900"/>
      <c r="M51" s="1900"/>
      <c r="N51" s="1900"/>
      <c r="O51" s="1900"/>
      <c r="P51" s="1900"/>
      <c r="Q51" s="1900"/>
      <c r="R51" s="1900"/>
      <c r="S51" s="1900"/>
      <c r="T51" s="1900"/>
      <c r="U51" s="1900"/>
      <c r="V51" s="1900"/>
      <c r="W51" s="1900"/>
      <c r="X51" s="1900"/>
      <c r="Y51" s="1900"/>
      <c r="Z51" s="1900"/>
      <c r="AA51" s="1900"/>
      <c r="AB51" s="1900"/>
      <c r="AC51" s="1900"/>
    </row>
    <row r="52" spans="1:41" s="70" customFormat="1" ht="15" customHeight="1" x14ac:dyDescent="0.25">
      <c r="A52" s="1253" t="s">
        <v>204</v>
      </c>
      <c r="B52" s="1253"/>
      <c r="C52" s="1253"/>
      <c r="D52" s="1253"/>
      <c r="E52" s="1253"/>
      <c r="F52" s="1253"/>
      <c r="G52" s="1253"/>
      <c r="H52" s="1253"/>
      <c r="I52" s="1253"/>
      <c r="J52" s="1253"/>
      <c r="K52" s="1253"/>
      <c r="L52" s="1253"/>
      <c r="M52" s="1253"/>
      <c r="N52" s="1253"/>
      <c r="O52" s="1253"/>
      <c r="P52" s="1253"/>
      <c r="Q52" s="1253"/>
      <c r="R52" s="1253"/>
      <c r="S52" s="1253"/>
      <c r="T52" s="1253"/>
      <c r="U52" s="1253"/>
      <c r="V52" s="1253"/>
      <c r="W52" s="1253"/>
      <c r="X52" s="1253"/>
      <c r="Y52" s="1253"/>
      <c r="Z52" s="1253"/>
      <c r="AA52" s="1253"/>
      <c r="AB52" s="1253"/>
      <c r="AC52" s="1253"/>
    </row>
    <row r="53" spans="1:41" s="70" customFormat="1" ht="15" customHeight="1" x14ac:dyDescent="0.25">
      <c r="A53" s="1253"/>
      <c r="B53" s="1253"/>
      <c r="C53" s="1253"/>
      <c r="D53" s="1253"/>
      <c r="E53" s="1253"/>
      <c r="F53" s="1253"/>
      <c r="G53" s="1253"/>
      <c r="H53" s="1253"/>
      <c r="I53" s="1253"/>
      <c r="J53" s="1253"/>
      <c r="K53" s="1253"/>
      <c r="L53" s="1253"/>
      <c r="M53" s="1253"/>
      <c r="N53" s="1253"/>
      <c r="O53" s="1253"/>
      <c r="P53" s="1253"/>
      <c r="Q53" s="1253"/>
      <c r="R53" s="1253"/>
      <c r="S53" s="1253"/>
      <c r="T53" s="1253"/>
      <c r="U53" s="1253"/>
      <c r="V53" s="1253"/>
      <c r="W53" s="1253"/>
      <c r="X53" s="1253"/>
      <c r="Y53" s="1253"/>
      <c r="Z53" s="1253"/>
      <c r="AA53" s="1253"/>
      <c r="AB53" s="1253"/>
      <c r="AC53" s="1253"/>
    </row>
    <row r="54" spans="1:41" s="70" customFormat="1" ht="15" customHeight="1" x14ac:dyDescent="0.25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</row>
    <row r="55" spans="1:41" s="70" customFormat="1" ht="15" customHeight="1" x14ac:dyDescent="0.25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</row>
    <row r="56" spans="1:41" s="70" customFormat="1" ht="12" customHeight="1" x14ac:dyDescent="0.25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</row>
    <row r="57" spans="1:41" s="71" customFormat="1" ht="18" customHeight="1" x14ac:dyDescent="0.25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</row>
    <row r="58" spans="1:41" s="46" customFormat="1" ht="28" customHeight="1" x14ac:dyDescent="0.25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</row>
  </sheetData>
  <sheetProtection password="B39D" sheet="1" objects="1" scenarios="1" formatCells="0" formatColumns="0" formatRows="0" insertColumns="0" insertRows="0"/>
  <mergeCells count="210">
    <mergeCell ref="AF17:AG17"/>
    <mergeCell ref="A51:AC51"/>
    <mergeCell ref="A52:AC53"/>
    <mergeCell ref="L44:T44"/>
    <mergeCell ref="U44:AC44"/>
    <mergeCell ref="B48:F48"/>
    <mergeCell ref="A50:AC50"/>
    <mergeCell ref="L41:T41"/>
    <mergeCell ref="U41:AC41"/>
    <mergeCell ref="A42:J42"/>
    <mergeCell ref="L42:AC42"/>
    <mergeCell ref="H43:K43"/>
    <mergeCell ref="L43:AC43"/>
    <mergeCell ref="G48:L48"/>
    <mergeCell ref="S48:W48"/>
    <mergeCell ref="B46:F46"/>
    <mergeCell ref="G46:J46"/>
    <mergeCell ref="L46:O46"/>
    <mergeCell ref="L40:N40"/>
    <mergeCell ref="O40:Q40"/>
    <mergeCell ref="R40:T40"/>
    <mergeCell ref="U40:W40"/>
    <mergeCell ref="X40:Z40"/>
    <mergeCell ref="AA40:AC40"/>
    <mergeCell ref="AJ38:AK38"/>
    <mergeCell ref="AL38:AM38"/>
    <mergeCell ref="AN38:AO38"/>
    <mergeCell ref="L39:N39"/>
    <mergeCell ref="O39:Q39"/>
    <mergeCell ref="R39:T39"/>
    <mergeCell ref="U39:W39"/>
    <mergeCell ref="X39:Z39"/>
    <mergeCell ref="AA39:AC39"/>
    <mergeCell ref="L38:N38"/>
    <mergeCell ref="O38:Q38"/>
    <mergeCell ref="R38:T38"/>
    <mergeCell ref="U38:W38"/>
    <mergeCell ref="X38:Z38"/>
    <mergeCell ref="AA38:AC38"/>
    <mergeCell ref="L37:N37"/>
    <mergeCell ref="O37:Q37"/>
    <mergeCell ref="R37:T37"/>
    <mergeCell ref="U37:W37"/>
    <mergeCell ref="X37:Z37"/>
    <mergeCell ref="AA37:AC37"/>
    <mergeCell ref="L34:T34"/>
    <mergeCell ref="U34:AC34"/>
    <mergeCell ref="L35:T35"/>
    <mergeCell ref="U35:AC35"/>
    <mergeCell ref="A36:K36"/>
    <mergeCell ref="L36:T36"/>
    <mergeCell ref="U36:AC36"/>
    <mergeCell ref="AD32:AE32"/>
    <mergeCell ref="AF32:AG32"/>
    <mergeCell ref="AH32:AI32"/>
    <mergeCell ref="L33:N33"/>
    <mergeCell ref="O33:Q33"/>
    <mergeCell ref="R33:T33"/>
    <mergeCell ref="U33:W33"/>
    <mergeCell ref="X33:Z33"/>
    <mergeCell ref="AA33:AC33"/>
    <mergeCell ref="L32:N32"/>
    <mergeCell ref="O32:Q32"/>
    <mergeCell ref="R32:T32"/>
    <mergeCell ref="U32:W32"/>
    <mergeCell ref="X32:Z32"/>
    <mergeCell ref="AA32:AC32"/>
    <mergeCell ref="L31:N31"/>
    <mergeCell ref="O31:Q31"/>
    <mergeCell ref="R31:T31"/>
    <mergeCell ref="U31:W31"/>
    <mergeCell ref="X31:Z31"/>
    <mergeCell ref="AA31:AC31"/>
    <mergeCell ref="AD31:AI31"/>
    <mergeCell ref="L30:N30"/>
    <mergeCell ref="O30:Q30"/>
    <mergeCell ref="R30:T30"/>
    <mergeCell ref="U30:W30"/>
    <mergeCell ref="X30:Z30"/>
    <mergeCell ref="AA30:AC30"/>
    <mergeCell ref="L29:N29"/>
    <mergeCell ref="O29:Q29"/>
    <mergeCell ref="R29:T29"/>
    <mergeCell ref="U29:W29"/>
    <mergeCell ref="X29:Z29"/>
    <mergeCell ref="AA29:AC29"/>
    <mergeCell ref="AD29:AI29"/>
    <mergeCell ref="AD30:AE30"/>
    <mergeCell ref="AF30:AG30"/>
    <mergeCell ref="AH30:AI30"/>
    <mergeCell ref="AD27:AI27"/>
    <mergeCell ref="AJ27:AK27"/>
    <mergeCell ref="AL27:AM27"/>
    <mergeCell ref="AN27:AO27"/>
    <mergeCell ref="L28:N28"/>
    <mergeCell ref="O28:Q28"/>
    <mergeCell ref="R28:T28"/>
    <mergeCell ref="U28:W28"/>
    <mergeCell ref="X28:Z28"/>
    <mergeCell ref="AA28:AC28"/>
    <mergeCell ref="L27:N27"/>
    <mergeCell ref="O27:Q27"/>
    <mergeCell ref="R27:T27"/>
    <mergeCell ref="U27:W27"/>
    <mergeCell ref="X27:Z27"/>
    <mergeCell ref="AA27:AC27"/>
    <mergeCell ref="AD28:AE28"/>
    <mergeCell ref="AF28:AG28"/>
    <mergeCell ref="AH28:AI28"/>
    <mergeCell ref="L26:N26"/>
    <mergeCell ref="O26:Q26"/>
    <mergeCell ref="R26:T26"/>
    <mergeCell ref="U26:W26"/>
    <mergeCell ref="X26:Z26"/>
    <mergeCell ref="AA26:AC26"/>
    <mergeCell ref="A24:K24"/>
    <mergeCell ref="L24:AC24"/>
    <mergeCell ref="A25:K25"/>
    <mergeCell ref="L25:T25"/>
    <mergeCell ref="U25:AC25"/>
    <mergeCell ref="AD25:AI25"/>
    <mergeCell ref="AD21:AI21"/>
    <mergeCell ref="A22:J22"/>
    <mergeCell ref="L22:T22"/>
    <mergeCell ref="U22:AC22"/>
    <mergeCell ref="A23:J23"/>
    <mergeCell ref="L23:T23"/>
    <mergeCell ref="U23:AC23"/>
    <mergeCell ref="A20:K20"/>
    <mergeCell ref="L20:T20"/>
    <mergeCell ref="U20:AC20"/>
    <mergeCell ref="A21:K21"/>
    <mergeCell ref="L21:T21"/>
    <mergeCell ref="U21:AC21"/>
    <mergeCell ref="L19:N19"/>
    <mergeCell ref="O19:Q19"/>
    <mergeCell ref="R19:T19"/>
    <mergeCell ref="U19:W19"/>
    <mergeCell ref="X19:Z19"/>
    <mergeCell ref="AA19:AC19"/>
    <mergeCell ref="L18:N18"/>
    <mergeCell ref="O18:Q18"/>
    <mergeCell ref="R18:T18"/>
    <mergeCell ref="U18:W18"/>
    <mergeCell ref="X18:Z18"/>
    <mergeCell ref="AA18:AC18"/>
    <mergeCell ref="L17:N17"/>
    <mergeCell ref="O17:Q17"/>
    <mergeCell ref="R17:T17"/>
    <mergeCell ref="U17:W17"/>
    <mergeCell ref="X17:Z17"/>
    <mergeCell ref="AA17:AC17"/>
    <mergeCell ref="L16:N16"/>
    <mergeCell ref="O16:Q16"/>
    <mergeCell ref="R16:T16"/>
    <mergeCell ref="U16:W16"/>
    <mergeCell ref="X16:Z16"/>
    <mergeCell ref="AA16:AC16"/>
    <mergeCell ref="AD14:AO14"/>
    <mergeCell ref="L15:N15"/>
    <mergeCell ref="O15:Q15"/>
    <mergeCell ref="R15:T15"/>
    <mergeCell ref="U15:W15"/>
    <mergeCell ref="X15:Z15"/>
    <mergeCell ref="AA15:AC15"/>
    <mergeCell ref="L14:N14"/>
    <mergeCell ref="O14:Q14"/>
    <mergeCell ref="R14:T14"/>
    <mergeCell ref="U14:W14"/>
    <mergeCell ref="X14:Z14"/>
    <mergeCell ref="AA14:AC14"/>
    <mergeCell ref="AD12:AO12"/>
    <mergeCell ref="L13:N13"/>
    <mergeCell ref="O13:Q13"/>
    <mergeCell ref="R13:T13"/>
    <mergeCell ref="U13:W13"/>
    <mergeCell ref="X13:Z13"/>
    <mergeCell ref="AA13:AC13"/>
    <mergeCell ref="L12:N12"/>
    <mergeCell ref="O12:Q12"/>
    <mergeCell ref="R12:T12"/>
    <mergeCell ref="U12:W12"/>
    <mergeCell ref="X12:Z12"/>
    <mergeCell ref="AA12:AC12"/>
    <mergeCell ref="AD11:AE11"/>
    <mergeCell ref="AF11:AG11"/>
    <mergeCell ref="AH11:AI11"/>
    <mergeCell ref="AJ11:AK11"/>
    <mergeCell ref="AL11:AM11"/>
    <mergeCell ref="AN11:AO11"/>
    <mergeCell ref="L11:N11"/>
    <mergeCell ref="O11:Q11"/>
    <mergeCell ref="R11:T11"/>
    <mergeCell ref="U11:W11"/>
    <mergeCell ref="X11:Z11"/>
    <mergeCell ref="AA11:AC11"/>
    <mergeCell ref="V8:AA8"/>
    <mergeCell ref="A10:K10"/>
    <mergeCell ref="L10:N10"/>
    <mergeCell ref="O10:Q10"/>
    <mergeCell ref="R10:T10"/>
    <mergeCell ref="U10:W10"/>
    <mergeCell ref="X10:Z10"/>
    <mergeCell ref="AA10:AC10"/>
    <mergeCell ref="A1:D5"/>
    <mergeCell ref="E1:AC3"/>
    <mergeCell ref="E4:U4"/>
    <mergeCell ref="V4:AC4"/>
    <mergeCell ref="E5:AC5"/>
    <mergeCell ref="S7:AA7"/>
  </mergeCells>
  <conditionalFormatting sqref="L18:AC18">
    <cfRule type="cellIs" dxfId="1" priority="1" operator="lessThan">
      <formula>$AG$18</formula>
    </cfRule>
    <cfRule type="cellIs" dxfId="0" priority="2" operator="greaterThan">
      <formula>$AF$18</formula>
    </cfRule>
  </conditionalFormatting>
  <dataValidations count="1">
    <dataValidation type="list" allowBlank="1" showInputMessage="1" showErrorMessage="1" sqref="L47:T47 L44:R45 T44:T45 S44" xr:uid="{00000000-0002-0000-0700-000000000000}">
      <formula1>$AD$48:$AD$49</formula1>
    </dataValidation>
  </dataValidations>
  <printOptions horizontalCentered="1"/>
  <pageMargins left="0.59055118110236227" right="0.39370078740157483" top="0.59055118110236227" bottom="0.39370078740157483" header="0" footer="0.19685039370078741"/>
  <pageSetup orientation="portrait" r:id="rId1"/>
  <headerFooter scaleWithDoc="0">
    <oddFooter>&amp;L&amp;6Calle 26 No.69-76 Edificio Elemento Torre 1, Piso 3 – C.P. 111071
PBX: 3779555 – Información: Línea 195
Sede Operativa - Atención al Ciudadano: Calle 22D No. 120-40
www.umv.gov.co&amp;C&amp;6Página 1 de 1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1. Encabezado</vt:lpstr>
      <vt:lpstr>2. Consolidado</vt:lpstr>
      <vt:lpstr>3. Extracción</vt:lpstr>
      <vt:lpstr>4. Gradación</vt:lpstr>
      <vt:lpstr>5. Bulk y Rice</vt:lpstr>
      <vt:lpstr>5. Bulk y Rice NA</vt:lpstr>
      <vt:lpstr>6. Estabilidad y flujo</vt:lpstr>
      <vt:lpstr>7.TSR</vt:lpstr>
      <vt:lpstr>'1. Encabezado'!Área_de_impresión</vt:lpstr>
      <vt:lpstr>'2. Consolidado'!Área_de_impresión</vt:lpstr>
      <vt:lpstr>'3. Extracción'!Área_de_impresión</vt:lpstr>
      <vt:lpstr>'4. Gradación'!Área_de_impresión</vt:lpstr>
      <vt:lpstr>'5. Bulk y Rice'!Área_de_impresión</vt:lpstr>
      <vt:lpstr>'5. Bulk y Rice NA'!Área_de_impresión</vt:lpstr>
      <vt:lpstr>'6. Estabilidad y flujo'!Área_de_impresión</vt:lpstr>
      <vt:lpstr>'7.TSR'!Área_de_impresión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SISOOMC</dc:creator>
  <cp:lastModifiedBy>Juan Hernando Lizarazo Jara</cp:lastModifiedBy>
  <cp:lastPrinted>2025-05-08T18:50:08Z</cp:lastPrinted>
  <dcterms:created xsi:type="dcterms:W3CDTF">2011-04-13T16:07:04Z</dcterms:created>
  <dcterms:modified xsi:type="dcterms:W3CDTF">2025-06-03T15:12:26Z</dcterms:modified>
</cp:coreProperties>
</file>