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3. Aprobaciones 2022-12- (2)\1. Formatos\"/>
    </mc:Choice>
  </mc:AlternateContent>
  <bookViews>
    <workbookView xWindow="0" yWindow="0" windowWidth="20490" windowHeight="6660" tabRatio="540" firstSheet="1" activeTab="1"/>
  </bookViews>
  <sheets>
    <sheet name="MD-12 UMV" sheetId="35" state="hidden" r:id="rId1"/>
    <sheet name="Pista" sheetId="41" r:id="rId2"/>
    <sheet name="firmas" sheetId="37" state="hidden" r:id="rId3"/>
    <sheet name="Hoja1" sheetId="36" state="hidden" r:id="rId4"/>
    <sheet name="Formato" sheetId="10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A1" localSheetId="4">#REF!</definedName>
    <definedName name="______________imp1" localSheetId="4">#REF!</definedName>
    <definedName name="______________imp2" localSheetId="4">#REF!</definedName>
    <definedName name="_____________A1" localSheetId="4">#REF!</definedName>
    <definedName name="_____________imp1" localSheetId="4">#REF!</definedName>
    <definedName name="_____________imp2" localSheetId="4">#REF!</definedName>
    <definedName name="_____________LAR4" localSheetId="4">[1]DATOS!#REF!</definedName>
    <definedName name="____________A1" localSheetId="4">#REF!</definedName>
    <definedName name="____________imp1" localSheetId="4">#REF!</definedName>
    <definedName name="____________imp2" localSheetId="4">#REF!</definedName>
    <definedName name="____________LAR4" localSheetId="4">[1]DATOS!#REF!</definedName>
    <definedName name="___________A1" localSheetId="4">#REF!</definedName>
    <definedName name="___________imp1" localSheetId="4">#REF!</definedName>
    <definedName name="___________imp2" localSheetId="4">#REF!</definedName>
    <definedName name="___________LAR4" localSheetId="4">[1]DATOS!#REF!</definedName>
    <definedName name="__________A1" localSheetId="4">#REF!</definedName>
    <definedName name="__________imp1" localSheetId="4">#REF!</definedName>
    <definedName name="__________imp2" localSheetId="4">#REF!</definedName>
    <definedName name="__________LAR4" localSheetId="4">[1]DATOS!#REF!</definedName>
    <definedName name="_________A1" localSheetId="4">#REF!</definedName>
    <definedName name="_________imp1" localSheetId="4">#REF!</definedName>
    <definedName name="_________imp2" localSheetId="4">#REF!</definedName>
    <definedName name="_________LAR4" localSheetId="4">[1]DATOS!#REF!</definedName>
    <definedName name="________A1" localSheetId="4">#REF!</definedName>
    <definedName name="________imp1" localSheetId="4">#REF!</definedName>
    <definedName name="________imp2" localSheetId="4">#REF!</definedName>
    <definedName name="________LAR4" localSheetId="4">[1]DATOS!#REF!</definedName>
    <definedName name="_______A1" localSheetId="4">#REF!</definedName>
    <definedName name="_______imp1" localSheetId="4">#REF!</definedName>
    <definedName name="_______imp2" localSheetId="4">#REF!</definedName>
    <definedName name="_______LAR4" localSheetId="4">[1]DATOS!#REF!</definedName>
    <definedName name="______A1" localSheetId="4">#REF!</definedName>
    <definedName name="______imp1" localSheetId="4">#REF!</definedName>
    <definedName name="______imp2" localSheetId="4">#REF!</definedName>
    <definedName name="______LAR4" localSheetId="4">[1]DATOS!#REF!</definedName>
    <definedName name="_____A1" localSheetId="4">#REF!</definedName>
    <definedName name="_____imp1" localSheetId="4">#REF!</definedName>
    <definedName name="_____imp2" localSheetId="4">#REF!</definedName>
    <definedName name="_____LAR4" localSheetId="4">[1]DATOS!#REF!</definedName>
    <definedName name="____A1" localSheetId="4">#REF!</definedName>
    <definedName name="____imp1" localSheetId="4">#REF!</definedName>
    <definedName name="____imp2" localSheetId="4">#REF!</definedName>
    <definedName name="____LAR4" localSheetId="4">[1]DATOS!#REF!</definedName>
    <definedName name="___A1" localSheetId="4">#REF!</definedName>
    <definedName name="___imp1" localSheetId="4">#REF!</definedName>
    <definedName name="___imp2" localSheetId="4">#REF!</definedName>
    <definedName name="___LAR4" localSheetId="4">[1]DATOS!#REF!</definedName>
    <definedName name="__123Graph_A" hidden="1">[2]AIU!$D$338:$D$357</definedName>
    <definedName name="__123Graph_Acaja" hidden="1">[2]EVA!$D$39:$AD$39</definedName>
    <definedName name="__123Graph_ACart_AnticAdic" hidden="1">[2]EVA!$F$95:$I$95</definedName>
    <definedName name="__123Graph_AFACTURAC" hidden="1">[2]Program!$B$120:$Y$120</definedName>
    <definedName name="__123Graph_AGraph2" hidden="1">[2]AIU!$D$338:$D$357</definedName>
    <definedName name="__123Graph_Bcaja" hidden="1">[2]EVA!$D$56:$AD$56</definedName>
    <definedName name="__123Graph_BCart_AnticAdic" hidden="1">[2]EVA!$F$96:$I$96</definedName>
    <definedName name="__123Graph_Ccaja" hidden="1">[2]EVA!$D$58:$AD$58</definedName>
    <definedName name="__123Graph_CCart_AnticAdic" hidden="1">[2]EVA!$F$97:$I$97</definedName>
    <definedName name="__123Graph_Dcaja" hidden="1">[2]EVA!$D$61:$AD$61</definedName>
    <definedName name="__123Graph_DCart_AnticAdic" hidden="1">[2]EVA!$F$99:$I$99</definedName>
    <definedName name="__123Graph_ECart_AnticAdic" hidden="1">[2]EVA!$F$99:$I$99</definedName>
    <definedName name="__123Graph_LBL_ACart_AnticAdic" hidden="1">[2]EVA!$J$95:$K$95</definedName>
    <definedName name="__123Graph_LBL_Ccaja" hidden="1">[2]EVA!$D$58:$AD$58</definedName>
    <definedName name="__123Graph_LBL_DCart_AnticAdic" hidden="1">[2]EVA!$F$98:$I$98</definedName>
    <definedName name="__123Graph_X" hidden="1">[2]AIU!$C$338:$C$357</definedName>
    <definedName name="__123Graph_Xcaja" hidden="1">[2]EVA!$D$6:$AD$6</definedName>
    <definedName name="__A1" localSheetId="4">#REF!</definedName>
    <definedName name="__imp1" localSheetId="4">#REF!</definedName>
    <definedName name="__imp2" localSheetId="4">#REF!</definedName>
    <definedName name="__LAR4" localSheetId="4">[1]DATOS!#REF!</definedName>
    <definedName name="_1__123Graph_ACart_Utilidad" hidden="1">[2]EVA!$F$104:$I$104</definedName>
    <definedName name="_2__123Graph_BCart_Utilidad" hidden="1">[2]EVA!$F$105:$I$105</definedName>
    <definedName name="_3__123Graph_CCart_Utilidad" hidden="1">[2]EVA!$F$106:$I$106</definedName>
    <definedName name="_3_4" localSheetId="4">[3]datos!#REF!</definedName>
    <definedName name="_4__123Graph_LBL_ACart_Utilidad" hidden="1">[2]EVA!$F$109:$I$109</definedName>
    <definedName name="_5__123Graph_LBL_BCart_Utilidad" hidden="1">[2]EVA!$F$110:$I$110</definedName>
    <definedName name="_6__123Graph_LBL_CCart_Utilidad" hidden="1">[2]EVA!$F$111:$I$111</definedName>
    <definedName name="_7__123Graph_XCart_Utilidad" hidden="1">[2]EVA!$F$103:$I$103</definedName>
    <definedName name="_8Acti_osdeobra" localSheetId="4">#REF!</definedName>
    <definedName name="_A1" localSheetId="4">#REF!</definedName>
    <definedName name="_Fill" localSheetId="4" hidden="1">#REF!</definedName>
    <definedName name="_Fill" localSheetId="0" hidden="1">#REF!</definedName>
    <definedName name="_Fill" localSheetId="1" hidden="1">#REF!</definedName>
    <definedName name="_Fill" hidden="1">#REF!</definedName>
    <definedName name="_imp1" localSheetId="4">#REF!</definedName>
    <definedName name="_imp2" localSheetId="4">#REF!</definedName>
    <definedName name="_Key1" localSheetId="4" hidden="1">[4]OCTUBRE!#REF!</definedName>
    <definedName name="_Key1" localSheetId="0" hidden="1">[4]OCTUBRE!#REF!</definedName>
    <definedName name="_Key1" localSheetId="1" hidden="1">[5]OCTUBRE!#REF!</definedName>
    <definedName name="_Key1" hidden="1">[4]OCTUBRE!#REF!</definedName>
    <definedName name="_LAR4" localSheetId="4">[1]DATOS!#REF!</definedName>
    <definedName name="_Order1" hidden="1">255</definedName>
    <definedName name="_Order2" hidden="1">255</definedName>
    <definedName name="_Regression_Out" localSheetId="1" hidden="1">[6]L!#REF!</definedName>
    <definedName name="_Regression_Out" hidden="1">[6]L!#REF!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4" hidden="1">[4]OCTUBRE!#REF!</definedName>
    <definedName name="_Sort" localSheetId="0" hidden="1">[4]OCTUBRE!#REF!</definedName>
    <definedName name="_Sort" localSheetId="1" hidden="1">[5]OCTUBRE!#REF!</definedName>
    <definedName name="_Sort" hidden="1">[4]OCTUBRE!#REF!</definedName>
    <definedName name="A.I.U" localSheetId="4">#REF!</definedName>
    <definedName name="A_ANT" localSheetId="4">#REF!</definedName>
    <definedName name="A_HOY" localSheetId="4">#REF!</definedName>
    <definedName name="A_IMPRESIÓN_IM" localSheetId="4">#REF!</definedName>
    <definedName name="A_IMPRESIÚN_IM" localSheetId="4">#REF!</definedName>
    <definedName name="AA" localSheetId="4">#REF!</definedName>
    <definedName name="AAA" localSheetId="4">#REF!</definedName>
    <definedName name="abscisa1" localSheetId="4">[7]DATOS!$AP$3:$AP$486</definedName>
    <definedName name="abscisa2" localSheetId="4">[7]DATOS!#REF!</definedName>
    <definedName name="Abscisa3" localSheetId="4">[7]DATOS!#REF!</definedName>
    <definedName name="abscisa4" localSheetId="4">[7]DATOS!#REF!</definedName>
    <definedName name="abscisa5" localSheetId="4">[7]DATOS!#REF!</definedName>
    <definedName name="abscisa6" localSheetId="4">[7]DATOS!#REF!</definedName>
    <definedName name="AC" localSheetId="4">#REF!</definedName>
    <definedName name="ACA" localSheetId="4">#REF!</definedName>
    <definedName name="Adecueinstalacion" localSheetId="4">#REF!</definedName>
    <definedName name="AIU" localSheetId="4">#REF!</definedName>
    <definedName name="AjustDelAIU" localSheetId="4">#REF!</definedName>
    <definedName name="ajuste" localSheetId="4">#REF!</definedName>
    <definedName name="ALAR1" localSheetId="4">[8]datos!$O$5:$O$2034</definedName>
    <definedName name="ALAR112" localSheetId="4">[8]datos!$N$5:$N$1521</definedName>
    <definedName name="analequipo" localSheetId="4">#REF!</definedName>
    <definedName name="AnsermaCartago" localSheetId="4">#REF!</definedName>
    <definedName name="aprobofirmas">INDEX(firmas!$C$33:$C$35,MATCH('MD-12 UMV'!$L$34,firmas!$A$33:$A$35,0))</definedName>
    <definedName name="aprobofirmas1" localSheetId="1">INDEX(firmas!$C$33:$C$35,MATCH(Pista!#REF!,firmas!$A$33:$A$35,0))</definedName>
    <definedName name="APU" localSheetId="4">#REF!</definedName>
    <definedName name="APUFEB" localSheetId="4">#REF!</definedName>
    <definedName name="_xlnm.Print_Area" localSheetId="4">Formato!$A$1:$L$59</definedName>
    <definedName name="_xlnm.Print_Area" localSheetId="0">'MD-12 UMV'!$A$1:$O$145</definedName>
    <definedName name="_xlnm.Print_Area" localSheetId="1">Pista!$A$1:$V$47</definedName>
    <definedName name="Arrendamientos" localSheetId="4">#REF!</definedName>
    <definedName name="ASDAD" localSheetId="4">#REF!</definedName>
    <definedName name="ASDAF" localSheetId="4">#REF!</definedName>
    <definedName name="Aseguracalidad" localSheetId="4">#REF!</definedName>
    <definedName name="ASSD" localSheetId="4">#REF!</definedName>
    <definedName name="ATB" localSheetId="4">#REF!</definedName>
    <definedName name="base_datos_t45" localSheetId="4">[9]CALIDAD!#REF!</definedName>
    <definedName name="BaseDatos_Ore1" localSheetId="4">'[10]BD100-45'!#REF!</definedName>
    <definedName name="BaseDatos_T831" localSheetId="4">'[11]BD100-45-P1'!#REF!</definedName>
    <definedName name="_xlnm.Database" localSheetId="4">#REF!</definedName>
    <definedName name="BUDGET" localSheetId="4">'[12]CALC PROD MENSUAL'!#REF!</definedName>
    <definedName name="BUDGETNORTE" localSheetId="4">'[12]CALC PROD MENSUAL'!#REF!</definedName>
    <definedName name="BUDGETSUR" localSheetId="4">'[12]CALC PROD MENSUAL'!#REF!</definedName>
    <definedName name="C_grupo1" localSheetId="4">#REF!</definedName>
    <definedName name="CALEND" localSheetId="4">'[12]CALC PROD MENSUAL'!#REF!</definedName>
    <definedName name="CALENDARIO" localSheetId="4">'[12]CALC PROD MENSUAL'!#REF!</definedName>
    <definedName name="CALENDARIO1" localSheetId="4">'[13]CALC PROD MENSUAL'!#REF!</definedName>
    <definedName name="Capa" localSheetId="4">#REF!</definedName>
    <definedName name="CAPIT" localSheetId="4">#REF!</definedName>
    <definedName name="CAPITULO" localSheetId="4">#REF!</definedName>
    <definedName name="Cc" localSheetId="4">[14]Datos!#REF!</definedName>
    <definedName name="CDO" localSheetId="4">#REF!</definedName>
    <definedName name="ChequeoCantidades" localSheetId="4">#REF!</definedName>
    <definedName name="CLASIFIC" localSheetId="4">[15]Datos!#REF!</definedName>
    <definedName name="con" localSheetId="4">#REF!</definedName>
    <definedName name="conc" localSheetId="4">#REF!</definedName>
    <definedName name="COSTO1" localSheetId="4">#REF!</definedName>
    <definedName name="Cu" localSheetId="4">[15]Datos!#REF!</definedName>
    <definedName name="D_10" localSheetId="4">#REF!</definedName>
    <definedName name="datos" localSheetId="4">#REF!</definedName>
    <definedName name="datostec" localSheetId="4">#REF!</definedName>
    <definedName name="Densidad25" localSheetId="4">[7]DATOS!$AV$3:$AV$486</definedName>
    <definedName name="deriv" localSheetId="4">#REF!</definedName>
    <definedName name="Descripcion" localSheetId="4">[16]Datos!$B$3:$B$16384</definedName>
    <definedName name="descripción" localSheetId="4">[3]datos!#REF!</definedName>
    <definedName name="DescripcionVenta" localSheetId="4">#REF!</definedName>
    <definedName name="dia24hr" localSheetId="4">#REF!</definedName>
    <definedName name="dias" localSheetId="4">#REF!</definedName>
    <definedName name="DIAS_DEL_MES" localSheetId="4">#REF!</definedName>
    <definedName name="dias_semana" localSheetId="4">#REF!</definedName>
    <definedName name="Dias_semanales" localSheetId="4">#REF!</definedName>
    <definedName name="DIAS_SEMANAS" localSheetId="4">#REF!</definedName>
    <definedName name="DIASDELMES" localSheetId="4">#REF!</definedName>
    <definedName name="DISP" localSheetId="4">'[13]CALC PROD MENSUAL'!#REF!</definedName>
    <definedName name="DISPONIBILIDAD" localSheetId="4">'[12]CALC PROD MENSUAL'!#REF!</definedName>
    <definedName name="Diversos" localSheetId="4">#REF!</definedName>
    <definedName name="doscaras" localSheetId="4">#REF!</definedName>
    <definedName name="e" localSheetId="4">#REF!</definedName>
    <definedName name="elaborofirmas">INDEX(firmas!$C$3:$C$27,MATCH('MD-12 UMV'!$D$34,firmas!$A$3:$A$27,0))</definedName>
    <definedName name="elaborofirmas1" localSheetId="1">INDEX(firmas!$C$3:$C$27,MATCH(Pista!#REF!,firmas!$A$3:$A$27,0))</definedName>
    <definedName name="elc" localSheetId="4">#REF!</definedName>
    <definedName name="ELECTRICA" localSheetId="4">[17]anexo2!#REF!</definedName>
    <definedName name="ELECTRICAS" localSheetId="4">[17]anexo2!#REF!</definedName>
    <definedName name="EQ" localSheetId="4">#REF!</definedName>
    <definedName name="EQUI" localSheetId="4">#REF!</definedName>
    <definedName name="equip" localSheetId="4">#REF!</definedName>
    <definedName name="equipo2" localSheetId="4">#REF!</definedName>
    <definedName name="EQUIPOS" localSheetId="4">#REF!</definedName>
    <definedName name="er" localSheetId="4">#REF!</definedName>
    <definedName name="Estabilidad" localSheetId="4">[7]DATOS!$AK$3:$AK$486</definedName>
    <definedName name="Estabilidad2" localSheetId="4">[7]DATOS!$AM$3:$AM$486</definedName>
    <definedName name="Estabilidad3" localSheetId="4">[7]DATOS!$AO$3:$AO$486</definedName>
    <definedName name="EstabilidadCorregida1" localSheetId="4">#REF!</definedName>
    <definedName name="EstabilidadCorregida2" localSheetId="4">#REF!</definedName>
    <definedName name="EstabilidadCorregida3" localSheetId="4">#REF!</definedName>
    <definedName name="EstabilidadMedida1" localSheetId="4">#REF!</definedName>
    <definedName name="EstabilidadMedida2" localSheetId="4">#REF!</definedName>
    <definedName name="EstabilidadMedida3" localSheetId="4">#REF!</definedName>
    <definedName name="estabilidadpromedio" localSheetId="4">[7]DATOS!$AR$3:$AR$486</definedName>
    <definedName name="extracción" localSheetId="4">[7]DATOS!$H$3:$H$486</definedName>
    <definedName name="FactorCorreccion1" localSheetId="4">#REF!</definedName>
    <definedName name="FactorCorreccion2" localSheetId="4">#REF!</definedName>
    <definedName name="FactorCorreccion3" localSheetId="4">#REF!</definedName>
    <definedName name="Fecha" localSheetId="4">[7]DATOS!$B$3:$B$486</definedName>
    <definedName name="fechaEnsayo" localSheetId="4">#REF!</definedName>
    <definedName name="FIN_1" localSheetId="4">#REF!</definedName>
    <definedName name="FIN_10" localSheetId="4">#REF!</definedName>
    <definedName name="FIN_11" localSheetId="4">#REF!</definedName>
    <definedName name="FIN_12" localSheetId="4">#REF!</definedName>
    <definedName name="FIN_13" localSheetId="4">#REF!</definedName>
    <definedName name="FIN_14" localSheetId="4">#REF!</definedName>
    <definedName name="FIN_15" localSheetId="4">#REF!</definedName>
    <definedName name="FIN_16" localSheetId="4">#REF!</definedName>
    <definedName name="FIN_17" localSheetId="4">#REF!</definedName>
    <definedName name="FIN_18" localSheetId="4">#REF!</definedName>
    <definedName name="FIN_19" localSheetId="4">#REF!</definedName>
    <definedName name="FIN_2" localSheetId="4">#REF!</definedName>
    <definedName name="FIN_20" localSheetId="4">#REF!</definedName>
    <definedName name="FIN_21" localSheetId="4">#REF!</definedName>
    <definedName name="FIN_22" localSheetId="4">#REF!</definedName>
    <definedName name="FIN_23" localSheetId="4">#REF!</definedName>
    <definedName name="FIN_24" localSheetId="4">#REF!</definedName>
    <definedName name="FIN_3" localSheetId="4">#REF!</definedName>
    <definedName name="FIN_4" localSheetId="4">#REF!</definedName>
    <definedName name="FIN_5" localSheetId="4">#REF!</definedName>
    <definedName name="FIN_6" localSheetId="4">#REF!</definedName>
    <definedName name="FIN_7" localSheetId="4">#REF!</definedName>
    <definedName name="FIN_8" localSheetId="4">#REF!</definedName>
    <definedName name="FIN_9" localSheetId="4">#REF!</definedName>
    <definedName name="Flujo" localSheetId="4">[7]DATOS!$Y$3:$Y$486</definedName>
    <definedName name="Flujo1" localSheetId="4">#REF!</definedName>
    <definedName name="Flujo2" localSheetId="4">[7]DATOS!$AD$3:$AD$486</definedName>
    <definedName name="Flujo3" localSheetId="4">[7]DATOS!$AI$3:$AI$486</definedName>
    <definedName name="flujopromedio" localSheetId="4">[7]DATOS!$AS$3:$AS$486</definedName>
    <definedName name="Fondo" localSheetId="4">[7]DATOS!$Q$3:$Q$486</definedName>
    <definedName name="fuente" localSheetId="4">[18]Datos!$C$3:$C$50</definedName>
    <definedName name="Gastosbancarios" localSheetId="4">#REF!</definedName>
    <definedName name="Gastoslegales" localSheetId="4">#REF!</definedName>
    <definedName name="Gastosviaje" localSheetId="4">#REF!</definedName>
    <definedName name="GolpesH4" localSheetId="4">[19]DATOS!#REF!</definedName>
    <definedName name="GR_1" localSheetId="4">#REF!</definedName>
    <definedName name="GR_10" localSheetId="4">#REF!</definedName>
    <definedName name="GR_11" localSheetId="4">#REF!</definedName>
    <definedName name="GR_12" localSheetId="4">#REF!</definedName>
    <definedName name="GR_13" localSheetId="4">#REF!</definedName>
    <definedName name="GR_14" localSheetId="4">#REF!</definedName>
    <definedName name="GR_15" localSheetId="4">#REF!</definedName>
    <definedName name="GR_16" localSheetId="4">#REF!</definedName>
    <definedName name="GR_17" localSheetId="4">#REF!</definedName>
    <definedName name="GR_18" localSheetId="4">#REF!</definedName>
    <definedName name="GR_19" localSheetId="4">#REF!</definedName>
    <definedName name="GR_2" localSheetId="4">#REF!</definedName>
    <definedName name="GR_20" localSheetId="4">#REF!</definedName>
    <definedName name="GR_21" localSheetId="4">#REF!</definedName>
    <definedName name="GR_22" localSheetId="4">#REF!</definedName>
    <definedName name="GR_23" localSheetId="4">#REF!</definedName>
    <definedName name="GR_24" localSheetId="4">#REF!</definedName>
    <definedName name="GR_3" localSheetId="4">#REF!</definedName>
    <definedName name="GR_4" localSheetId="4">#REF!</definedName>
    <definedName name="GR_5" localSheetId="4">#REF!</definedName>
    <definedName name="GR_6" localSheetId="4">#REF!</definedName>
    <definedName name="GR_7" localSheetId="4">#REF!</definedName>
    <definedName name="GR_8" localSheetId="4">#REF!</definedName>
    <definedName name="GR_9" localSheetId="4">#REF!</definedName>
    <definedName name="gradacion" localSheetId="4">#REF!</definedName>
    <definedName name="graNo" localSheetId="4">#REF!</definedName>
    <definedName name="HERRADURA" localSheetId="4">#REF!</definedName>
    <definedName name="Honorarios" localSheetId="4">#REF!</definedName>
    <definedName name="HORAS_DIAS" localSheetId="4">#REF!</definedName>
    <definedName name="horas_lluvia" localSheetId="4">#REF!</definedName>
    <definedName name="HORAS_LLUVIAS" localSheetId="4">#REF!</definedName>
    <definedName name="HORASLLUVIA" localSheetId="4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iccp" localSheetId="4">#REF!</definedName>
    <definedName name="INDICE" localSheetId="4">#REF!</definedName>
    <definedName name="INDICES" localSheetId="4">#REF!</definedName>
    <definedName name="inf" localSheetId="4">#REF!</definedName>
    <definedName name="ITEM1" localSheetId="4">#REF!</definedName>
    <definedName name="item1a" localSheetId="4">#REF!</definedName>
    <definedName name="ITEM2" localSheetId="4">#REF!</definedName>
    <definedName name="item2a" localSheetId="4">#REF!</definedName>
    <definedName name="ITEM3" localSheetId="4">#REF!</definedName>
    <definedName name="item5" localSheetId="4">#REF!</definedName>
    <definedName name="ITEMS" localSheetId="4">#REF!</definedName>
    <definedName name="K" localSheetId="4">[7]DATOS!$T$3:$T$486</definedName>
    <definedName name="KK" localSheetId="4" hidden="1">[4]OCTUBRE!#REF!</definedName>
    <definedName name="KK" localSheetId="0" hidden="1">[4]OCTUBRE!#REF!</definedName>
    <definedName name="KK" localSheetId="1" hidden="1">[5]OCTUBRE!#REF!</definedName>
    <definedName name="KK" hidden="1">[4]OCTUBRE!#REF!</definedName>
    <definedName name="Lado" localSheetId="4">#REF!</definedName>
    <definedName name="lista" localSheetId="4">#REF!</definedName>
    <definedName name="listaaguas" localSheetId="4">#REF!</definedName>
    <definedName name="listado" localSheetId="4">#REF!</definedName>
    <definedName name="listados" localSheetId="4">#REF!</definedName>
    <definedName name="listaelec" localSheetId="4">#REF!</definedName>
    <definedName name="LLUVIA" localSheetId="4">#REF!</definedName>
    <definedName name="m" localSheetId="4">[20]DATOS!#REF!</definedName>
    <definedName name="MA" localSheetId="4">#REF!</definedName>
    <definedName name="Mantenyreparacion" localSheetId="4">#REF!</definedName>
    <definedName name="margen" localSheetId="4">[7]DATOS!#REF!</definedName>
    <definedName name="margen2" localSheetId="4">#REF!</definedName>
    <definedName name="MediacanoaAnserma" localSheetId="4">#REF!</definedName>
    <definedName name="metodo" localSheetId="4">#REF!</definedName>
    <definedName name="MEZCLA" localSheetId="4">#REF!</definedName>
    <definedName name="Mh" localSheetId="4">[20]DATOS!#REF!</definedName>
    <definedName name="mm" localSheetId="4">#REF!</definedName>
    <definedName name="MO" localSheetId="4">#REF!</definedName>
    <definedName name="muestra" localSheetId="4">Formato!$L$15</definedName>
    <definedName name="MUESTRA_Nº" localSheetId="4">#REF!</definedName>
    <definedName name="MuestraNo" localSheetId="4">[7]DATOS!$A$3:$A$486</definedName>
    <definedName name="NoBriqueta1" localSheetId="4">#REF!</definedName>
    <definedName name="NoBriqueta2" localSheetId="4">#REF!</definedName>
    <definedName name="NoBriqueta3" localSheetId="4">#REF!</definedName>
    <definedName name="Nogolpes" localSheetId="4">[21]DATOS!#REF!</definedName>
    <definedName name="Nogolpes1" localSheetId="4">[21]DATOS!#REF!</definedName>
    <definedName name="NoMuestra" localSheetId="4">'[18]4025 a base'!$F$6</definedName>
    <definedName name="NUMERAL" localSheetId="4">#REF!</definedName>
    <definedName name="Obra" localSheetId="4">[7]DATOS!$G$3:$G$486</definedName>
    <definedName name="OBSERVACION" localSheetId="4">[18]Datos!$P$3:$P$50</definedName>
    <definedName name="Observación" localSheetId="4">#REF!</definedName>
    <definedName name="observaciones" localSheetId="4">[7]DATOS!$AQ$3:$AQ$486</definedName>
    <definedName name="observaciones2" localSheetId="4">[18]Datos!$Q$3:$Q$50</definedName>
    <definedName name="Ojo" localSheetId="4" hidden="1">#REF!</definedName>
    <definedName name="Ojo" localSheetId="0" hidden="1">#REF!</definedName>
    <definedName name="Ojo" localSheetId="1" hidden="1">#REF!</definedName>
    <definedName name="Ojo" hidden="1">#REF!</definedName>
    <definedName name="OR" localSheetId="4">#REF!</definedName>
    <definedName name="otros" localSheetId="4">[7]DATOS!#REF!</definedName>
    <definedName name="P1H4" localSheetId="4">[19]DATOS!#REF!</definedName>
    <definedName name="P2H4" localSheetId="4">[19]DATOS!#REF!</definedName>
    <definedName name="PÁGINA_DOS" localSheetId="4">#REF!</definedName>
    <definedName name="PÁGINA_UNO" localSheetId="4">#REF!</definedName>
    <definedName name="pedro" localSheetId="4">#REF!</definedName>
    <definedName name="pendiente" localSheetId="4" hidden="1">#REF!</definedName>
    <definedName name="pendiente" localSheetId="0" hidden="1">#REF!</definedName>
    <definedName name="pendiente" localSheetId="1" hidden="1">#REF!</definedName>
    <definedName name="pendiente" hidden="1">#REF!</definedName>
    <definedName name="Personal" localSheetId="4">#REF!</definedName>
    <definedName name="Peso1A" localSheetId="4">[7]DATOS!$D$3:$D$486</definedName>
    <definedName name="Peso2A" localSheetId="4">[7]DATOS!$E$3:$E$486</definedName>
    <definedName name="Peso3" localSheetId="4">[7]DATOS!#REF!</definedName>
    <definedName name="Peso4" localSheetId="4">[7]DATOS!#REF!</definedName>
    <definedName name="PesoAgua1" localSheetId="4">#REF!</definedName>
    <definedName name="Pesoagua2" localSheetId="4">[7]DATOS!$AB$3:$AB$486</definedName>
    <definedName name="Pesoagua3" localSheetId="4">[7]DATOS!$AG$3:$AG$486</definedName>
    <definedName name="Pesoagua4" localSheetId="4">[22]datos!#REF!</definedName>
    <definedName name="Pesoagua8" localSheetId="4">[22]datos!#REF!</definedName>
    <definedName name="PesoAire" localSheetId="4">[7]DATOS!$U$3:$U$486</definedName>
    <definedName name="PesoAire1" localSheetId="4">#REF!</definedName>
    <definedName name="PesoAire2" localSheetId="4">[7]DATOS!$Z$3:$Z$486</definedName>
    <definedName name="Pesoaire3" localSheetId="4">[7]DATOS!$AE$3:$AE$486</definedName>
    <definedName name="Pesoenagua" localSheetId="4">[7]DATOS!$W$3:$W$486</definedName>
    <definedName name="PesoFinal1" localSheetId="4">#REF!</definedName>
    <definedName name="PesoFinal2" localSheetId="4">#REF!</definedName>
    <definedName name="PesoInicial1" localSheetId="4">#REF!</definedName>
    <definedName name="PesoInicial2" localSheetId="4">#REF!</definedName>
    <definedName name="Pesoparaf3" localSheetId="4">[7]DATOS!$AF$3:$AF$486</definedName>
    <definedName name="Pesoparafinada" localSheetId="4">[7]DATOS!$V$3:$V$486</definedName>
    <definedName name="PesoParf2" localSheetId="4">[7]DATOS!$AA$3:$AA$486</definedName>
    <definedName name="PESOSSS1" localSheetId="4">#REF!</definedName>
    <definedName name="PESOSSS2" localSheetId="4">#REF!</definedName>
    <definedName name="PESOSSS3" localSheetId="4">#REF!</definedName>
    <definedName name="PesoSSS4" localSheetId="4">[22]datos!#REF!</definedName>
    <definedName name="PesoSSS8" localSheetId="4">[22]datos!#REF!</definedName>
    <definedName name="plan" localSheetId="4">#REF!</definedName>
    <definedName name="PlazoAIU" localSheetId="4">#REF!</definedName>
    <definedName name="plena" localSheetId="4">#REF!</definedName>
    <definedName name="porcentaje1" localSheetId="4">[3]datos!#REF!</definedName>
    <definedName name="porcentaje112" localSheetId="4">[3]datos!#REF!</definedName>
    <definedName name="PP" localSheetId="4">#REF!</definedName>
    <definedName name="PPP" localSheetId="4">#REF!</definedName>
    <definedName name="PRESUPNORTE" localSheetId="4">'[13]CALC PROD MENSUAL'!#REF!</definedName>
    <definedName name="PRESUPSUR" localSheetId="4">'[13]CALC PROD MENSUAL'!#REF!</definedName>
    <definedName name="PRESUPUESTO" localSheetId="4">'[13]CALC PROD MENSUAL'!#REF!</definedName>
    <definedName name="procelec" localSheetId="4">#REF!</definedName>
    <definedName name="PRODUCTCARB" localSheetId="4">'[12]CALC PROD MENSUAL'!#REF!</definedName>
    <definedName name="PRODUCTEST" localSheetId="4">'[12]CALC PROD MENSUAL'!#REF!</definedName>
    <definedName name="PRODUCTOCARBON" localSheetId="4">'[13]CALC PROD MENSUAL'!#REF!</definedName>
    <definedName name="PRODUCTOTEST" localSheetId="4">'[13]CALC PROD MENSUAL'!#REF!</definedName>
    <definedName name="programa_mes_carbon" localSheetId="4">#REF!</definedName>
    <definedName name="programa_mes_esteril" localSheetId="4">#REF!</definedName>
    <definedName name="programa_semana_carbon" localSheetId="4">#REF!</definedName>
    <definedName name="programa_semana_esteril" localSheetId="4">#REF!</definedName>
    <definedName name="promedio_dia_carbon" localSheetId="4">#REF!</definedName>
    <definedName name="promedio_dia_esteril" localSheetId="4">#REF!</definedName>
    <definedName name="propierep" localSheetId="4">#REF!</definedName>
    <definedName name="PRUNIT" localSheetId="4">#REF!</definedName>
    <definedName name="qw" localSheetId="4">#REF!</definedName>
    <definedName name="rango1" localSheetId="4">#REF!</definedName>
    <definedName name="rangofin" localSheetId="4">#REF!,#REF!</definedName>
    <definedName name="referencia" localSheetId="4">#REF!</definedName>
    <definedName name="reparaciones" localSheetId="4">#REF!</definedName>
    <definedName name="Resistencia4" localSheetId="4">[22]datos!#REF!</definedName>
    <definedName name="Resistencia8" localSheetId="4">[22]datos!#REF!</definedName>
    <definedName name="retenido" localSheetId="4">#REF!</definedName>
    <definedName name="Retenido1" localSheetId="4">#REF!</definedName>
    <definedName name="Retenido10" localSheetId="4">[7]DATOS!$M$3:$M$486</definedName>
    <definedName name="Retenido100" localSheetId="4">#REF!</definedName>
    <definedName name="retenido112" localSheetId="4">[23]datos!$G$3:$G$3199</definedName>
    <definedName name="Retenido12" localSheetId="4">[7]DATOS!$J$3:$J$486</definedName>
    <definedName name="Retenido200" localSheetId="4">[7]DATOS!$P$3:$P$486</definedName>
    <definedName name="retenido212" localSheetId="4">[15]Datos!#REF!</definedName>
    <definedName name="Retenido2F" localSheetId="4">[3]datos!#REF!</definedName>
    <definedName name="retenido3" localSheetId="4">[15]Datos!#REF!</definedName>
    <definedName name="Retenido30" localSheetId="4">#REF!</definedName>
    <definedName name="Retenido34" localSheetId="4">[7]DATOS!$I$3:$I$486</definedName>
    <definedName name="Retenido38" localSheetId="4">[7]DATOS!$K$3:$K$486</definedName>
    <definedName name="Retenido4" localSheetId="4">[7]DATOS!$L$3:$L$486</definedName>
    <definedName name="Retenido40" localSheetId="4">[7]DATOS!$N$3:$N$486</definedName>
    <definedName name="Retenido50" localSheetId="4">#REF!</definedName>
    <definedName name="Retenido8" localSheetId="4">#REF!</definedName>
    <definedName name="Retenido80" localSheetId="4">[7]DATOS!$O$3:$O$486</definedName>
    <definedName name="reviso">INDEX(firmas!$A$29:$C$31,MATCH(Pista!#REF!,firmas!$A$29:$A$31,0))</definedName>
    <definedName name="revisofirmas">INDEX(firmas!$C$29:$C$31,MATCH('MD-12 UMV'!$H$34,firmas!$A$29:$A$31,0))</definedName>
    <definedName name="revisofirmas1" localSheetId="1">INDEX(firmas!$C$29:$C$31,MATCH(Pista!#REF!,firmas!$A$29:$A$31,0))</definedName>
    <definedName name="revisofirmas732" localSheetId="1">INDEX(firmas!$C$29:$C$31,MATCH(Pista!#REF!,firmas!$A$29:$A$31,0))</definedName>
    <definedName name="Rice" localSheetId="4">[7]DATOS!$BS$3:$BS$486</definedName>
    <definedName name="SCHEDULE" localSheetId="4">'[13]CALC PROD MENSUAL'!#REF!</definedName>
    <definedName name="sd" localSheetId="4">#REF!</definedName>
    <definedName name="SDS" localSheetId="4">#REF!</definedName>
    <definedName name="SECTOR" localSheetId="4">[7]DATOS!#REF!</definedName>
    <definedName name="Segurambiensalud" localSheetId="4">#REF!</definedName>
    <definedName name="SEM_DEL_MES" localSheetId="4">#REF!</definedName>
    <definedName name="Semanas_mes" localSheetId="4">#REF!</definedName>
    <definedName name="Servicios" localSheetId="4">#REF!</definedName>
    <definedName name="TablaBello" localSheetId="4">#REF!</definedName>
    <definedName name="TablaIndicConstPes" localSheetId="4">#REF!</definedName>
    <definedName name="TablaIndices1" localSheetId="4">#REF!</definedName>
    <definedName name="TablaIndicesI" localSheetId="4">#REF!</definedName>
    <definedName name="TablaIPC" localSheetId="4">#REF!</definedName>
    <definedName name="TablaLaMata" localSheetId="4">#REF!</definedName>
    <definedName name="TablaSuaza" localSheetId="4">#REF!</definedName>
    <definedName name="Tamiz10" localSheetId="4">#REF!</definedName>
    <definedName name="TAMIZ100" localSheetId="4">#REF!</definedName>
    <definedName name="Tamiz12" localSheetId="4">#REF!</definedName>
    <definedName name="Tamiz200" localSheetId="4">#REF!</definedName>
    <definedName name="Tamiz38" localSheetId="4">#REF!</definedName>
    <definedName name="Tamiz4" localSheetId="4">#REF!</definedName>
    <definedName name="Tamiz40" localSheetId="4">#REF!</definedName>
    <definedName name="Tamiz80" localSheetId="4">#REF!</definedName>
    <definedName name="tarifas" localSheetId="4">#REF!</definedName>
    <definedName name="tarifas1" localSheetId="4">#REF!</definedName>
    <definedName name="tarifas2" localSheetId="4">#REF!</definedName>
    <definedName name="tarifas3" localSheetId="4">#REF!</definedName>
    <definedName name="tarifas4" localSheetId="4">#REF!</definedName>
    <definedName name="temperatura" localSheetId="4">[7]DATOS!$S$3:$S$486</definedName>
    <definedName name="tipoint" localSheetId="4">#REF!</definedName>
    <definedName name="todo" localSheetId="4">#REF!</definedName>
    <definedName name="total" localSheetId="4">#REF!</definedName>
    <definedName name="totales" localSheetId="4">#REF!</definedName>
    <definedName name="Totalgastosvarios" localSheetId="4">#REF!</definedName>
    <definedName name="TtCD" localSheetId="4">#REF!</definedName>
    <definedName name="TURNOS" localSheetId="4">#REF!</definedName>
    <definedName name="Ubicación" localSheetId="4">#REF!</definedName>
    <definedName name="union" localSheetId="4">#REF!</definedName>
    <definedName name="Vacios1" localSheetId="4">#REF!</definedName>
    <definedName name="Vacios2" localSheetId="4">#REF!</definedName>
    <definedName name="Vacios3" localSheetId="4">#REF!</definedName>
    <definedName name="VentaAiu" localSheetId="4">#REF!</definedName>
    <definedName name="VentaAnsermaCartago" localSheetId="4">#REF!</definedName>
    <definedName name="VentaMediacanoaAnserma" localSheetId="4">#REF!</definedName>
    <definedName name="VentaVenta" localSheetId="4">#REF!</definedName>
    <definedName name="VIA_PITAL___LA_PLATA" localSheetId="4">#REF!</definedName>
    <definedName name="Volumen" localSheetId="4">[7]DATOS!#REF!</definedName>
    <definedName name="w" localSheetId="4">#REF!</definedName>
    <definedName name="we" localSheetId="4">#REF!</definedName>
  </definedNames>
  <calcPr calcId="162913" calcMode="manual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8" i="41" l="1"/>
  <c r="F30" i="41" l="1"/>
  <c r="P30" i="41" s="1"/>
  <c r="F14" i="41"/>
  <c r="T28" i="41" l="1"/>
  <c r="F23" i="41"/>
  <c r="F15" i="41"/>
  <c r="F16" i="41"/>
  <c r="F17" i="41"/>
  <c r="F18" i="41"/>
  <c r="F19" i="41"/>
  <c r="F20" i="41"/>
  <c r="F21" i="41"/>
  <c r="F22" i="41"/>
  <c r="F24" i="41"/>
  <c r="F25" i="41"/>
  <c r="F26" i="41"/>
  <c r="F27" i="41"/>
  <c r="F28" i="41"/>
  <c r="F29" i="41"/>
  <c r="T29" i="41" s="1"/>
  <c r="P28" i="41" l="1"/>
  <c r="P29" i="41"/>
  <c r="R29" i="41"/>
  <c r="R28" i="41"/>
  <c r="D35" i="35" l="1"/>
  <c r="AE28" i="35" l="1"/>
  <c r="AE23" i="35"/>
  <c r="AE21" i="35"/>
  <c r="AD28" i="35"/>
  <c r="AD23" i="35"/>
  <c r="AD21" i="35"/>
  <c r="Z23" i="35"/>
  <c r="Z21" i="35"/>
  <c r="Z19" i="35"/>
  <c r="Y97" i="35"/>
  <c r="Y85" i="35"/>
  <c r="Y23" i="35"/>
  <c r="Y21" i="35"/>
  <c r="Y19" i="35"/>
  <c r="T161" i="35"/>
  <c r="T160" i="35"/>
  <c r="T159" i="35"/>
  <c r="T158" i="35"/>
  <c r="T157" i="35"/>
  <c r="T156" i="35"/>
  <c r="T155" i="35"/>
  <c r="T154" i="35"/>
  <c r="T153" i="35"/>
  <c r="T152" i="35"/>
  <c r="T151" i="35"/>
  <c r="T150" i="35"/>
  <c r="T149" i="35"/>
  <c r="T148" i="35"/>
  <c r="T147" i="35"/>
  <c r="T145" i="35"/>
  <c r="T144" i="35"/>
  <c r="T143" i="35"/>
  <c r="T142" i="35"/>
  <c r="T141" i="35"/>
  <c r="T140" i="35"/>
  <c r="T139" i="35"/>
  <c r="T138" i="35"/>
  <c r="T137" i="35"/>
  <c r="T136" i="35"/>
  <c r="T135" i="35"/>
  <c r="T134" i="35"/>
  <c r="T133" i="35"/>
  <c r="T132" i="35"/>
  <c r="T131" i="35"/>
  <c r="T129" i="35"/>
  <c r="T128" i="35"/>
  <c r="T127" i="35"/>
  <c r="T126" i="35"/>
  <c r="T125" i="35"/>
  <c r="T124" i="35"/>
  <c r="T123" i="35"/>
  <c r="T122" i="35"/>
  <c r="T121" i="35"/>
  <c r="T120" i="35"/>
  <c r="T119" i="35"/>
  <c r="T118" i="35"/>
  <c r="T117" i="35"/>
  <c r="T116" i="35"/>
  <c r="T115" i="35"/>
  <c r="T113" i="35"/>
  <c r="T112" i="35"/>
  <c r="T111" i="35"/>
  <c r="T110" i="35"/>
  <c r="T109" i="35"/>
  <c r="T108" i="35"/>
  <c r="T107" i="35"/>
  <c r="T106" i="35"/>
  <c r="T105" i="35"/>
  <c r="T104" i="35"/>
  <c r="T103" i="35"/>
  <c r="T102" i="35"/>
  <c r="T101" i="35"/>
  <c r="T100" i="35"/>
  <c r="T99" i="35"/>
  <c r="B59" i="35" l="1"/>
  <c r="B60" i="35"/>
  <c r="B58" i="35"/>
  <c r="N121" i="35" l="1"/>
  <c r="AC28" i="35" l="1"/>
  <c r="AC23" i="35"/>
  <c r="AC21" i="35"/>
  <c r="X23" i="35"/>
  <c r="X21" i="35"/>
  <c r="X19" i="35"/>
  <c r="H35" i="35" l="1"/>
  <c r="K27" i="35" l="1"/>
  <c r="L35" i="35"/>
  <c r="F123" i="35" l="1"/>
  <c r="F122" i="35"/>
  <c r="F121" i="35"/>
  <c r="N134" i="35" l="1"/>
  <c r="H21" i="35" s="1"/>
  <c r="P65" i="35"/>
  <c r="P66" i="35"/>
  <c r="P64" i="35"/>
  <c r="G142" i="35" l="1"/>
  <c r="H29" i="35" s="1"/>
  <c r="R48" i="35"/>
  <c r="Q4" i="35"/>
  <c r="M51" i="35"/>
  <c r="E45" i="35"/>
  <c r="E72" i="35" s="1"/>
  <c r="C54" i="35" l="1"/>
  <c r="H16" i="35" l="1"/>
  <c r="K14" i="35"/>
  <c r="K18" i="35"/>
  <c r="K24" i="35"/>
  <c r="K25" i="35"/>
  <c r="K26" i="35"/>
  <c r="K23" i="35"/>
  <c r="L23" i="35" s="1"/>
  <c r="K22" i="35"/>
  <c r="K19" i="35"/>
  <c r="I29" i="35"/>
  <c r="K28" i="35"/>
  <c r="O27" i="35"/>
  <c r="O26" i="35"/>
  <c r="O25" i="35"/>
  <c r="O24" i="35"/>
  <c r="O23" i="35"/>
  <c r="O22" i="35"/>
  <c r="O21" i="35"/>
  <c r="O19" i="35"/>
  <c r="N27" i="35"/>
  <c r="N26" i="35"/>
  <c r="N25" i="35"/>
  <c r="N24" i="35"/>
  <c r="N23" i="35"/>
  <c r="N22" i="35"/>
  <c r="N21" i="35"/>
  <c r="N19" i="35"/>
  <c r="K21" i="35"/>
  <c r="AB28" i="35"/>
  <c r="AB23" i="35"/>
  <c r="AB21" i="35"/>
  <c r="W23" i="35"/>
  <c r="W21" i="35"/>
  <c r="W19" i="35"/>
  <c r="M21" i="35" l="1"/>
  <c r="L21" i="35"/>
  <c r="AA28" i="35"/>
  <c r="AA23" i="35"/>
  <c r="V23" i="35"/>
  <c r="AA21" i="35"/>
  <c r="V21" i="35"/>
  <c r="V19" i="35"/>
  <c r="N47" i="35"/>
  <c r="N108" i="35" s="1"/>
  <c r="N46" i="35"/>
  <c r="N107" i="35" s="1"/>
  <c r="N45" i="35"/>
  <c r="N106" i="35" s="1"/>
  <c r="N44" i="35"/>
  <c r="N105" i="35" s="1"/>
  <c r="N43" i="35"/>
  <c r="N104" i="35" s="1"/>
  <c r="E47" i="35"/>
  <c r="E108" i="35" s="1"/>
  <c r="E46" i="35"/>
  <c r="E107" i="35" s="1"/>
  <c r="E44" i="35"/>
  <c r="E105" i="35" s="1"/>
  <c r="E43" i="35"/>
  <c r="E104" i="35" s="1"/>
  <c r="G74" i="35" l="1"/>
  <c r="K74" i="35"/>
  <c r="G73" i="35"/>
  <c r="K73" i="35"/>
  <c r="G72" i="35"/>
  <c r="K72" i="35"/>
  <c r="E73" i="35"/>
  <c r="J73" i="35"/>
  <c r="E74" i="35"/>
  <c r="H74" i="35"/>
  <c r="L74" i="35"/>
  <c r="H73" i="35"/>
  <c r="L73" i="35"/>
  <c r="H72" i="35"/>
  <c r="L72" i="35"/>
  <c r="J74" i="35"/>
  <c r="F72" i="35"/>
  <c r="I74" i="35"/>
  <c r="M74" i="35"/>
  <c r="I73" i="35"/>
  <c r="M73" i="35"/>
  <c r="I72" i="35"/>
  <c r="M72" i="35"/>
  <c r="F74" i="35"/>
  <c r="F73" i="35"/>
  <c r="J72" i="35"/>
  <c r="E106" i="35"/>
  <c r="M23" i="35"/>
  <c r="Q64" i="35" l="1"/>
  <c r="Q65" i="35"/>
  <c r="Q66" i="35"/>
  <c r="J59" i="35"/>
  <c r="O65" i="35" s="1"/>
  <c r="M59" i="35" s="1"/>
  <c r="J58" i="35"/>
  <c r="O64" i="35" s="1"/>
  <c r="M58" i="35" s="1"/>
  <c r="N58" i="35" l="1"/>
  <c r="N59" i="35"/>
  <c r="D58" i="35" l="1"/>
  <c r="U148" i="35"/>
  <c r="U149" i="35"/>
  <c r="U150" i="35"/>
  <c r="U151" i="35"/>
  <c r="U152" i="35"/>
  <c r="U153" i="35"/>
  <c r="U154" i="35"/>
  <c r="U155" i="35"/>
  <c r="U156" i="35"/>
  <c r="U157" i="35"/>
  <c r="U158" i="35"/>
  <c r="U159" i="35"/>
  <c r="U160" i="35"/>
  <c r="U161" i="35"/>
  <c r="U147" i="35"/>
  <c r="U132" i="35"/>
  <c r="U133" i="35"/>
  <c r="L129" i="35" s="1"/>
  <c r="L130" i="35" s="1"/>
  <c r="U134" i="35"/>
  <c r="U135" i="35"/>
  <c r="U136" i="35"/>
  <c r="U137" i="35"/>
  <c r="U138" i="35"/>
  <c r="U139" i="35"/>
  <c r="U140" i="35"/>
  <c r="U141" i="35"/>
  <c r="U142" i="35"/>
  <c r="U143" i="35"/>
  <c r="U144" i="35"/>
  <c r="U145" i="35"/>
  <c r="U131" i="35"/>
  <c r="U116" i="35"/>
  <c r="U117" i="35"/>
  <c r="U118" i="35"/>
  <c r="U119" i="35"/>
  <c r="U120" i="35"/>
  <c r="U121" i="35"/>
  <c r="U122" i="35"/>
  <c r="U123" i="35"/>
  <c r="U124" i="35"/>
  <c r="U125" i="35"/>
  <c r="U126" i="35"/>
  <c r="U127" i="35"/>
  <c r="U128" i="35"/>
  <c r="M129" i="35" s="1"/>
  <c r="M130" i="35" s="1"/>
  <c r="U129" i="35"/>
  <c r="U115" i="35"/>
  <c r="U100" i="35"/>
  <c r="U101" i="35"/>
  <c r="U102" i="35"/>
  <c r="U103" i="35"/>
  <c r="U104" i="35"/>
  <c r="U105" i="35"/>
  <c r="U106" i="35"/>
  <c r="U107" i="35"/>
  <c r="U108" i="35"/>
  <c r="U109" i="35"/>
  <c r="U110" i="35"/>
  <c r="U111" i="35"/>
  <c r="U112" i="35"/>
  <c r="U113" i="35"/>
  <c r="U99" i="35"/>
  <c r="E67" i="35"/>
  <c r="J67" i="35"/>
  <c r="L54" i="35"/>
  <c r="M119" i="35"/>
  <c r="M116" i="35"/>
  <c r="M117" i="35" s="1"/>
  <c r="M136" i="35" s="1"/>
  <c r="L119" i="35"/>
  <c r="L116" i="35"/>
  <c r="L117" i="35" s="1"/>
  <c r="L136" i="35" s="1"/>
  <c r="K119" i="35"/>
  <c r="K116" i="35"/>
  <c r="K117" i="35" s="1"/>
  <c r="K136" i="35" s="1"/>
  <c r="J119" i="35"/>
  <c r="J116" i="35"/>
  <c r="J117" i="35" s="1"/>
  <c r="J136" i="35" s="1"/>
  <c r="D60" i="35"/>
  <c r="E70" i="35" s="1"/>
  <c r="F70" i="35" s="1"/>
  <c r="D59" i="35"/>
  <c r="E69" i="35" s="1"/>
  <c r="F69" i="35" s="1"/>
  <c r="G69" i="35" s="1"/>
  <c r="H69" i="35" s="1"/>
  <c r="I69" i="35" s="1"/>
  <c r="J69" i="35" s="1"/>
  <c r="K69" i="35" s="1"/>
  <c r="L69" i="35" s="1"/>
  <c r="M69" i="35" s="1"/>
  <c r="L67" i="35"/>
  <c r="J60" i="35"/>
  <c r="O66" i="35" s="1"/>
  <c r="M60" i="35" s="1"/>
  <c r="M53" i="35"/>
  <c r="M52" i="35"/>
  <c r="L19" i="35"/>
  <c r="L14" i="35"/>
  <c r="M14" i="35"/>
  <c r="N67" i="35"/>
  <c r="M67" i="35"/>
  <c r="I67" i="35"/>
  <c r="H67" i="35"/>
  <c r="G67" i="35"/>
  <c r="F67" i="35"/>
  <c r="G61" i="35"/>
  <c r="E54" i="35"/>
  <c r="K54" i="35"/>
  <c r="I54" i="35"/>
  <c r="G54" i="35"/>
  <c r="N136" i="35" l="1"/>
  <c r="H23" i="35" s="1"/>
  <c r="J129" i="35"/>
  <c r="J130" i="35" s="1"/>
  <c r="J131" i="35" s="1"/>
  <c r="J132" i="35" s="1"/>
  <c r="N132" i="35" s="1"/>
  <c r="P144" i="35"/>
  <c r="O67" i="35"/>
  <c r="D61" i="35"/>
  <c r="G70" i="35"/>
  <c r="H70" i="35" s="1"/>
  <c r="I70" i="35" s="1"/>
  <c r="J70" i="35" s="1"/>
  <c r="K70" i="35" s="1"/>
  <c r="L70" i="35" s="1"/>
  <c r="M70" i="35" s="1"/>
  <c r="J118" i="35"/>
  <c r="L118" i="35"/>
  <c r="E68" i="35"/>
  <c r="M118" i="35"/>
  <c r="K129" i="35"/>
  <c r="K130" i="35" s="1"/>
  <c r="N119" i="35"/>
  <c r="K118" i="35"/>
  <c r="M54" i="35"/>
  <c r="B61" i="35"/>
  <c r="H18" i="35"/>
  <c r="M28" i="35"/>
  <c r="N123" i="35" l="1"/>
  <c r="Q51" i="35"/>
  <c r="Q52" i="35"/>
  <c r="N130" i="35"/>
  <c r="N51" i="35"/>
  <c r="P51" i="35" s="1"/>
  <c r="P54" i="35" s="1"/>
  <c r="M61" i="35"/>
  <c r="D121" i="35" s="1"/>
  <c r="N53" i="35"/>
  <c r="P53" i="35" s="1"/>
  <c r="N52" i="35"/>
  <c r="P52" i="35" s="1"/>
  <c r="P55" i="35" l="1"/>
  <c r="N55" i="35"/>
  <c r="N60" i="35"/>
  <c r="P145" i="35"/>
  <c r="H14" i="35" l="1"/>
  <c r="AH104" i="35" l="1"/>
  <c r="AB96" i="35" l="1"/>
  <c r="AA96" i="35"/>
  <c r="AA91" i="35"/>
  <c r="AB85" i="35"/>
  <c r="AA85" i="35"/>
  <c r="Z97" i="35" l="1"/>
  <c r="N117" i="35" l="1"/>
  <c r="Z85" i="35"/>
  <c r="N118" i="35"/>
  <c r="Q60" i="35" l="1"/>
  <c r="AH102" i="35"/>
  <c r="Q59" i="35"/>
  <c r="F18" i="10" l="1"/>
  <c r="K18" i="10" l="1"/>
  <c r="J18" i="10"/>
  <c r="I18" i="10"/>
  <c r="H18" i="10"/>
  <c r="I11" i="10"/>
  <c r="X45" i="10" l="1"/>
  <c r="X46" i="10"/>
  <c r="E18" i="10" l="1"/>
  <c r="L18" i="10"/>
  <c r="D18" i="10"/>
  <c r="C18" i="10"/>
  <c r="G18" i="10"/>
  <c r="I12" i="10" l="1"/>
  <c r="K51" i="10" l="1"/>
  <c r="I6" i="10" l="1"/>
  <c r="I5" i="10"/>
  <c r="C6" i="10"/>
  <c r="O6" i="10" l="1"/>
  <c r="C11" i="10" l="1"/>
  <c r="R21" i="10" l="1"/>
  <c r="L51" i="10" l="1"/>
  <c r="J51" i="10"/>
  <c r="I51" i="10"/>
  <c r="H51" i="10"/>
  <c r="G51" i="10"/>
  <c r="F51" i="10"/>
  <c r="W70" i="10" l="1"/>
  <c r="V70" i="10"/>
  <c r="W69" i="10"/>
  <c r="V69" i="10"/>
  <c r="W68" i="10"/>
  <c r="V68" i="10"/>
  <c r="AA59" i="10"/>
  <c r="AA58" i="10"/>
  <c r="AA57" i="10"/>
  <c r="AA56" i="10"/>
  <c r="A50" i="10"/>
  <c r="Q30" i="10"/>
  <c r="P30" i="10"/>
  <c r="Q29" i="10"/>
  <c r="P29" i="10"/>
  <c r="Q28" i="10"/>
  <c r="P28" i="10"/>
  <c r="O23" i="10"/>
  <c r="O21" i="10"/>
  <c r="AB20" i="10"/>
  <c r="X15" i="10"/>
  <c r="X14" i="10"/>
  <c r="X13" i="10"/>
  <c r="X12" i="10"/>
  <c r="X11" i="10"/>
  <c r="X10" i="10"/>
  <c r="F15" i="10"/>
  <c r="X9" i="10"/>
  <c r="X8" i="10"/>
  <c r="X7" i="10"/>
  <c r="X6" i="10"/>
  <c r="L7" i="10"/>
  <c r="X5" i="10"/>
  <c r="X4" i="10"/>
  <c r="S4" i="10"/>
  <c r="Q4" i="10"/>
  <c r="O4" i="10"/>
  <c r="X3" i="10"/>
  <c r="S3" i="10"/>
  <c r="Q3" i="10"/>
  <c r="O3" i="10"/>
  <c r="X2" i="10"/>
  <c r="F19" i="10" l="1"/>
  <c r="I19" i="10"/>
  <c r="J19" i="10"/>
  <c r="O22" i="10"/>
  <c r="Q6" i="10"/>
  <c r="R6" i="10"/>
  <c r="P6" i="10"/>
  <c r="C19" i="10"/>
  <c r="H19" i="10"/>
  <c r="L19" i="10"/>
  <c r="G19" i="10"/>
  <c r="K19" i="10"/>
  <c r="E19" i="10"/>
  <c r="D19" i="10"/>
  <c r="C20" i="10" l="1"/>
  <c r="F20" i="10"/>
  <c r="B55" i="10"/>
  <c r="D20" i="10"/>
  <c r="Y2" i="10" s="1"/>
  <c r="E20" i="10"/>
  <c r="L20" i="10"/>
  <c r="I20" i="10"/>
  <c r="G20" i="10"/>
  <c r="H20" i="10"/>
  <c r="K20" i="10"/>
  <c r="J20" i="10"/>
  <c r="Y13" i="10" l="1"/>
  <c r="J24" i="10"/>
  <c r="J23" i="10"/>
  <c r="Y11" i="10"/>
  <c r="I24" i="10"/>
  <c r="I23" i="10"/>
  <c r="Y4" i="10"/>
  <c r="F24" i="10"/>
  <c r="F23" i="10"/>
  <c r="T4" i="10"/>
  <c r="H24" i="10"/>
  <c r="H23" i="10"/>
  <c r="Y5" i="10"/>
  <c r="G24" i="10"/>
  <c r="G23" i="10"/>
  <c r="Y3" i="10"/>
  <c r="Z3" i="10" s="1"/>
  <c r="E24" i="10"/>
  <c r="E23" i="10"/>
  <c r="K23" i="10"/>
  <c r="K24" i="10"/>
  <c r="Y9" i="10"/>
  <c r="Y10" i="10"/>
  <c r="Q10" i="10"/>
  <c r="Y12" i="10"/>
  <c r="R4" i="10"/>
  <c r="Y8" i="10"/>
  <c r="Y20" i="10"/>
  <c r="AA20" i="10" s="1"/>
  <c r="AB56" i="10" s="1"/>
  <c r="Y6" i="10"/>
  <c r="T3" i="10"/>
  <c r="Y26" i="10"/>
  <c r="Q15" i="10"/>
  <c r="Y15" i="10"/>
  <c r="P4" i="10"/>
  <c r="Q14" i="10"/>
  <c r="R3" i="10"/>
  <c r="Q13" i="10"/>
  <c r="P3" i="10"/>
  <c r="Y14" i="10"/>
  <c r="Y7" i="10"/>
  <c r="Z2" i="10" l="1"/>
  <c r="AA3" i="10" s="1"/>
  <c r="AB3" i="10" s="1"/>
  <c r="Z4" i="10"/>
  <c r="Z10" i="10"/>
  <c r="Z5" i="10"/>
  <c r="Z13" i="10"/>
  <c r="T5" i="10"/>
  <c r="U46" i="10"/>
  <c r="U45" i="10"/>
  <c r="P5" i="10"/>
  <c r="Z9" i="10"/>
  <c r="Z12" i="10"/>
  <c r="R5" i="10"/>
  <c r="Z11" i="10"/>
  <c r="AB21" i="10"/>
  <c r="Z14" i="10"/>
  <c r="Z6" i="10"/>
  <c r="Z8" i="10"/>
  <c r="Z7" i="10"/>
  <c r="Z15" i="10"/>
  <c r="AA5" i="10" l="1"/>
  <c r="AB5" i="10" s="1"/>
  <c r="AA13" i="10"/>
  <c r="Y24" i="10" s="1"/>
  <c r="AB23" i="10" s="1"/>
  <c r="AA11" i="10"/>
  <c r="Y23" i="10" s="1"/>
  <c r="AA22" i="10" s="1"/>
  <c r="AB58" i="10" s="1"/>
  <c r="AA9" i="10"/>
  <c r="P8" i="10"/>
  <c r="R8" i="10" s="1"/>
  <c r="AA15" i="10"/>
  <c r="Y25" i="10" s="1"/>
  <c r="AA23" i="10" s="1"/>
  <c r="AB59" i="10" s="1"/>
  <c r="AA7" i="10"/>
  <c r="P9" i="10"/>
  <c r="R9" i="10" s="1"/>
  <c r="AB13" i="10" l="1"/>
  <c r="AB11" i="10"/>
  <c r="Y22" i="10"/>
  <c r="AB22" i="10" s="1"/>
  <c r="R10" i="10"/>
  <c r="Q11" i="10" s="1"/>
  <c r="AB15" i="10"/>
  <c r="Y21" i="10"/>
  <c r="AA21" i="10" s="1"/>
  <c r="AB57" i="10" s="1"/>
  <c r="X68" i="10" s="1"/>
  <c r="R28" i="10" s="1"/>
  <c r="T28" i="10" s="1"/>
  <c r="AB7" i="10"/>
  <c r="AB9" i="10"/>
  <c r="X70" i="10"/>
  <c r="Y27" i="10" l="1"/>
  <c r="Y32" i="10" s="1"/>
  <c r="X69" i="10"/>
  <c r="R29" i="10" s="1"/>
  <c r="T29" i="10" s="1"/>
  <c r="Z68" i="10"/>
  <c r="Z70" i="10"/>
  <c r="R30" i="10"/>
  <c r="T30" i="10" s="1"/>
  <c r="Z69" i="10" l="1"/>
  <c r="A42" i="10" l="1"/>
  <c r="O41" i="10" s="1"/>
  <c r="P41" i="10" s="1"/>
  <c r="O42" i="10" l="1"/>
  <c r="A44" i="10"/>
  <c r="A45" i="10" l="1"/>
  <c r="A47" i="10"/>
  <c r="O43" i="10"/>
  <c r="A46" i="10" l="1"/>
  <c r="A48" i="10"/>
  <c r="O44" i="10"/>
  <c r="A49" i="10" s="1"/>
  <c r="C44" i="10" l="1"/>
  <c r="H55" i="10"/>
  <c r="P49" i="10" s="1"/>
  <c r="P43" i="10" l="1"/>
  <c r="P42" i="10"/>
  <c r="P44" i="10"/>
  <c r="Q41" i="10"/>
  <c r="E44" i="10" s="1"/>
  <c r="Q44" i="10" l="1"/>
  <c r="E49" i="10" s="1"/>
  <c r="C49" i="10"/>
  <c r="C46" i="10"/>
  <c r="C48" i="10"/>
  <c r="C45" i="10"/>
  <c r="C47" i="10"/>
  <c r="Q43" i="10"/>
  <c r="P47" i="10"/>
  <c r="Q42" i="10"/>
  <c r="E47" i="10" s="1"/>
  <c r="R44" i="10"/>
  <c r="F49" i="10" s="1"/>
  <c r="T44" i="10"/>
  <c r="H49" i="10" s="1"/>
  <c r="W44" i="10"/>
  <c r="K49" i="10" s="1"/>
  <c r="R41" i="10"/>
  <c r="F44" i="10" s="1"/>
  <c r="U41" i="10"/>
  <c r="I44" i="10" s="1"/>
  <c r="R43" i="10"/>
  <c r="X43" i="10"/>
  <c r="R42" i="10"/>
  <c r="V44" i="10"/>
  <c r="J49" i="10" s="1"/>
  <c r="X44" i="10"/>
  <c r="L49" i="10" s="1"/>
  <c r="V42" i="10"/>
  <c r="U43" i="10"/>
  <c r="W43" i="10"/>
  <c r="T43" i="10"/>
  <c r="U44" i="10"/>
  <c r="I49" i="10" s="1"/>
  <c r="T42" i="10"/>
  <c r="U42" i="10"/>
  <c r="W42" i="10"/>
  <c r="S43" i="10"/>
  <c r="V43" i="10"/>
  <c r="X41" i="10"/>
  <c r="L44" i="10" s="1"/>
  <c r="V41" i="10"/>
  <c r="J44" i="10" s="1"/>
  <c r="S42" i="10"/>
  <c r="X42" i="10"/>
  <c r="S44" i="10"/>
  <c r="G49" i="10" s="1"/>
  <c r="T41" i="10"/>
  <c r="H44" i="10" s="1"/>
  <c r="W41" i="10"/>
  <c r="K44" i="10" s="1"/>
  <c r="S41" i="10"/>
  <c r="G44" i="10" s="1"/>
  <c r="K47" i="10" l="1"/>
  <c r="K45" i="10"/>
  <c r="H48" i="10"/>
  <c r="H46" i="10"/>
  <c r="F46" i="10"/>
  <c r="F48" i="10"/>
  <c r="G47" i="10"/>
  <c r="G45" i="10"/>
  <c r="G46" i="10"/>
  <c r="G48" i="10"/>
  <c r="J45" i="10"/>
  <c r="J47" i="10"/>
  <c r="L48" i="10"/>
  <c r="L46" i="10"/>
  <c r="L47" i="10"/>
  <c r="L45" i="10"/>
  <c r="J46" i="10"/>
  <c r="J48" i="10"/>
  <c r="H47" i="10"/>
  <c r="H45" i="10"/>
  <c r="I48" i="10"/>
  <c r="I46" i="10"/>
  <c r="F45" i="10"/>
  <c r="F47" i="10"/>
  <c r="E46" i="10"/>
  <c r="E48" i="10"/>
  <c r="I45" i="10"/>
  <c r="I47" i="10"/>
  <c r="K46" i="10"/>
  <c r="K48" i="10"/>
  <c r="E45" i="10"/>
  <c r="Q47" i="10"/>
  <c r="C50" i="10"/>
  <c r="S47" i="10"/>
  <c r="U47" i="10"/>
  <c r="X47" i="10"/>
  <c r="T47" i="10"/>
  <c r="V47" i="10"/>
  <c r="W47" i="10"/>
  <c r="R47" i="10"/>
  <c r="F50" i="10" l="1"/>
  <c r="H50" i="10"/>
  <c r="J50" i="10"/>
  <c r="G50" i="10"/>
  <c r="I50" i="10"/>
  <c r="L50" i="10"/>
  <c r="K50" i="10"/>
  <c r="E50" i="10"/>
  <c r="K67" i="35" l="1"/>
  <c r="P67" i="35" s="1"/>
  <c r="E71" i="35" l="1"/>
  <c r="F68" i="35"/>
  <c r="G68" i="35" s="1"/>
  <c r="N61" i="35" l="1"/>
  <c r="Q67" i="35"/>
  <c r="E75" i="35"/>
  <c r="E76" i="35"/>
  <c r="G71" i="35"/>
  <c r="H68" i="35"/>
  <c r="F71" i="35"/>
  <c r="F76" i="35" l="1"/>
  <c r="F75" i="35"/>
  <c r="I68" i="35"/>
  <c r="H71" i="35"/>
  <c r="G75" i="35"/>
  <c r="G76" i="35"/>
  <c r="J68" i="35" l="1"/>
  <c r="I71" i="35"/>
  <c r="H76" i="35"/>
  <c r="H75" i="35"/>
  <c r="J71" i="35" l="1"/>
  <c r="J76" i="35" s="1"/>
  <c r="K68" i="35"/>
  <c r="AC105" i="35"/>
  <c r="I75" i="35"/>
  <c r="I76" i="35"/>
  <c r="J75" i="35" l="1"/>
  <c r="K71" i="35"/>
  <c r="L68" i="35"/>
  <c r="M68" i="35" s="1"/>
  <c r="M71" i="35" l="1"/>
  <c r="L71" i="35"/>
  <c r="K75" i="35"/>
  <c r="K76" i="35"/>
  <c r="L76" i="35" l="1"/>
  <c r="L75" i="35"/>
  <c r="AC117" i="35"/>
  <c r="AH105" i="35" s="1"/>
  <c r="M75" i="35"/>
  <c r="M76" i="35"/>
  <c r="K131" i="35"/>
  <c r="K135" i="35" s="1"/>
  <c r="M131" i="35"/>
  <c r="K133" i="35" l="1"/>
  <c r="Q132" i="35" s="1"/>
  <c r="M135" i="35"/>
  <c r="M133" i="35"/>
  <c r="Q134" i="35" s="1"/>
  <c r="K29" i="35"/>
  <c r="M29" i="35" s="1"/>
  <c r="L131" i="35"/>
  <c r="J135" i="35" l="1"/>
  <c r="N131" i="35"/>
  <c r="J133" i="35"/>
  <c r="Q131" i="35" s="1"/>
  <c r="H19" i="35"/>
  <c r="K132" i="35" s="1"/>
  <c r="P132" i="35" s="1"/>
  <c r="L135" i="35"/>
  <c r="L133" i="35"/>
  <c r="Q133" i="35" s="1"/>
  <c r="N135" i="35" l="1"/>
  <c r="H22" i="35" s="1"/>
  <c r="Q136" i="35"/>
  <c r="M132" i="35"/>
  <c r="P134" i="35" s="1"/>
  <c r="L132" i="35"/>
  <c r="P133" i="35" s="1"/>
  <c r="P131" i="35" l="1"/>
  <c r="P136" i="35" s="1"/>
  <c r="H20" i="35" s="1"/>
  <c r="J61" i="35"/>
  <c r="D123" i="35" l="1"/>
  <c r="P61" i="35" l="1"/>
  <c r="D122" i="35"/>
  <c r="Q58" i="35"/>
  <c r="Q61" i="35"/>
  <c r="N122" i="35" l="1"/>
  <c r="AH103" i="35" s="1"/>
  <c r="P122" i="35"/>
  <c r="H24" i="35"/>
  <c r="H25" i="35" s="1"/>
  <c r="AB92" i="35" l="1"/>
  <c r="AB93" i="35" s="1"/>
  <c r="X120" i="35" s="1"/>
  <c r="H26" i="35"/>
  <c r="AH101" i="35" l="1"/>
  <c r="AH106" i="35" s="1"/>
  <c r="H27" i="35" s="1"/>
  <c r="X121" i="35"/>
  <c r="H28" i="35" s="1"/>
</calcChain>
</file>

<file path=xl/sharedStrings.xml><?xml version="1.0" encoding="utf-8"?>
<sst xmlns="http://schemas.openxmlformats.org/spreadsheetml/2006/main" count="678" uniqueCount="417">
  <si>
    <t>OBRA:</t>
  </si>
  <si>
    <t>1"</t>
  </si>
  <si>
    <t>3/4"</t>
  </si>
  <si>
    <t>3/8"</t>
  </si>
  <si>
    <t>Observaciones:</t>
  </si>
  <si>
    <t>1/2"</t>
  </si>
  <si>
    <t>N°4</t>
  </si>
  <si>
    <t>% Retenido</t>
  </si>
  <si>
    <t>CÓDIGO:</t>
  </si>
  <si>
    <t>TIPO DE MEZCLA ASFÁLTICA:</t>
  </si>
  <si>
    <t>GRADACIÓN</t>
  </si>
  <si>
    <t>Peso Retenido</t>
  </si>
  <si>
    <t>FONDO</t>
  </si>
  <si>
    <t>PROMEDIO</t>
  </si>
  <si>
    <t>P1</t>
  </si>
  <si>
    <t>P2</t>
  </si>
  <si>
    <t>Tamiz pulgadas</t>
  </si>
  <si>
    <t>Tamiz mm.</t>
  </si>
  <si>
    <t>% que  Pasa</t>
  </si>
  <si>
    <t>Nº</t>
  </si>
  <si>
    <t>MUESTRA No.</t>
  </si>
  <si>
    <t xml:space="preserve">Especificación </t>
  </si>
  <si>
    <t>Densidad Bulk gr./cm³</t>
  </si>
  <si>
    <t>Estabilidad (kg)</t>
  </si>
  <si>
    <t>Flujo (mm)</t>
  </si>
  <si>
    <t>Est./flujo</t>
  </si>
  <si>
    <t>LOCALIZACIÓN:</t>
  </si>
  <si>
    <t>Promedio</t>
  </si>
  <si>
    <t>Va</t>
  </si>
  <si>
    <t>VAM</t>
  </si>
  <si>
    <t>VFA</t>
  </si>
  <si>
    <t>R.P</t>
  </si>
  <si>
    <t xml:space="preserve"> - - - </t>
  </si>
  <si>
    <t>Viaje No.</t>
  </si>
  <si>
    <t xml:space="preserve"> 0.8 - 1.2 </t>
  </si>
  <si>
    <t>Min.15</t>
  </si>
  <si>
    <t>CÓDIGO</t>
  </si>
  <si>
    <t>FUENTE:</t>
  </si>
  <si>
    <t>D10</t>
  </si>
  <si>
    <t>D30</t>
  </si>
  <si>
    <t>D60</t>
  </si>
  <si>
    <t>TAMIZ</t>
  </si>
  <si>
    <t>%PASA</t>
  </si>
  <si>
    <t>Cc</t>
  </si>
  <si>
    <t>Cu</t>
  </si>
  <si>
    <t>%Gravas</t>
  </si>
  <si>
    <t>%Arenas</t>
  </si>
  <si>
    <t>%Finos</t>
  </si>
  <si>
    <t>Gravedad especifica Bulk 25 °C</t>
  </si>
  <si>
    <t>Elaboró:</t>
  </si>
  <si>
    <t>Aprobó:</t>
  </si>
  <si>
    <t>VERSIÓN</t>
  </si>
  <si>
    <t>N° 4</t>
  </si>
  <si>
    <t>%Pasa</t>
  </si>
  <si>
    <t>%Ret</t>
  </si>
  <si>
    <t>Porcentaje que pasa el tamiz de 4.75 mm (N°4).</t>
  </si>
  <si>
    <t>Porcentaje que pasa el tamiz de 2.36 mm (N°8).</t>
  </si>
  <si>
    <t>Porcentaje que pasa el tamiz de 1.18 mm (N°16).</t>
  </si>
  <si>
    <t>Porcentaje que pasa el tamiz de 0.60 mm (N°30).</t>
  </si>
  <si>
    <t>Porcentaje que pasa el tamiz de 0.30 mm (N°50).</t>
  </si>
  <si>
    <t>Porcentaje que pasa el tamiz de 0.15 mm (N°100).</t>
  </si>
  <si>
    <t>Porcentaje que pasa el tamiz de 0.075 mm (N°200).</t>
  </si>
  <si>
    <t>Pbe = Contenido de asfalto efectivo</t>
  </si>
  <si>
    <t>Pb = Contenido de asfalto total</t>
  </si>
  <si>
    <t>Db = Densidad del ligante 25°C</t>
  </si>
  <si>
    <t>Dsb = Densidad bulk combinada del agregado t/m3</t>
  </si>
  <si>
    <t>IPL = Índice de película de ligante</t>
  </si>
  <si>
    <t>(El que retiene mas del 10% según la norma )</t>
  </si>
  <si>
    <t>Seleccionar los tamices de control para el tamaño máximo nominal en la siguiente tabla</t>
  </si>
  <si>
    <t>TAMICES DE CONTROL MÉTODO BAILEY</t>
  </si>
  <si>
    <t>DMN (mm)</t>
  </si>
  <si>
    <t>TM</t>
  </si>
  <si>
    <t>TCP</t>
  </si>
  <si>
    <t>TCS</t>
  </si>
  <si>
    <t>TCT</t>
  </si>
  <si>
    <t>Nota:  el tamiz 4.75mm es el normalmente usado como tamiz de control para un DMN de 12.5, pero puede ser el 6.25mm</t>
  </si>
  <si>
    <t>De la gradación obtener los porcentajes que pasan por el tamiz de control</t>
  </si>
  <si>
    <t>Control</t>
  </si>
  <si>
    <t>Tamiz de control</t>
  </si>
  <si>
    <t>%pasa</t>
  </si>
  <si>
    <t>Proporción Agregados Grueso</t>
  </si>
  <si>
    <t>AG</t>
  </si>
  <si>
    <t>Proporción gruesa del agregado fino</t>
  </si>
  <si>
    <t>GAF</t>
  </si>
  <si>
    <t>Proporción fina del agregado fino</t>
  </si>
  <si>
    <t>FAF</t>
  </si>
  <si>
    <t>Calcular el parámetro Bailey y comparar con el rango de control</t>
  </si>
  <si>
    <t>Parámetro Bailey</t>
  </si>
  <si>
    <t>Rango Ctrl</t>
  </si>
  <si>
    <t>Resultado</t>
  </si>
  <si>
    <t xml:space="preserve"> 2 - 4</t>
  </si>
  <si>
    <t>Min. 750</t>
  </si>
  <si>
    <t>mm</t>
  </si>
  <si>
    <t>MD12</t>
  </si>
  <si>
    <t>MOVIL</t>
  </si>
  <si>
    <t>HORA</t>
  </si>
  <si>
    <t>RICE</t>
  </si>
  <si>
    <t>MERCY RIVERA FONSECA</t>
  </si>
  <si>
    <t>JEFE DE CALIDAD</t>
  </si>
  <si>
    <t>MINIMO  IDU</t>
  </si>
  <si>
    <t>MAXIMO IDU</t>
  </si>
  <si>
    <t>65 - 78</t>
  </si>
  <si>
    <t xml:space="preserve"> 300 - 500 </t>
  </si>
  <si>
    <t xml:space="preserve"> 3 - 5 </t>
  </si>
  <si>
    <t>FECHA APLICACIÓN</t>
  </si>
  <si>
    <t>PABLO VARGAS</t>
  </si>
  <si>
    <t>COORD. TÉCNICO LABORATORIO</t>
  </si>
  <si>
    <t>GERENCIA DE INTERVENCIÓN</t>
  </si>
  <si>
    <t>FECHA DE RECEPCIÓN</t>
  </si>
  <si>
    <t>FECHA DE EJECUCIÓN:</t>
  </si>
  <si>
    <t>ANÁLISIS GRANULOMÉTRICO DE LOS AGREGADOS EXTRAÍDOS DE MEZCLAS ASFÁLTICAS INV E-782-13</t>
  </si>
  <si>
    <t>EXTRACCIÓN CUANTITATIVA DEL ASFALTO EN MEZCLAS PARA PAVIMENTOS INV E-732-13 / MÉTODO A (CENTRIFUGACIÓN)</t>
  </si>
  <si>
    <t>GASOLINA</t>
  </si>
  <si>
    <t>Contenido de asfalto (%)</t>
  </si>
  <si>
    <r>
      <t>W</t>
    </r>
    <r>
      <rPr>
        <b/>
        <sz val="8"/>
        <rFont val="Calibri"/>
        <family val="2"/>
        <scheme val="minor"/>
      </rPr>
      <t xml:space="preserve">2 </t>
    </r>
    <r>
      <rPr>
        <b/>
        <sz val="10"/>
        <rFont val="Calibri"/>
        <family val="2"/>
        <scheme val="minor"/>
      </rPr>
      <t>masa del agua (g):</t>
    </r>
  </si>
  <si>
    <t>A= área superficial del agregado combinado=</t>
  </si>
  <si>
    <t>Método Baley</t>
  </si>
  <si>
    <t>Obtener gradación de diseño</t>
  </si>
  <si>
    <t>Obtener tamaño máximo nominal</t>
  </si>
  <si>
    <t>Seleccionar el rango de control acorde con el tamaño máximo nominal en la tabla a continuación</t>
  </si>
  <si>
    <r>
      <t>W</t>
    </r>
    <r>
      <rPr>
        <b/>
        <sz val="8"/>
        <rFont val="Calibri"/>
        <family val="2"/>
      </rPr>
      <t xml:space="preserve">1 </t>
    </r>
    <r>
      <rPr>
        <b/>
        <sz val="10"/>
        <rFont val="Calibri"/>
        <family val="2"/>
      </rPr>
      <t>masa de la porción de ensayo</t>
    </r>
    <r>
      <rPr>
        <b/>
        <sz val="10"/>
        <rFont val="Calibri"/>
        <family val="2"/>
        <scheme val="minor"/>
      </rPr>
      <t xml:space="preserve"> (g):</t>
    </r>
  </si>
  <si>
    <r>
      <t>W</t>
    </r>
    <r>
      <rPr>
        <b/>
        <sz val="8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 xml:space="preserve">  masa de agregado mineral extraído (g):</t>
    </r>
  </si>
  <si>
    <r>
      <t>W</t>
    </r>
    <r>
      <rPr>
        <b/>
        <sz val="8"/>
        <rFont val="Calibri"/>
        <family val="2"/>
        <scheme val="minor"/>
      </rPr>
      <t>4</t>
    </r>
    <r>
      <rPr>
        <b/>
        <sz val="11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masa del material mineral en el extracto (g):</t>
    </r>
  </si>
  <si>
    <t>Solvente:</t>
  </si>
  <si>
    <t>INFORME DE ENSAYO
CONTROL DE LA COMPOSIÓN DE LA MEZCLA ASFÁLTICA
INV E-729 o 732,782 -13</t>
  </si>
  <si>
    <t>% pasa Min</t>
  </si>
  <si>
    <t>% pasa Max</t>
  </si>
  <si>
    <t>N° 10</t>
  </si>
  <si>
    <t>N° 40</t>
  </si>
  <si>
    <t>N° 80</t>
  </si>
  <si>
    <t>N° 200</t>
  </si>
  <si>
    <t>Solvente utilizado:</t>
  </si>
  <si>
    <t>Gasolina</t>
  </si>
  <si>
    <t>Masa total seca antes de lavado (g):</t>
  </si>
  <si>
    <t>% que pasa</t>
  </si>
  <si>
    <t>Rangos de tolerancia formula de trabajo</t>
  </si>
  <si>
    <t xml:space="preserve">Tamices </t>
  </si>
  <si>
    <t>N° de muestra</t>
  </si>
  <si>
    <t>promedio</t>
  </si>
  <si>
    <t>INFORME DE ENSAYO</t>
  </si>
  <si>
    <t>ESMasaR (mm)</t>
  </si>
  <si>
    <t>FACTOR</t>
  </si>
  <si>
    <t xml:space="preserve">CALIDAD DE LA MEZCLA </t>
  </si>
  <si>
    <t>Con respecto a la fórmula de Trabajo.</t>
  </si>
  <si>
    <t>a) Resistencia</t>
  </si>
  <si>
    <t>Et (kgf)</t>
  </si>
  <si>
    <t>Em (kgf)</t>
  </si>
  <si>
    <t>Em = Estabilidad media</t>
  </si>
  <si>
    <t>Et = estabilidad de la mezcla de la fórmula de trabajo media (kgf)</t>
  </si>
  <si>
    <t>Ei = Estabilidad individual (kgf)</t>
  </si>
  <si>
    <t>b) Flujo</t>
  </si>
  <si>
    <t>Ft (mm) =</t>
  </si>
  <si>
    <t>Fm (mm)</t>
  </si>
  <si>
    <t>Ft = Flujo de la formula de trabajo</t>
  </si>
  <si>
    <t>Fm = Flujo medio (mm)</t>
  </si>
  <si>
    <r>
      <t>Contenido efectivo de asfalto (P</t>
    </r>
    <r>
      <rPr>
        <vertAlign val="subscript"/>
        <sz val="8"/>
        <rFont val="Arial"/>
        <family val="2"/>
      </rPr>
      <t>be</t>
    </r>
    <r>
      <rPr>
        <sz val="8"/>
        <rFont val="Arial"/>
        <family val="2"/>
      </rPr>
      <t>)%</t>
    </r>
  </si>
  <si>
    <t>Laboratorio de calidad de suelos Asfaltos y pavimentos de la UAERMV 
Sede de Producción Parque Minero Industrial El Mochuelo Kilometro 3 vía Pasquilla localidad Ciudad Bolívar, Bogotá D.C. - Colombia
Tel: 3779555 Ext. 1145   E- mail: p.laboratorio@umv.gov.co</t>
  </si>
  <si>
    <t>Formula de trabajo</t>
  </si>
  <si>
    <t>ESPECIFICACIÓN TÉCNICA IDU SECCION 510-11</t>
  </si>
  <si>
    <t xml:space="preserve">Los resultados presentados corresponden únicamente a la muestra sometida a ensayo. Este informe no puede ser reproducido en su totalidad ni parcialmente, sin la autorización escrita del laboratorio  de Calidad de suelos, asfaltos y pavimentos de la UAERMV. </t>
  </si>
  <si>
    <t>Reviso:</t>
  </si>
  <si>
    <t>Tabla 510.4</t>
  </si>
  <si>
    <t>Masa total de agregado en la mezcla (g)</t>
  </si>
  <si>
    <t>Masa de pasa No 200 por lavado (g)</t>
  </si>
  <si>
    <t>masa total (g)</t>
  </si>
  <si>
    <t>CÓDIGO: PRO-L-FM-030</t>
  </si>
  <si>
    <t>N° muestra</t>
  </si>
  <si>
    <t>Rango de tolerancia</t>
  </si>
  <si>
    <t>Laboratorista</t>
  </si>
  <si>
    <t>MD-12</t>
  </si>
  <si>
    <t>Pbe= Asfalto Efectivo %</t>
  </si>
  <si>
    <t>Pbt= Asfalto Total %</t>
  </si>
  <si>
    <t>Gsg= Gs. del Ag. Comb</t>
  </si>
  <si>
    <t>Gsb= Gs. del Asfalto</t>
  </si>
  <si>
    <t>Se=  Superficie especifica</t>
  </si>
  <si>
    <t>IPA= Índice de Película de Asfalto</t>
  </si>
  <si>
    <t>CALCULO DEL IPA INDICE DE PELICULA DE ASFALTO  (INV-E-741-13)</t>
  </si>
  <si>
    <t>Constantes Se</t>
  </si>
  <si>
    <t>tamiz (mm)</t>
  </si>
  <si>
    <t>Datos % pasa calculo (Se)</t>
  </si>
  <si>
    <t>IPA= (Pbe/ 100-Pbt)(Gsg/2,65*Se)(103/Gsb)</t>
  </si>
  <si>
    <t>a)</t>
  </si>
  <si>
    <t>b)</t>
  </si>
  <si>
    <t>c)</t>
  </si>
  <si>
    <t>Se= Superficie Especifica (2+0,02a+0,04b+0,08c+0,14d+0,30e+0,60f+1,60g)0,20482</t>
  </si>
  <si>
    <t>d)</t>
  </si>
  <si>
    <t>e)</t>
  </si>
  <si>
    <t>f)</t>
  </si>
  <si>
    <t>g)</t>
  </si>
  <si>
    <t>alterno</t>
  </si>
  <si>
    <t>%</t>
  </si>
  <si>
    <t>g</t>
  </si>
  <si>
    <t>ºC</t>
  </si>
  <si>
    <t>Cliente:</t>
  </si>
  <si>
    <t>Procedencia:</t>
  </si>
  <si>
    <t>min</t>
  </si>
  <si>
    <t xml:space="preserve">Estabilidad </t>
  </si>
  <si>
    <t>Flujo</t>
  </si>
  <si>
    <t>FT</t>
  </si>
  <si>
    <t>Jornada:</t>
  </si>
  <si>
    <t>Vacíos en agregados minerales (VAM)</t>
  </si>
  <si>
    <t>N/A</t>
  </si>
  <si>
    <t xml:space="preserve">Relación Estabilidad/ Flujo </t>
  </si>
  <si>
    <t>Vacíos llenos de asfalto (VFA)</t>
  </si>
  <si>
    <t>kgf/mm</t>
  </si>
  <si>
    <t>Fecha de ejecución:</t>
  </si>
  <si>
    <t>Placa Y/o Móvil</t>
  </si>
  <si>
    <t>Masa seca total después de lavado (g):</t>
  </si>
  <si>
    <t>Tipo de mezcla asfáltica:</t>
  </si>
  <si>
    <t>Mínima 0,9</t>
  </si>
  <si>
    <t>Máxima 1,25</t>
  </si>
  <si>
    <t>Mínima 0,8</t>
  </si>
  <si>
    <t>Máxima 1,2</t>
  </si>
  <si>
    <t>Factor de conversión KN a Kgf</t>
  </si>
  <si>
    <t>Max</t>
  </si>
  <si>
    <t>máx.</t>
  </si>
  <si>
    <t>Código:</t>
  </si>
  <si>
    <t>Fecha de recepción:</t>
  </si>
  <si>
    <t>Fecha de producción:</t>
  </si>
  <si>
    <t>kgf</t>
  </si>
  <si>
    <t>Contenido de asfalto</t>
  </si>
  <si>
    <t xml:space="preserve">Temperatura ensayo de Estabilidad </t>
  </si>
  <si>
    <t>°C</t>
  </si>
  <si>
    <t>Estabilidad medida</t>
  </si>
  <si>
    <t>golpes/cara</t>
  </si>
  <si>
    <t>Vacíos con aire (Va)</t>
  </si>
  <si>
    <t>Norma de ensayo</t>
  </si>
  <si>
    <t>INV E 748-13</t>
  </si>
  <si>
    <t>INV E 732-13</t>
  </si>
  <si>
    <t>Gse</t>
  </si>
  <si>
    <t>Gsb</t>
  </si>
  <si>
    <t xml:space="preserve">Gb </t>
  </si>
  <si>
    <t>Efectiva del agregado</t>
  </si>
  <si>
    <t>Bulk del agregado combinado</t>
  </si>
  <si>
    <t>Asfalto</t>
  </si>
  <si>
    <t>Temperatura del agua</t>
  </si>
  <si>
    <t>Pasa N° 200</t>
  </si>
  <si>
    <t>Total pasa N° 200</t>
  </si>
  <si>
    <t>CRITERIOS</t>
  </si>
  <si>
    <t>Masa Retenido
 (g)</t>
  </si>
  <si>
    <t>Temperatura de Compactación</t>
  </si>
  <si>
    <t>RESULTADO</t>
  </si>
  <si>
    <t xml:space="preserve"> kgf</t>
  </si>
  <si>
    <t>Estabilidad individual corregida, Ei</t>
  </si>
  <si>
    <t xml:space="preserve"> kN</t>
  </si>
  <si>
    <t xml:space="preserve"> mm</t>
  </si>
  <si>
    <t>Relación Estabilidad/ Flujo</t>
  </si>
  <si>
    <t xml:space="preserve"> %</t>
  </si>
  <si>
    <t>Firma:</t>
  </si>
  <si>
    <t>Nombres y apellidos:</t>
  </si>
  <si>
    <t>Cargo:</t>
  </si>
  <si>
    <t>Compactación</t>
  </si>
  <si>
    <t>F: Vol. llenante Mezcla</t>
  </si>
  <si>
    <t>A: Vol. Asfalto efectivo en la mezcla</t>
  </si>
  <si>
    <r>
      <t xml:space="preserve">Ei </t>
    </r>
    <r>
      <rPr>
        <sz val="8"/>
        <rFont val="Arial"/>
        <family val="2"/>
      </rPr>
      <t>≥</t>
    </r>
    <r>
      <rPr>
        <sz val="8"/>
        <rFont val="Arial"/>
        <family val="2"/>
      </rPr>
      <t xml:space="preserve"> 0,80  En (kgf)</t>
    </r>
  </si>
  <si>
    <r>
      <t>Asfalto absorbido (P</t>
    </r>
    <r>
      <rPr>
        <vertAlign val="subscript"/>
        <sz val="8"/>
        <rFont val="Arial"/>
        <family val="2"/>
      </rPr>
      <t>be</t>
    </r>
    <r>
      <rPr>
        <sz val="8"/>
        <rFont val="Arial"/>
        <family val="2"/>
      </rPr>
      <t>)%</t>
    </r>
  </si>
  <si>
    <t>Característica</t>
  </si>
  <si>
    <t>N° de ensayo:</t>
  </si>
  <si>
    <t>Recipiente :</t>
  </si>
  <si>
    <t>procedimiento :</t>
  </si>
  <si>
    <t>pesado en el aire</t>
  </si>
  <si>
    <t>INV E 735-13</t>
  </si>
  <si>
    <t>W2  masa del agua (g):</t>
  </si>
  <si>
    <t>W3  masa del agregado mineral extraído (g):</t>
  </si>
  <si>
    <t>W4 masa del material mineral en el extracto (g):</t>
  </si>
  <si>
    <t>CIV del lote:</t>
  </si>
  <si>
    <r>
      <t>Volumen total del lote (m</t>
    </r>
    <r>
      <rPr>
        <b/>
        <sz val="9"/>
        <rFont val="Calibri"/>
        <family val="2"/>
      </rPr>
      <t>³</t>
    </r>
    <r>
      <rPr>
        <b/>
        <sz val="9"/>
        <rFont val="Calibri"/>
        <family val="2"/>
        <scheme val="minor"/>
      </rPr>
      <t>):</t>
    </r>
  </si>
  <si>
    <t>Diferencia de masa %</t>
  </si>
  <si>
    <t>Gravedad específica (Gse, Gsb, G3, Gb), INV E 799-2013</t>
  </si>
  <si>
    <t>Control de la calidad de la mezcla</t>
  </si>
  <si>
    <t>antes</t>
  </si>
  <si>
    <t>masas del filtro (g):</t>
  </si>
  <si>
    <t>INV E 782-13</t>
  </si>
  <si>
    <t>Ver grafica</t>
  </si>
  <si>
    <t>INV E 745-13</t>
  </si>
  <si>
    <t>Relación Llenante / ligante efectivo (P0.075/Pbe)</t>
  </si>
  <si>
    <t>INV E 799-13</t>
  </si>
  <si>
    <t>INV E 736-13</t>
  </si>
  <si>
    <t>7.5</t>
  </si>
  <si>
    <t>INV E 741-13</t>
  </si>
  <si>
    <t>Nota: La Gravedad específica del Asfalto (Gb), corresponde al valor presentado en el reporte de resultados de ensayo, suministrado por  el proveedor.</t>
  </si>
  <si>
    <t>Nº  muestra</t>
  </si>
  <si>
    <r>
      <rPr>
        <sz val="8"/>
        <color theme="1"/>
        <rFont val="Calibri"/>
        <family val="2"/>
      </rPr>
      <t>µ</t>
    </r>
    <r>
      <rPr>
        <sz val="8"/>
        <color theme="1"/>
        <rFont val="Arial"/>
        <family val="2"/>
      </rPr>
      <t>m</t>
    </r>
  </si>
  <si>
    <t>Diferencia entre dos resultados de un solo operador</t>
  </si>
  <si>
    <r>
      <t>0,8</t>
    </r>
    <r>
      <rPr>
        <sz val="8"/>
        <color theme="1" tint="0.499984740745262"/>
        <rFont val="Calibri"/>
        <family val="2"/>
      </rPr>
      <t>≥</t>
    </r>
    <r>
      <rPr>
        <sz val="8"/>
        <color theme="1" tint="0.499984740745262"/>
        <rFont val="Arial"/>
        <family val="2"/>
      </rPr>
      <t>FT</t>
    </r>
    <r>
      <rPr>
        <sz val="8"/>
        <color theme="1" tint="0.499984740745262"/>
        <rFont val="Calibri"/>
        <family val="2"/>
      </rPr>
      <t>≤</t>
    </r>
    <r>
      <rPr>
        <sz val="8"/>
        <color theme="1" tint="0.499984740745262"/>
        <rFont val="Arial"/>
        <family val="2"/>
      </rPr>
      <t>1,20</t>
    </r>
  </si>
  <si>
    <r>
      <t>FT-0,3</t>
    </r>
    <r>
      <rPr>
        <sz val="8"/>
        <color theme="1" tint="0.499984740745262"/>
        <rFont val="Calibri"/>
        <family val="2"/>
      </rPr>
      <t>≥</t>
    </r>
    <r>
      <rPr>
        <sz val="8"/>
        <color theme="1" tint="0.499984740745262"/>
        <rFont val="Arial"/>
        <family val="2"/>
      </rPr>
      <t>FT</t>
    </r>
    <r>
      <rPr>
        <sz val="8"/>
        <color theme="1" tint="0.499984740745262"/>
        <rFont val="Calibri"/>
        <family val="2"/>
      </rPr>
      <t>≤</t>
    </r>
    <r>
      <rPr>
        <sz val="8"/>
        <color theme="1" tint="0.499984740745262"/>
        <rFont val="Arial"/>
        <family val="2"/>
      </rPr>
      <t>FT+0,3</t>
    </r>
  </si>
  <si>
    <t>Los resultados presentados corresponden únicamente a la muestra sometida a ensayo. Este informe no puede ser reproducido en su totalidad ni parcialmente, sin la autorización escrita del laboratorio  de Calidad de suelos, asfaltos y pavimentos de la UAERMV.</t>
  </si>
  <si>
    <t xml:space="preserve">. </t>
  </si>
  <si>
    <r>
      <t>W</t>
    </r>
    <r>
      <rPr>
        <sz val="6"/>
        <rFont val="Calibri"/>
        <family val="2"/>
      </rPr>
      <t>1: masa de la porción de ensayo (g)</t>
    </r>
    <r>
      <rPr>
        <sz val="6"/>
        <rFont val="Calibri"/>
        <family val="2"/>
        <scheme val="minor"/>
      </rPr>
      <t>:</t>
    </r>
  </si>
  <si>
    <t>Numero de Briqueta o probetas</t>
  </si>
  <si>
    <t>0,8≥Em</t>
  </si>
  <si>
    <r>
      <t>1,25≥E</t>
    </r>
    <r>
      <rPr>
        <sz val="6"/>
        <rFont val="Arial"/>
        <family val="2"/>
      </rPr>
      <t>FT</t>
    </r>
  </si>
  <si>
    <t>A: masa en el aire de la muestra seca:</t>
  </si>
  <si>
    <t>Agregado grueso</t>
  </si>
  <si>
    <t>Agregado fino</t>
  </si>
  <si>
    <t>llenante mineral</t>
  </si>
  <si>
    <r>
      <t>0,9</t>
    </r>
    <r>
      <rPr>
        <sz val="8"/>
        <color theme="1" tint="0.499984740745262"/>
        <rFont val="Calibri"/>
        <family val="2"/>
      </rPr>
      <t>≥E</t>
    </r>
    <r>
      <rPr>
        <sz val="6"/>
        <color theme="1" tint="0.499984740745262"/>
        <rFont val="Calibri"/>
        <family val="2"/>
      </rPr>
      <t>FT</t>
    </r>
  </si>
  <si>
    <r>
      <t>0,8≥Em
1,25≥E</t>
    </r>
    <r>
      <rPr>
        <sz val="6"/>
        <color theme="1" tint="0.499984740745262"/>
        <rFont val="Arial"/>
        <family val="2"/>
      </rPr>
      <t>FT</t>
    </r>
  </si>
  <si>
    <t>Control de la composición de la mezcla</t>
  </si>
  <si>
    <t>Verificación del porcentaje individual</t>
  </si>
  <si>
    <t>Granulometría</t>
  </si>
  <si>
    <t>Verificación de la estabilidad individual</t>
  </si>
  <si>
    <t>Índice de película de asfalto</t>
  </si>
  <si>
    <t xml:space="preserve">Concentración critica del llenante </t>
  </si>
  <si>
    <t>Gravedad especifica máxima teórica a 25°C</t>
  </si>
  <si>
    <t>Verificación individual
(5% del promedio)</t>
  </si>
  <si>
    <t>después</t>
  </si>
  <si>
    <t>B-C: masa del volumen de agua correspondiente al volumen del espécimen</t>
  </si>
  <si>
    <t>Verificación individual de la estabilidad</t>
  </si>
  <si>
    <t>picnómetro de vacío (figura 735-1)</t>
  </si>
  <si>
    <t>Tamaño máximo nominal:</t>
  </si>
  <si>
    <r>
      <t xml:space="preserve"> kg/m</t>
    </r>
    <r>
      <rPr>
        <sz val="8"/>
        <rFont val="Calibri"/>
        <family val="2"/>
      </rPr>
      <t>³</t>
    </r>
  </si>
  <si>
    <t>Factor de corrección (Tabla 748-1)</t>
  </si>
  <si>
    <t>ART%0,5≥ARI%
ARI%≤ART%+0,5</t>
  </si>
  <si>
    <t>G1</t>
  </si>
  <si>
    <t>G2</t>
  </si>
  <si>
    <t>G3</t>
  </si>
  <si>
    <t>MD-10</t>
  </si>
  <si>
    <t>Reportar</t>
  </si>
  <si>
    <t>MD-20</t>
  </si>
  <si>
    <r>
      <t>ARF%-0,3</t>
    </r>
    <r>
      <rPr>
        <sz val="7"/>
        <color theme="1" tint="0.499984740745262"/>
        <rFont val="Calibri"/>
        <family val="2"/>
      </rPr>
      <t>≥ARI</t>
    </r>
    <r>
      <rPr>
        <sz val="7"/>
        <color theme="1" tint="0.499984740745262"/>
        <rFont val="Arial"/>
        <family val="2"/>
      </rPr>
      <t>%
ARI%</t>
    </r>
    <r>
      <rPr>
        <sz val="7"/>
        <color theme="1" tint="0.499984740745262"/>
        <rFont val="Calibri"/>
        <family val="2"/>
      </rPr>
      <t>≤ARF%</t>
    </r>
    <r>
      <rPr>
        <sz val="7"/>
        <color theme="1" tint="0.499984740745262"/>
        <rFont val="Arial"/>
        <family val="2"/>
      </rPr>
      <t>+0,3</t>
    </r>
  </si>
  <si>
    <t>CHAPARRO CARLOS</t>
  </si>
  <si>
    <t>CORDOBA ALEXANDER</t>
  </si>
  <si>
    <t>CRISTANCHO VICTOR</t>
  </si>
  <si>
    <t>DIAZ CESAR</t>
  </si>
  <si>
    <t>FLOREZ KAREN</t>
  </si>
  <si>
    <t>GALVIS DAVID</t>
  </si>
  <si>
    <t>MANCILLA EDGAR</t>
  </si>
  <si>
    <t>OSPINA JUAN GABRIEL</t>
  </si>
  <si>
    <t>RINCON SATURNINO</t>
  </si>
  <si>
    <t>SUAREZ  WILLIAM</t>
  </si>
  <si>
    <t>YARA FABIAN</t>
  </si>
  <si>
    <t>Reviso</t>
  </si>
  <si>
    <t>Coordinador operativo</t>
  </si>
  <si>
    <r>
      <t>Vacíos con aire (V</t>
    </r>
    <r>
      <rPr>
        <vertAlign val="subscript"/>
        <sz val="8"/>
        <rFont val="Arial"/>
        <family val="2"/>
      </rPr>
      <t>a</t>
    </r>
    <r>
      <rPr>
        <sz val="8"/>
        <rFont val="Arial"/>
        <family val="2"/>
      </rPr>
      <t>)</t>
    </r>
  </si>
  <si>
    <t>Aprobó</t>
  </si>
  <si>
    <t>D: masa de la tapa + picnómetro lleno de agua a 25°:</t>
  </si>
  <si>
    <t>E; masa del  picnómetro con la  tapa,  el  agua y  la muestra a 25°:</t>
  </si>
  <si>
    <t>Densidad  de la mezcla  a 25° C</t>
  </si>
  <si>
    <t xml:space="preserve">Gravedad específica Bulk a 25° C </t>
  </si>
  <si>
    <t>Absorción de agua</t>
  </si>
  <si>
    <t>Gmm:Gravedad especifica máxima  teórica:</t>
  </si>
  <si>
    <t>Bromuro de n-propilo</t>
  </si>
  <si>
    <t>Tricloroetileno</t>
  </si>
  <si>
    <t>NOMBRES</t>
  </si>
  <si>
    <t>FIRMAS</t>
  </si>
  <si>
    <t>ALBARRACIN JAIRO</t>
  </si>
  <si>
    <t>ALMONACID JIMMY</t>
  </si>
  <si>
    <t>CANO LUIS EDUARDO</t>
  </si>
  <si>
    <t>GOMEZ LUIS CARLOS</t>
  </si>
  <si>
    <t>VARGAS RODOLFO</t>
  </si>
  <si>
    <t>VILLANUEVA BRAYAN</t>
  </si>
  <si>
    <t>SASTOQUE CINDY</t>
  </si>
  <si>
    <t>GALVIS DANIEL</t>
  </si>
  <si>
    <t>TEUTA DIEGO</t>
  </si>
  <si>
    <t>CARGO</t>
  </si>
  <si>
    <t>ELABORO</t>
  </si>
  <si>
    <t>Auxiliar</t>
  </si>
  <si>
    <t>PRIETO YULY PAOLA</t>
  </si>
  <si>
    <t>FAJARDO HUGO</t>
  </si>
  <si>
    <t>ACHIARDI LEONARDO</t>
  </si>
  <si>
    <t>PATIÑO MARLON</t>
  </si>
  <si>
    <t xml:space="preserve">Cloruro de  Metileno </t>
  </si>
  <si>
    <t>--</t>
  </si>
  <si>
    <t>Coordinador Operativo</t>
  </si>
  <si>
    <t>Analista Administrativo</t>
  </si>
  <si>
    <t>Analista Técnico</t>
  </si>
  <si>
    <t>Estabilidad y flujo de Mezclas Asfálticas en caliente empleando el equipo Marshall INV-E-748-13</t>
  </si>
  <si>
    <t>Gravedad especifica máxima de mezclas asfálticas para pavimentos INV 735-13</t>
  </si>
  <si>
    <t>Gravedad especifica bulk y densidad de mezclas asfálticas compactadas no absorbentes empleando especímenes saturados  y superficialmente secos, método A,  INV E 733-13</t>
  </si>
  <si>
    <t>FIN DEL INFORME DE ENSAYO</t>
  </si>
  <si>
    <t>EXTRACCIÓN CUANTITATIVA DEL ASFALTO EN MEZCLAS PARA PAVIMENTOS INV E 732-13 / MÉTODO A (CENTRIFUGACIÓN)</t>
  </si>
  <si>
    <t>CONTROL DE LA COMPOSICIÓN Y DE LA CALIDAD DE LA MEZCLA ASFÁLTICA DENSA EN CALIENTE</t>
  </si>
  <si>
    <t xml:space="preserve">Numero del espécimen </t>
  </si>
  <si>
    <t>Espesor del  espécimen 
(Método A, con calibrador)</t>
  </si>
  <si>
    <t>A: Masa del espécimen seco en el aire</t>
  </si>
  <si>
    <t>C: Masa del espécimen sumergido en agua</t>
  </si>
  <si>
    <t>B: Masa en el aire del espécimen  saturado y superficialmente seco SSS</t>
  </si>
  <si>
    <t xml:space="preserve">MD-12 ICEIN </t>
  </si>
  <si>
    <t xml:space="preserve">Reportar </t>
  </si>
  <si>
    <t>Verificación del porcentaje individual:</t>
  </si>
  <si>
    <t>VERSIÓN: 7</t>
  </si>
  <si>
    <t>FECHA DE APLICACIÓN: AGOSTO 2018</t>
  </si>
  <si>
    <t>MD10 CTO 552-17 (ICEIN)</t>
  </si>
  <si>
    <t>FIN DEL INFORME DE  ENSAYO</t>
  </si>
  <si>
    <t>CÓDIGO: GLAB-FM-092</t>
  </si>
  <si>
    <t>Temperatura del ensayo  (ºC)</t>
  </si>
  <si>
    <t xml:space="preserve">30-45 </t>
  </si>
  <si>
    <t xml:space="preserve">75-90 </t>
  </si>
  <si>
    <t xml:space="preserve">105-120 </t>
  </si>
  <si>
    <r>
      <t>DEFORMACIÓN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m)</t>
    </r>
  </si>
  <si>
    <t>TIEMPO (min)</t>
  </si>
  <si>
    <t>PROBETAS N°</t>
  </si>
  <si>
    <t xml:space="preserve">Condiciones del ensayo </t>
  </si>
  <si>
    <t>CINDY NATHALY SASTOQUE</t>
  </si>
  <si>
    <t>Coordinador  técnico</t>
  </si>
  <si>
    <t>CONTRERAS WILINTONG</t>
  </si>
  <si>
    <t>Lider operativo del proceso</t>
  </si>
  <si>
    <t xml:space="preserve">Técnico operativo </t>
  </si>
  <si>
    <t>JENNYFER ARIAS</t>
  </si>
  <si>
    <t>Auxiliar Técnico</t>
  </si>
  <si>
    <r>
      <t>Presión de contacto
(KN/m</t>
    </r>
    <r>
      <rPr>
        <sz val="9"/>
        <rFont val="Calibri"/>
        <family val="2"/>
      </rPr>
      <t>²</t>
    </r>
    <r>
      <rPr>
        <sz val="9"/>
        <rFont val="Arial"/>
        <family val="2"/>
      </rPr>
      <t>)</t>
    </r>
  </si>
  <si>
    <t xml:space="preserve">Deformacion acumulada </t>
  </si>
  <si>
    <t>µm</t>
  </si>
  <si>
    <t>µm/min</t>
  </si>
  <si>
    <t xml:space="preserve">Deformacion total </t>
  </si>
  <si>
    <t xml:space="preserve">Intervalo de tiempo </t>
  </si>
  <si>
    <t>Velocidad media</t>
  </si>
  <si>
    <t xml:space="preserve">Fecha de ejecución: </t>
  </si>
  <si>
    <t>Paginas</t>
  </si>
  <si>
    <t>Pagina</t>
  </si>
  <si>
    <t>de</t>
  </si>
  <si>
    <t>Pagina xx de xx</t>
  </si>
  <si>
    <t>FECHA DE APLICACIÓN: DICIEMBRE 2022</t>
  </si>
  <si>
    <t>VERSIÓN: 5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</si>
  <si>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</si>
  <si>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INFORME DE ENSAYO 
RESISTENCIA A LA DEFORMACIÓN PLÁSTICA DE LAS  MEZCLAS ASFÁLTICAS MEDIANTE LA PISTA DE ENSAYO  DE LABORATORIO INV E 756-13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</si>
</sst>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5">
    <numFmt numFmtId="41" formatCode="_-* #,##0_-;\-* #,##0_-;_-* &quot;-&quot;_-;_-@_-"/>
    <numFmt numFmtId="43" formatCode="_-* #,##0.00_-;\-* #,##0.00_-;_-* &quot;-&quot;??_-;_-@_-"/>
    <numFmt numFmtId="164" formatCode="&quot;$&quot;\ #,##0.00_);\(&quot;$&quot;\ #,##0.00\)"/>
    <numFmt numFmtId="165" formatCode="_(* #,##0_);_(* \(#,##0\);_(* &quot;-&quot;_);_(@_)"/>
    <numFmt numFmtId="166" formatCode="_(* #,##0.00_);_(* \(#,##0.00\);_(* &quot;-&quot;??_);_(@_)"/>
    <numFmt numFmtId="167" formatCode="#,##0.00\ &quot;€&quot;;[Red]\-#,##0.00\ &quot;€&quot;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0.0"/>
    <numFmt numFmtId="171" formatCode="0.0%"/>
    <numFmt numFmtId="172" formatCode="\K##\+###"/>
    <numFmt numFmtId="173" formatCode="\K0\+0##"/>
    <numFmt numFmtId="174" formatCode="#,##0\ &quot;$&quot;;\-#,##0\ &quot;$&quot;"/>
    <numFmt numFmtId="175" formatCode="0.000"/>
    <numFmt numFmtId="176" formatCode="0.0000"/>
    <numFmt numFmtId="177" formatCode="_(* #,##0.00000_);_(* \(#,##0.00000\);_(* &quot;-&quot;??_);_(@_)"/>
    <numFmt numFmtId="178" formatCode="_([$€]* #,##0.00_);_([$€]* \(#,##0.00\);_([$€]* &quot;-&quot;??_);_(@_)"/>
    <numFmt numFmtId="179" formatCode="_ [$€-2]\ * #,##0.00_ ;_ [$€-2]\ * \-#,##0.00_ ;_ [$€-2]\ * &quot;-&quot;??_ "/>
    <numFmt numFmtId="180" formatCode="#,##0\ &quot;$&quot;;[Red]\-#,##0\ &quot;$&quot;"/>
    <numFmt numFmtId="181" formatCode="_-* #,##0\ _P_t_s_-;\-* #,##0\ _P_t_s_-;_-* &quot;-&quot;??\ _P_t_s_-;_-@_-"/>
    <numFmt numFmtId="182" formatCode="_(* #,##0.000_);_(* \(#,##0.000\);_(* &quot;-&quot;??_);_(@_)"/>
    <numFmt numFmtId="183" formatCode="_ * #,##0.00_ ;_ * \-#,##0.00_ ;_ * &quot;-&quot;??_ ;_ @_ "/>
    <numFmt numFmtId="184" formatCode="_-* #,##0.0\ _P_t_s_-;\-* #,##0.0\ _P_t_s_-;_-* &quot;-&quot;??\ _P_t_s_-;_-@_-"/>
    <numFmt numFmtId="185" formatCode="_ * #,##0_ ;_ * \-#,##0_ ;_ * &quot;-&quot;_ ;_ @_ "/>
    <numFmt numFmtId="186" formatCode="&quot;$&quot;#,##0\ ;\(&quot;$&quot;#,##0\)"/>
    <numFmt numFmtId="187" formatCode="General_)"/>
    <numFmt numFmtId="188" formatCode="#,##0.00\ &quot;$&quot;;\-#,##0.00\ &quot;$&quot;"/>
    <numFmt numFmtId="189" formatCode="000"/>
    <numFmt numFmtId="190" formatCode="00"/>
    <numFmt numFmtId="191" formatCode="\K0\+###"/>
    <numFmt numFmtId="192" formatCode="dd/mm/yyyy;@"/>
    <numFmt numFmtId="193" formatCode="h:mm:ss;@"/>
    <numFmt numFmtId="194" formatCode="#,##0.000"/>
    <numFmt numFmtId="195" formatCode="#,##0.0"/>
    <numFmt numFmtId="196" formatCode="yyyy\-mm\-dd;@"/>
  </numFmts>
  <fonts count="9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0"/>
      <color indexed="24"/>
      <name val="Modern"/>
      <family val="3"/>
      <charset val="255"/>
    </font>
    <font>
      <sz val="8"/>
      <color indexed="24"/>
      <name val="Arial"/>
      <family val="2"/>
    </font>
    <font>
      <sz val="10"/>
      <color indexed="24"/>
      <name val="Arial"/>
      <family val="2"/>
    </font>
    <font>
      <sz val="8"/>
      <name val="Courier"/>
      <family val="3"/>
    </font>
    <font>
      <sz val="10"/>
      <color indexed="10"/>
      <name val="Arial"/>
      <family val="2"/>
    </font>
    <font>
      <sz val="10"/>
      <name val="Arial"/>
      <family val="2"/>
    </font>
    <font>
      <sz val="14"/>
      <name val="Calibri"/>
      <family val="2"/>
    </font>
    <font>
      <b/>
      <sz val="10"/>
      <name val="Calibri"/>
      <family val="2"/>
    </font>
    <font>
      <sz val="8"/>
      <name val="Helv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.5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color theme="0"/>
      <name val="Arial"/>
      <family val="2"/>
    </font>
    <font>
      <b/>
      <sz val="10.5"/>
      <color theme="1"/>
      <name val="Calibri"/>
      <family val="2"/>
      <scheme val="minor"/>
    </font>
    <font>
      <b/>
      <sz val="8"/>
      <name val="Calibri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b/>
      <sz val="8"/>
      <color indexed="12"/>
      <name val="Arial"/>
      <family val="2"/>
    </font>
    <font>
      <vertAlign val="subscript"/>
      <sz val="8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8"/>
      <color rgb="FFFF0000"/>
      <name val="Arial"/>
      <family val="2"/>
    </font>
    <font>
      <sz val="8"/>
      <color theme="1" tint="0.499984740745262"/>
      <name val="Arial"/>
      <family val="2"/>
    </font>
    <font>
      <sz val="10"/>
      <color indexed="63"/>
      <name val="Arial"/>
      <family val="2"/>
    </font>
    <font>
      <sz val="8"/>
      <color indexed="63"/>
      <name val="Arial"/>
      <family val="2"/>
    </font>
    <font>
      <b/>
      <sz val="10"/>
      <color indexed="63"/>
      <name val="Arial"/>
      <family val="2"/>
    </font>
    <font>
      <sz val="9"/>
      <color theme="0"/>
      <name val="Arial"/>
      <family val="2"/>
    </font>
    <font>
      <sz val="9"/>
      <color indexed="63"/>
      <name val="Arial"/>
      <family val="2"/>
    </font>
    <font>
      <sz val="8"/>
      <color theme="0" tint="-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 tint="0.499984740745262"/>
      <name val="Arial"/>
      <family val="2"/>
    </font>
    <font>
      <b/>
      <sz val="9"/>
      <name val="Calibri"/>
      <family val="2"/>
    </font>
    <font>
      <b/>
      <sz val="8"/>
      <color theme="1" tint="0.499984740745262"/>
      <name val="Arial"/>
      <family val="2"/>
    </font>
    <font>
      <b/>
      <sz val="7"/>
      <name val="Arial"/>
      <family val="2"/>
    </font>
    <font>
      <sz val="7"/>
      <name val="Calibri"/>
      <family val="2"/>
      <scheme val="minor"/>
    </font>
    <font>
      <sz val="8"/>
      <color theme="0" tint="-0.499984740745262"/>
      <name val="Arial"/>
      <family val="2"/>
    </font>
    <font>
      <sz val="8"/>
      <color theme="1"/>
      <name val="Arial"/>
      <family val="2"/>
    </font>
    <font>
      <b/>
      <sz val="6"/>
      <name val="Arial"/>
      <family val="2"/>
    </font>
    <font>
      <sz val="7"/>
      <color theme="1"/>
      <name val="Arial"/>
      <family val="2"/>
    </font>
    <font>
      <sz val="6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</font>
    <font>
      <sz val="8"/>
      <color theme="1" tint="0.499984740745262"/>
      <name val="Calibri"/>
      <family val="2"/>
    </font>
    <font>
      <sz val="6"/>
      <name val="Arial"/>
      <family val="2"/>
    </font>
    <font>
      <b/>
      <sz val="8"/>
      <color rgb="FF00B050"/>
      <name val="Arial"/>
      <family val="2"/>
    </font>
    <font>
      <sz val="6"/>
      <color theme="1" tint="0.499984740745262"/>
      <name val="Arial"/>
      <family val="2"/>
    </font>
    <font>
      <sz val="6"/>
      <name val="Calibri"/>
      <family val="2"/>
    </font>
    <font>
      <sz val="6"/>
      <color theme="1" tint="0.499984740745262"/>
      <name val="Calibri"/>
      <family val="2"/>
    </font>
    <font>
      <sz val="8"/>
      <name val="Calibri"/>
      <family val="2"/>
    </font>
    <font>
      <sz val="7"/>
      <color theme="1" tint="0.499984740745262"/>
      <name val="Calibri"/>
      <family val="2"/>
    </font>
    <font>
      <sz val="8.5"/>
      <name val="Arial"/>
      <family val="2"/>
    </font>
    <font>
      <sz val="8.5"/>
      <color theme="1"/>
      <name val="Arial"/>
      <family val="2"/>
    </font>
    <font>
      <sz val="10"/>
      <color theme="1" tint="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1" tint="0.499984740745262"/>
      <name val="Arial"/>
      <family val="2"/>
    </font>
    <font>
      <sz val="9"/>
      <name val="Calibri"/>
      <family val="2"/>
    </font>
    <font>
      <i/>
      <sz val="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i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gray0625">
        <fgColor theme="0" tint="-0.14996795556505021"/>
        <bgColor indexed="65"/>
      </patternFill>
    </fill>
    <fill>
      <patternFill patternType="gray125">
        <fgColor theme="0" tint="-4.9989318521683403E-2"/>
        <bgColor theme="0"/>
      </patternFill>
    </fill>
    <fill>
      <patternFill patternType="gray0625">
        <fgColor theme="0" tint="-0.24994659260841701"/>
        <bgColor indexed="65"/>
      </patternFill>
    </fill>
    <fill>
      <patternFill patternType="gray0625">
        <fgColor theme="0" tint="-0.24994659260841701"/>
        <bgColor theme="0"/>
      </patternFill>
    </fill>
    <fill>
      <patternFill patternType="solid">
        <fgColor theme="0"/>
        <bgColor theme="0" tint="-0.14996795556505021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499984740745262"/>
      </right>
      <top/>
      <bottom style="thin">
        <color indexed="64"/>
      </bottom>
      <diagonal/>
    </border>
    <border>
      <left style="dashed">
        <color theme="0" tint="-0.499984740745262"/>
      </left>
      <right style="dashed">
        <color theme="0" tint="-0.499984740745262"/>
      </right>
      <top/>
      <bottom style="thin">
        <color indexed="64"/>
      </bottom>
      <diagonal/>
    </border>
    <border>
      <left/>
      <right/>
      <top style="dashed">
        <color theme="0" tint="-0.499984740745262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dashed">
        <color theme="0" tint="-0.499984740745262"/>
      </bottom>
      <diagonal/>
    </border>
    <border>
      <left/>
      <right/>
      <top style="thin">
        <color theme="1"/>
      </top>
      <bottom style="dashed">
        <color theme="0" tint="-0.499984740745262"/>
      </bottom>
      <diagonal/>
    </border>
    <border>
      <left/>
      <right style="thin">
        <color theme="1"/>
      </right>
      <top style="thin">
        <color theme="1"/>
      </top>
      <bottom style="dashed">
        <color theme="0" tint="-0.499984740745262"/>
      </bottom>
      <diagonal/>
    </border>
    <border>
      <left style="thin">
        <color theme="1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thin">
        <color theme="1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ed">
        <color theme="0" tint="-0.499984740745262"/>
      </top>
      <bottom/>
      <diagonal/>
    </border>
    <border>
      <left style="thin">
        <color indexed="64"/>
      </left>
      <right/>
      <top style="dashed">
        <color theme="0" tint="-0.499984740745262"/>
      </top>
      <bottom style="thin">
        <color theme="1"/>
      </bottom>
      <diagonal/>
    </border>
    <border>
      <left/>
      <right/>
      <top style="dashed">
        <color theme="0" tint="-0.499984740745262"/>
      </top>
      <bottom style="thin">
        <color theme="1"/>
      </bottom>
      <diagonal/>
    </border>
    <border>
      <left/>
      <right style="thin">
        <color indexed="64"/>
      </right>
      <top style="dashed">
        <color theme="0" tint="-0.499984740745262"/>
      </top>
      <bottom style="thin">
        <color theme="1"/>
      </bottom>
      <diagonal/>
    </border>
    <border>
      <left/>
      <right style="dashed">
        <color theme="0" tint="-0.499984740745262"/>
      </right>
      <top style="thin">
        <color theme="1"/>
      </top>
      <bottom style="dashed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ashed">
        <color theme="0" tint="-0.499984740745262"/>
      </bottom>
      <diagonal/>
    </border>
    <border>
      <left style="thin">
        <color theme="1"/>
      </left>
      <right style="thin">
        <color theme="1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thin">
        <color indexed="64"/>
      </right>
      <top style="thin">
        <color theme="1"/>
      </top>
      <bottom style="dashed">
        <color theme="0" tint="-0.499984740745262"/>
      </bottom>
      <diagonal/>
    </border>
    <border>
      <left style="thin">
        <color indexed="64"/>
      </left>
      <right/>
      <top style="thin">
        <color theme="1"/>
      </top>
      <bottom style="dashed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thin">
        <color theme="1"/>
      </top>
      <bottom style="dashed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ashed">
        <color theme="0" tint="-0.14999847407452621"/>
      </bottom>
      <diagonal/>
    </border>
    <border>
      <left style="thin">
        <color indexed="64"/>
      </left>
      <right/>
      <top/>
      <bottom style="dashed">
        <color theme="0" tint="-0.14999847407452621"/>
      </bottom>
      <diagonal/>
    </border>
    <border>
      <left/>
      <right style="thin">
        <color indexed="64"/>
      </right>
      <top/>
      <bottom style="dashed">
        <color theme="0" tint="-0.14999847407452621"/>
      </bottom>
      <diagonal/>
    </border>
    <border>
      <left/>
      <right style="dashed">
        <color theme="0" tint="-0.14999847407452621"/>
      </right>
      <top style="thin">
        <color indexed="64"/>
      </top>
      <bottom/>
      <diagonal/>
    </border>
    <border>
      <left/>
      <right style="dashed">
        <color theme="0" tint="-0.14999847407452621"/>
      </right>
      <top/>
      <bottom/>
      <diagonal/>
    </border>
    <border>
      <left/>
      <right style="dashed">
        <color theme="0" tint="-0.14999847407452621"/>
      </right>
      <top/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/>
      <diagonal/>
    </border>
    <border>
      <left style="dashed">
        <color theme="0" tint="-0.14999847407452621"/>
      </left>
      <right/>
      <top/>
      <bottom/>
      <diagonal/>
    </border>
    <border>
      <left style="dashed">
        <color theme="0" tint="-0.14999847407452621"/>
      </left>
      <right/>
      <top style="thin">
        <color indexed="64"/>
      </top>
      <bottom/>
      <diagonal/>
    </border>
    <border>
      <left style="dashed">
        <color theme="0" tint="-0.14999847407452621"/>
      </left>
      <right/>
      <top/>
      <bottom style="dashed">
        <color theme="0" tint="-0.14999847407452621"/>
      </bottom>
      <diagonal/>
    </border>
    <border>
      <left style="dashed">
        <color theme="0" tint="-0.14999847407452621"/>
      </left>
      <right/>
      <top style="dashed">
        <color theme="0" tint="-0.14999847407452621"/>
      </top>
      <bottom/>
      <diagonal/>
    </border>
    <border>
      <left/>
      <right style="thin">
        <color indexed="64"/>
      </right>
      <top style="dashed">
        <color theme="0" tint="-0.14999847407452621"/>
      </top>
      <bottom/>
      <diagonal/>
    </border>
    <border>
      <left/>
      <right style="dashed">
        <color theme="0" tint="-0.14999847407452621"/>
      </right>
      <top style="dashed">
        <color theme="0" tint="-0.14999847407452621"/>
      </top>
      <bottom/>
      <diagonal/>
    </border>
    <border>
      <left style="thin">
        <color indexed="64"/>
      </left>
      <right style="dashed">
        <color theme="0" tint="-0.14999847407452621"/>
      </right>
      <top style="dashed">
        <color theme="0" tint="-0.14999847407452621"/>
      </top>
      <bottom/>
      <diagonal/>
    </border>
    <border>
      <left style="thin">
        <color indexed="64"/>
      </left>
      <right style="dashed">
        <color theme="0" tint="-0.14999847407452621"/>
      </right>
      <top/>
      <bottom/>
      <diagonal/>
    </border>
    <border>
      <left style="thin">
        <color indexed="64"/>
      </left>
      <right/>
      <top style="dashed">
        <color theme="0" tint="-0.14999847407452621"/>
      </top>
      <bottom/>
      <diagonal/>
    </border>
    <border>
      <left style="thin">
        <color indexed="64"/>
      </left>
      <right/>
      <top style="double">
        <color theme="1"/>
      </top>
      <bottom style="double">
        <color indexed="64"/>
      </bottom>
      <diagonal/>
    </border>
    <border>
      <left/>
      <right/>
      <top style="double">
        <color theme="1"/>
      </top>
      <bottom style="double">
        <color indexed="64"/>
      </bottom>
      <diagonal/>
    </border>
    <border>
      <left/>
      <right style="thin">
        <color indexed="64"/>
      </right>
      <top style="double">
        <color theme="1"/>
      </top>
      <bottom style="double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double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1" tint="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1"/>
      </left>
      <right/>
      <top style="dashed">
        <color theme="0" tint="-0.499984740745262"/>
      </top>
      <bottom style="thin">
        <color indexed="64"/>
      </bottom>
      <diagonal/>
    </border>
    <border>
      <left/>
      <right/>
      <top style="dashed">
        <color theme="0" tint="-0.499984740745262"/>
      </top>
      <bottom style="thin">
        <color indexed="64"/>
      </bottom>
      <diagonal/>
    </border>
    <border>
      <left/>
      <right style="thin">
        <color theme="1"/>
      </right>
      <top style="dashed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499984740745262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dashed">
        <color theme="0" tint="-0.249977111117893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249977111117893"/>
      </right>
      <top style="thin">
        <color theme="1"/>
      </top>
      <bottom style="dashed">
        <color theme="0" tint="-0.499984740745262"/>
      </bottom>
      <diagonal/>
    </border>
    <border>
      <left style="dashed">
        <color theme="0" tint="-0.249977111117893"/>
      </left>
      <right style="dashed">
        <color theme="0" tint="-0.249977111117893"/>
      </right>
      <top style="thin">
        <color theme="1"/>
      </top>
      <bottom style="dashed">
        <color theme="0" tint="-0.499984740745262"/>
      </bottom>
      <diagonal/>
    </border>
    <border>
      <left style="dashed">
        <color theme="0" tint="-0.249977111117893"/>
      </left>
      <right style="dashed">
        <color theme="0" tint="-0.249977111117893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1"/>
      </left>
      <right style="dashed">
        <color theme="0" tint="-0.249977111117893"/>
      </right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249977111117893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indexed="64"/>
      </left>
      <right/>
      <top/>
      <bottom style="dashed">
        <color theme="0" tint="-0.249977111117893"/>
      </bottom>
      <diagonal/>
    </border>
    <border>
      <left/>
      <right/>
      <top/>
      <bottom style="dashed">
        <color theme="0" tint="-0.249977111117893"/>
      </bottom>
      <diagonal/>
    </border>
    <border>
      <left style="dashed">
        <color theme="0" tint="-0.249977111117893"/>
      </left>
      <right/>
      <top style="thin">
        <color indexed="64"/>
      </top>
      <bottom/>
      <diagonal/>
    </border>
    <border>
      <left style="dashed">
        <color theme="0" tint="-0.249977111117893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theme="0" tint="-0.249977111117893"/>
      </left>
      <right/>
      <top/>
      <bottom style="thin">
        <color indexed="64"/>
      </bottom>
      <diagonal/>
    </border>
    <border>
      <left style="dashed">
        <color theme="0" tint="-0.249977111117893"/>
      </left>
      <right style="thin">
        <color indexed="64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97">
    <xf numFmtId="0" fontId="0" fillId="0" borderId="0"/>
    <xf numFmtId="174" fontId="6" fillId="0" borderId="1">
      <alignment horizontal="right"/>
    </xf>
    <xf numFmtId="2" fontId="8" fillId="0" borderId="0"/>
    <xf numFmtId="175" fontId="8" fillId="0" borderId="0"/>
    <xf numFmtId="176" fontId="9" fillId="0" borderId="0"/>
    <xf numFmtId="177" fontId="6" fillId="0" borderId="1">
      <alignment horizontal="right"/>
    </xf>
    <xf numFmtId="174" fontId="6" fillId="0" borderId="0">
      <protection locked="0"/>
    </xf>
    <xf numFmtId="3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4" fontId="6" fillId="0" borderId="0">
      <protection locked="0"/>
    </xf>
    <xf numFmtId="164" fontId="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174" fontId="6" fillId="0" borderId="0">
      <protection locked="0"/>
    </xf>
    <xf numFmtId="2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4" fontId="6" fillId="0" borderId="0">
      <protection locked="0"/>
    </xf>
    <xf numFmtId="174" fontId="6" fillId="0" borderId="0">
      <protection locked="0"/>
    </xf>
    <xf numFmtId="180" fontId="6" fillId="0" borderId="0">
      <alignment horizontal="right"/>
    </xf>
    <xf numFmtId="181" fontId="6" fillId="0" borderId="0" applyFont="0" applyFill="0" applyBorder="0" applyAlignment="0">
      <alignment horizontal="center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4" fontId="6" fillId="0" borderId="0">
      <alignment horizontal="right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86" fontId="14" fillId="0" borderId="0" applyFont="0" applyFill="0" applyBorder="0" applyAlignment="0" applyProtection="0"/>
    <xf numFmtId="187" fontId="15" fillId="0" borderId="0"/>
    <xf numFmtId="188" fontId="6" fillId="0" borderId="0" applyFont="0" applyFill="0" applyBorder="0" applyAlignment="0">
      <alignment horizontal="center"/>
    </xf>
    <xf numFmtId="0" fontId="22" fillId="0" borderId="0"/>
    <xf numFmtId="0" fontId="6" fillId="0" borderId="0"/>
    <xf numFmtId="1" fontId="6" fillId="0" borderId="0"/>
    <xf numFmtId="1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17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6" fillId="0" borderId="0"/>
    <xf numFmtId="0" fontId="6" fillId="0" borderId="0"/>
    <xf numFmtId="0" fontId="11" fillId="0" borderId="0"/>
    <xf numFmtId="174" fontId="6" fillId="0" borderId="0"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>
      <alignment vertical="top"/>
    </xf>
    <xf numFmtId="0" fontId="5" fillId="0" borderId="0"/>
    <xf numFmtId="0" fontId="5" fillId="0" borderId="0"/>
    <xf numFmtId="164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50" fillId="0" borderId="0"/>
    <xf numFmtId="0" fontId="6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94" fillId="0" borderId="0"/>
  </cellStyleXfs>
  <cellXfs count="1233">
    <xf numFmtId="0" fontId="0" fillId="0" borderId="0" xfId="0"/>
    <xf numFmtId="0" fontId="24" fillId="0" borderId="5" xfId="0" applyFont="1" applyBorder="1"/>
    <xf numFmtId="0" fontId="24" fillId="0" borderId="0" xfId="0" applyFont="1" applyBorder="1"/>
    <xf numFmtId="0" fontId="24" fillId="0" borderId="2" xfId="0" applyFont="1" applyFill="1" applyBorder="1" applyAlignment="1">
      <alignment vertical="center" wrapText="1"/>
    </xf>
    <xf numFmtId="0" fontId="24" fillId="0" borderId="0" xfId="105" applyFont="1" applyAlignment="1"/>
    <xf numFmtId="0" fontId="24" fillId="0" borderId="0" xfId="105" applyFont="1" applyAlignment="1">
      <alignment horizontal="center"/>
    </xf>
    <xf numFmtId="0" fontId="26" fillId="0" borderId="0" xfId="0" applyFont="1" applyProtection="1">
      <protection locked="0"/>
    </xf>
    <xf numFmtId="0" fontId="24" fillId="0" borderId="0" xfId="0" applyFont="1"/>
    <xf numFmtId="0" fontId="24" fillId="0" borderId="2" xfId="0" applyFont="1" applyBorder="1" applyAlignment="1">
      <alignment horizontal="left"/>
    </xf>
    <xf numFmtId="0" fontId="26" fillId="0" borderId="0" xfId="0" applyFont="1" applyAlignment="1" applyProtection="1">
      <protection locked="0"/>
    </xf>
    <xf numFmtId="0" fontId="24" fillId="0" borderId="2" xfId="0" applyFont="1" applyBorder="1" applyAlignment="1"/>
    <xf numFmtId="0" fontId="26" fillId="0" borderId="0" xfId="0" applyFont="1" applyAlignment="1" applyProtection="1">
      <alignment horizontal="center"/>
      <protection locked="0"/>
    </xf>
    <xf numFmtId="175" fontId="24" fillId="0" borderId="2" xfId="0" applyNumberFormat="1" applyFont="1" applyBorder="1" applyAlignment="1"/>
    <xf numFmtId="170" fontId="24" fillId="0" borderId="2" xfId="0" applyNumberFormat="1" applyFont="1" applyBorder="1" applyAlignment="1"/>
    <xf numFmtId="2" fontId="24" fillId="0" borderId="2" xfId="0" applyNumberFormat="1" applyFont="1" applyBorder="1" applyAlignment="1"/>
    <xf numFmtId="0" fontId="27" fillId="0" borderId="5" xfId="0" applyFont="1" applyBorder="1"/>
    <xf numFmtId="0" fontId="24" fillId="0" borderId="10" xfId="0" applyFont="1" applyBorder="1"/>
    <xf numFmtId="0" fontId="27" fillId="0" borderId="10" xfId="0" applyFont="1" applyBorder="1"/>
    <xf numFmtId="0" fontId="24" fillId="0" borderId="0" xfId="0" applyFont="1" applyBorder="1" applyAlignment="1">
      <alignment horizontal="left"/>
    </xf>
    <xf numFmtId="0" fontId="24" fillId="0" borderId="0" xfId="0" applyFont="1" applyBorder="1" applyAlignment="1"/>
    <xf numFmtId="0" fontId="26" fillId="0" borderId="10" xfId="0" applyFont="1" applyBorder="1"/>
    <xf numFmtId="0" fontId="27" fillId="0" borderId="5" xfId="0" applyFont="1" applyBorder="1" applyAlignment="1">
      <alignment horizontal="left"/>
    </xf>
    <xf numFmtId="0" fontId="28" fillId="0" borderId="0" xfId="0" applyFont="1" applyBorder="1"/>
    <xf numFmtId="0" fontId="25" fillId="0" borderId="0" xfId="0" applyFont="1" applyBorder="1"/>
    <xf numFmtId="0" fontId="25" fillId="0" borderId="0" xfId="0" applyFont="1"/>
    <xf numFmtId="0" fontId="24" fillId="0" borderId="0" xfId="0" applyFont="1" applyBorder="1" applyAlignment="1">
      <alignment horizontal="right"/>
    </xf>
    <xf numFmtId="170" fontId="24" fillId="0" borderId="0" xfId="0" applyNumberFormat="1" applyFont="1" applyBorder="1" applyAlignment="1">
      <alignment horizontal="right"/>
    </xf>
    <xf numFmtId="170" fontId="24" fillId="0" borderId="0" xfId="0" applyNumberFormat="1" applyFont="1" applyBorder="1" applyAlignment="1">
      <alignment horizontal="center"/>
    </xf>
    <xf numFmtId="0" fontId="26" fillId="0" borderId="0" xfId="0" applyFont="1" applyAlignment="1" applyProtection="1">
      <alignment horizontal="left"/>
      <protection locked="0"/>
    </xf>
    <xf numFmtId="0" fontId="29" fillId="0" borderId="0" xfId="0" applyFont="1"/>
    <xf numFmtId="0" fontId="25" fillId="0" borderId="11" xfId="0" applyFont="1" applyBorder="1" applyAlignment="1">
      <alignment horizontal="centerContinuous"/>
    </xf>
    <xf numFmtId="0" fontId="25" fillId="0" borderId="12" xfId="0" applyFont="1" applyBorder="1" applyAlignment="1">
      <alignment horizontal="centerContinuous"/>
    </xf>
    <xf numFmtId="0" fontId="25" fillId="0" borderId="10" xfId="0" applyFont="1" applyBorder="1" applyAlignment="1">
      <alignment horizontal="centerContinuous"/>
    </xf>
    <xf numFmtId="0" fontId="25" fillId="0" borderId="9" xfId="0" applyFont="1" applyBorder="1"/>
    <xf numFmtId="0" fontId="25" fillId="0" borderId="10" xfId="0" applyFont="1" applyBorder="1"/>
    <xf numFmtId="0" fontId="26" fillId="0" borderId="0" xfId="0" applyFont="1" applyBorder="1" applyAlignment="1" applyProtection="1">
      <alignment horizontal="center"/>
      <protection locked="0"/>
    </xf>
    <xf numFmtId="0" fontId="25" fillId="0" borderId="9" xfId="0" applyFont="1" applyBorder="1" applyAlignment="1">
      <alignment vertical="top"/>
    </xf>
    <xf numFmtId="0" fontId="25" fillId="0" borderId="7" xfId="0" applyFont="1" applyBorder="1" applyAlignment="1">
      <alignment vertical="top"/>
    </xf>
    <xf numFmtId="0" fontId="28" fillId="0" borderId="2" xfId="0" applyFont="1" applyBorder="1" applyAlignment="1">
      <alignment horizontal="center" vertical="center"/>
    </xf>
    <xf numFmtId="170" fontId="28" fillId="0" borderId="2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170" fontId="24" fillId="0" borderId="0" xfId="0" applyNumberFormat="1" applyFont="1" applyBorder="1" applyAlignment="1">
      <alignment horizontal="left"/>
    </xf>
    <xf numFmtId="0" fontId="28" fillId="0" borderId="2" xfId="0" applyFont="1" applyBorder="1" applyAlignment="1" applyProtection="1">
      <alignment horizontal="center" vertical="center"/>
      <protection locked="0"/>
    </xf>
    <xf numFmtId="170" fontId="28" fillId="0" borderId="2" xfId="0" applyNumberFormat="1" applyFont="1" applyBorder="1" applyAlignment="1" applyProtection="1">
      <alignment horizontal="center" vertical="center"/>
      <protection locked="0"/>
    </xf>
    <xf numFmtId="170" fontId="24" fillId="0" borderId="15" xfId="0" applyNumberFormat="1" applyFont="1" applyBorder="1" applyAlignment="1">
      <alignment horizontal="center"/>
    </xf>
    <xf numFmtId="170" fontId="28" fillId="0" borderId="2" xfId="105" applyNumberFormat="1" applyFont="1" applyBorder="1" applyAlignment="1">
      <alignment horizontal="center" vertical="center"/>
    </xf>
    <xf numFmtId="0" fontId="26" fillId="0" borderId="0" xfId="0" applyFont="1" applyBorder="1" applyAlignment="1" applyProtection="1">
      <alignment horizontal="left"/>
      <protection locked="0"/>
    </xf>
    <xf numFmtId="170" fontId="26" fillId="0" borderId="0" xfId="0" applyNumberFormat="1" applyFont="1" applyAlignment="1" applyProtection="1">
      <alignment horizontal="center"/>
      <protection locked="0"/>
    </xf>
    <xf numFmtId="1" fontId="26" fillId="0" borderId="0" xfId="0" applyNumberFormat="1" applyFont="1" applyAlignment="1" applyProtection="1">
      <alignment horizontal="center"/>
      <protection locked="0"/>
    </xf>
    <xf numFmtId="0" fontId="30" fillId="0" borderId="0" xfId="0" applyFont="1"/>
    <xf numFmtId="0" fontId="24" fillId="0" borderId="0" xfId="0" applyFont="1" applyBorder="1" applyAlignment="1" applyProtection="1">
      <alignment horizontal="center"/>
      <protection locked="0"/>
    </xf>
    <xf numFmtId="170" fontId="24" fillId="0" borderId="0" xfId="0" applyNumberFormat="1" applyFont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31" fillId="0" borderId="0" xfId="0" applyFont="1"/>
    <xf numFmtId="0" fontId="24" fillId="0" borderId="0" xfId="0" applyFont="1" applyAlignment="1" applyProtection="1">
      <alignment horizontal="center"/>
      <protection locked="0"/>
    </xf>
    <xf numFmtId="171" fontId="24" fillId="0" borderId="0" xfId="0" applyNumberFormat="1" applyFont="1" applyFill="1" applyBorder="1" applyAlignment="1">
      <alignment horizontal="center" vertical="center"/>
    </xf>
    <xf numFmtId="171" fontId="24" fillId="0" borderId="0" xfId="0" applyNumberFormat="1" applyFont="1" applyBorder="1" applyAlignment="1">
      <alignment horizontal="center" vertical="center"/>
    </xf>
    <xf numFmtId="175" fontId="26" fillId="0" borderId="0" xfId="0" applyNumberFormat="1" applyFont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170" fontId="24" fillId="0" borderId="2" xfId="0" applyNumberFormat="1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/>
    </xf>
    <xf numFmtId="175" fontId="26" fillId="0" borderId="0" xfId="0" applyNumberFormat="1" applyFont="1" applyBorder="1" applyAlignment="1" applyProtection="1">
      <alignment horizontal="center"/>
      <protection locked="0"/>
    </xf>
    <xf numFmtId="170" fontId="24" fillId="0" borderId="0" xfId="0" applyNumberFormat="1" applyFont="1" applyAlignment="1">
      <alignment horizontal="center"/>
    </xf>
    <xf numFmtId="0" fontId="24" fillId="0" borderId="7" xfId="0" applyFont="1" applyBorder="1" applyAlignment="1">
      <alignment vertical="center"/>
    </xf>
    <xf numFmtId="2" fontId="24" fillId="0" borderId="2" xfId="0" applyNumberFormat="1" applyFont="1" applyBorder="1" applyAlignment="1">
      <alignment horizontal="center" vertical="center"/>
    </xf>
    <xf numFmtId="171" fontId="24" fillId="0" borderId="2" xfId="0" applyNumberFormat="1" applyFont="1" applyBorder="1" applyAlignment="1">
      <alignment horizontal="center" vertical="center"/>
    </xf>
    <xf numFmtId="170" fontId="25" fillId="0" borderId="2" xfId="0" applyNumberFormat="1" applyFont="1" applyBorder="1" applyAlignment="1">
      <alignment horizontal="center" vertical="center"/>
    </xf>
    <xf numFmtId="1" fontId="25" fillId="0" borderId="2" xfId="0" applyNumberFormat="1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5" fillId="0" borderId="7" xfId="0" applyFont="1" applyBorder="1" applyAlignment="1">
      <alignment vertical="center"/>
    </xf>
    <xf numFmtId="170" fontId="24" fillId="0" borderId="5" xfId="0" applyNumberFormat="1" applyFont="1" applyBorder="1" applyAlignment="1">
      <alignment horizontal="right"/>
    </xf>
    <xf numFmtId="0" fontId="24" fillId="0" borderId="5" xfId="0" applyFont="1" applyBorder="1" applyAlignment="1">
      <alignment horizontal="left"/>
    </xf>
    <xf numFmtId="2" fontId="25" fillId="0" borderId="5" xfId="0" applyNumberFormat="1" applyFont="1" applyBorder="1" applyAlignment="1">
      <alignment horizontal="left"/>
    </xf>
    <xf numFmtId="173" fontId="24" fillId="0" borderId="5" xfId="0" applyNumberFormat="1" applyFont="1" applyBorder="1" applyAlignment="1">
      <alignment horizontal="left"/>
    </xf>
    <xf numFmtId="173" fontId="25" fillId="0" borderId="10" xfId="0" applyNumberFormat="1" applyFont="1" applyBorder="1" applyAlignment="1">
      <alignment horizontal="left"/>
    </xf>
    <xf numFmtId="173" fontId="33" fillId="0" borderId="10" xfId="0" applyNumberFormat="1" applyFont="1" applyBorder="1" applyAlignment="1">
      <alignment horizontal="left"/>
    </xf>
    <xf numFmtId="0" fontId="24" fillId="0" borderId="10" xfId="0" applyNumberFormat="1" applyFont="1" applyBorder="1" applyAlignment="1">
      <alignment horizontal="left"/>
    </xf>
    <xf numFmtId="173" fontId="24" fillId="0" borderId="10" xfId="0" applyNumberFormat="1" applyFont="1" applyBorder="1" applyAlignment="1">
      <alignment horizontal="left"/>
    </xf>
    <xf numFmtId="172" fontId="24" fillId="0" borderId="10" xfId="0" applyNumberFormat="1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175" fontId="24" fillId="0" borderId="10" xfId="0" applyNumberFormat="1" applyFont="1" applyBorder="1" applyAlignment="1">
      <alignment horizontal="left"/>
    </xf>
    <xf numFmtId="173" fontId="25" fillId="0" borderId="0" xfId="0" applyNumberFormat="1" applyFont="1" applyBorder="1" applyAlignment="1">
      <alignment horizontal="left"/>
    </xf>
    <xf numFmtId="0" fontId="24" fillId="0" borderId="0" xfId="0" applyNumberFormat="1" applyFont="1" applyBorder="1" applyAlignment="1">
      <alignment horizontal="left"/>
    </xf>
    <xf numFmtId="173" fontId="24" fillId="0" borderId="0" xfId="0" applyNumberFormat="1" applyFont="1" applyBorder="1" applyAlignment="1">
      <alignment horizontal="left"/>
    </xf>
    <xf numFmtId="172" fontId="24" fillId="0" borderId="0" xfId="0" applyNumberFormat="1" applyFont="1" applyBorder="1" applyAlignment="1">
      <alignment horizontal="left"/>
    </xf>
    <xf numFmtId="0" fontId="25" fillId="0" borderId="22" xfId="0" applyFont="1" applyBorder="1" applyAlignment="1">
      <alignment horizontal="left"/>
    </xf>
    <xf numFmtId="0" fontId="24" fillId="0" borderId="22" xfId="0" applyFont="1" applyBorder="1"/>
    <xf numFmtId="0" fontId="26" fillId="0" borderId="0" xfId="0" applyFont="1" applyBorder="1"/>
    <xf numFmtId="0" fontId="26" fillId="0" borderId="0" xfId="0" applyFont="1"/>
    <xf numFmtId="0" fontId="26" fillId="0" borderId="0" xfId="0" applyFont="1" applyAlignment="1"/>
    <xf numFmtId="0" fontId="26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170" fontId="35" fillId="0" borderId="0" xfId="0" applyNumberFormat="1" applyFont="1" applyAlignment="1" applyProtection="1">
      <alignment horizontal="center"/>
      <protection locked="0"/>
    </xf>
    <xf numFmtId="0" fontId="25" fillId="0" borderId="9" xfId="0" applyFont="1" applyBorder="1" applyAlignment="1">
      <alignment horizontal="center"/>
    </xf>
    <xf numFmtId="175" fontId="24" fillId="0" borderId="2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175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32" fillId="0" borderId="5" xfId="0" applyFont="1" applyBorder="1"/>
    <xf numFmtId="20" fontId="32" fillId="0" borderId="5" xfId="0" applyNumberFormat="1" applyFont="1" applyBorder="1"/>
    <xf numFmtId="0" fontId="32" fillId="0" borderId="5" xfId="0" applyFont="1" applyBorder="1" applyAlignment="1">
      <alignment horizontal="right"/>
    </xf>
    <xf numFmtId="170" fontId="32" fillId="0" borderId="5" xfId="0" applyNumberFormat="1" applyFont="1" applyBorder="1" applyAlignment="1">
      <alignment horizontal="center"/>
    </xf>
    <xf numFmtId="175" fontId="24" fillId="0" borderId="9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75" fontId="25" fillId="0" borderId="9" xfId="0" applyNumberFormat="1" applyFont="1" applyBorder="1" applyAlignment="1">
      <alignment horizontal="center" vertical="center"/>
    </xf>
    <xf numFmtId="170" fontId="25" fillId="0" borderId="0" xfId="0" applyNumberFormat="1" applyFont="1" applyBorder="1" applyAlignment="1">
      <alignment horizontal="center"/>
    </xf>
    <xf numFmtId="170" fontId="24" fillId="0" borderId="0" xfId="0" applyNumberFormat="1" applyFont="1" applyBorder="1" applyAlignment="1">
      <alignment horizontal="center" vertical="center"/>
    </xf>
    <xf numFmtId="192" fontId="26" fillId="0" borderId="0" xfId="0" applyNumberFormat="1" applyFont="1" applyAlignment="1" applyProtection="1">
      <alignment horizontal="center"/>
      <protection locked="0"/>
    </xf>
    <xf numFmtId="15" fontId="27" fillId="0" borderId="10" xfId="0" applyNumberFormat="1" applyFont="1" applyBorder="1" applyAlignment="1"/>
    <xf numFmtId="0" fontId="6" fillId="0" borderId="0" xfId="78"/>
    <xf numFmtId="0" fontId="6" fillId="0" borderId="7" xfId="78" applyBorder="1"/>
    <xf numFmtId="0" fontId="6" fillId="0" borderId="10" xfId="78" applyBorder="1"/>
    <xf numFmtId="0" fontId="6" fillId="0" borderId="0" xfId="78" applyFont="1" applyBorder="1" applyAlignment="1">
      <alignment horizontal="center"/>
    </xf>
    <xf numFmtId="12" fontId="6" fillId="0" borderId="11" xfId="78" applyNumberFormat="1" applyBorder="1" applyAlignment="1">
      <alignment horizontal="center"/>
    </xf>
    <xf numFmtId="2" fontId="6" fillId="0" borderId="12" xfId="103" applyNumberFormat="1" applyFont="1" applyBorder="1" applyAlignment="1">
      <alignment horizontal="center"/>
    </xf>
    <xf numFmtId="2" fontId="8" fillId="0" borderId="12" xfId="78" applyNumberFormat="1" applyFont="1" applyBorder="1"/>
    <xf numFmtId="170" fontId="8" fillId="0" borderId="12" xfId="103" applyNumberFormat="1" applyFont="1" applyBorder="1" applyAlignment="1" applyProtection="1">
      <alignment horizontal="center" vertical="center"/>
      <protection locked="0"/>
    </xf>
    <xf numFmtId="0" fontId="8" fillId="0" borderId="12" xfId="103" applyFont="1" applyBorder="1"/>
    <xf numFmtId="2" fontId="6" fillId="0" borderId="12" xfId="78" applyNumberFormat="1" applyBorder="1"/>
    <xf numFmtId="0" fontId="6" fillId="0" borderId="30" xfId="78" applyBorder="1"/>
    <xf numFmtId="12" fontId="6" fillId="0" borderId="27" xfId="78" applyNumberFormat="1" applyBorder="1" applyAlignment="1">
      <alignment horizontal="center"/>
    </xf>
    <xf numFmtId="12" fontId="11" fillId="0" borderId="5" xfId="103" applyNumberFormat="1" applyFont="1" applyBorder="1" applyAlignment="1">
      <alignment horizontal="center"/>
    </xf>
    <xf numFmtId="2" fontId="8" fillId="0" borderId="5" xfId="78" applyNumberFormat="1" applyFont="1" applyBorder="1"/>
    <xf numFmtId="170" fontId="8" fillId="0" borderId="5" xfId="103" applyNumberFormat="1" applyFont="1" applyBorder="1" applyAlignment="1" applyProtection="1">
      <alignment horizontal="center" vertical="center"/>
      <protection locked="0"/>
    </xf>
    <xf numFmtId="0" fontId="8" fillId="0" borderId="5" xfId="103" applyFont="1" applyBorder="1"/>
    <xf numFmtId="170" fontId="8" fillId="0" borderId="29" xfId="78" applyNumberFormat="1" applyFont="1" applyBorder="1"/>
    <xf numFmtId="0" fontId="6" fillId="0" borderId="0" xfId="78" applyAlignment="1">
      <alignment horizontal="center"/>
    </xf>
    <xf numFmtId="0" fontId="6" fillId="0" borderId="12" xfId="78" applyBorder="1"/>
    <xf numFmtId="0" fontId="39" fillId="0" borderId="27" xfId="78" applyFont="1" applyBorder="1" applyAlignment="1"/>
    <xf numFmtId="0" fontId="39" fillId="0" borderId="0" xfId="78" applyFont="1" applyBorder="1" applyAlignment="1"/>
    <xf numFmtId="0" fontId="6" fillId="0" borderId="0" xfId="78" applyBorder="1" applyAlignment="1"/>
    <xf numFmtId="0" fontId="39" fillId="0" borderId="0" xfId="78" applyFont="1" applyBorder="1" applyAlignment="1">
      <alignment horizontal="center" vertical="center"/>
    </xf>
    <xf numFmtId="0" fontId="6" fillId="0" borderId="0" xfId="78" applyBorder="1" applyAlignment="1">
      <alignment horizontal="center" vertical="center"/>
    </xf>
    <xf numFmtId="0" fontId="6" fillId="0" borderId="0" xfId="78" applyBorder="1"/>
    <xf numFmtId="0" fontId="39" fillId="0" borderId="0" xfId="78" applyFont="1" applyBorder="1" applyAlignment="1">
      <alignment horizontal="center"/>
    </xf>
    <xf numFmtId="0" fontId="6" fillId="0" borderId="28" xfId="78" applyBorder="1"/>
    <xf numFmtId="0" fontId="6" fillId="0" borderId="6" xfId="78" applyBorder="1"/>
    <xf numFmtId="170" fontId="6" fillId="0" borderId="23" xfId="78" applyNumberFormat="1" applyBorder="1"/>
    <xf numFmtId="170" fontId="6" fillId="0" borderId="0" xfId="78" applyNumberFormat="1" applyBorder="1"/>
    <xf numFmtId="170" fontId="6" fillId="0" borderId="24" xfId="78" applyNumberFormat="1" applyBorder="1"/>
    <xf numFmtId="0" fontId="6" fillId="0" borderId="32" xfId="78" applyFont="1" applyBorder="1"/>
    <xf numFmtId="175" fontId="6" fillId="0" borderId="24" xfId="78" applyNumberFormat="1" applyBorder="1"/>
    <xf numFmtId="0" fontId="6" fillId="0" borderId="24" xfId="78" applyBorder="1"/>
    <xf numFmtId="0" fontId="7" fillId="0" borderId="33" xfId="78" applyFont="1" applyBorder="1"/>
    <xf numFmtId="0" fontId="6" fillId="0" borderId="34" xfId="78" applyBorder="1"/>
    <xf numFmtId="0" fontId="6" fillId="0" borderId="8" xfId="78" applyBorder="1"/>
    <xf numFmtId="2" fontId="7" fillId="0" borderId="25" xfId="78" applyNumberFormat="1" applyFont="1" applyBorder="1"/>
    <xf numFmtId="0" fontId="6" fillId="0" borderId="0" xfId="73" applyFont="1" applyBorder="1"/>
    <xf numFmtId="0" fontId="6" fillId="0" borderId="0" xfId="73" applyBorder="1"/>
    <xf numFmtId="0" fontId="6" fillId="0" borderId="0" xfId="73"/>
    <xf numFmtId="2" fontId="6" fillId="0" borderId="0" xfId="73" applyNumberFormat="1" applyBorder="1"/>
    <xf numFmtId="2" fontId="23" fillId="2" borderId="2" xfId="0" applyNumberFormat="1" applyFont="1" applyFill="1" applyBorder="1" applyAlignment="1">
      <alignment horizontal="center"/>
    </xf>
    <xf numFmtId="0" fontId="23" fillId="0" borderId="2" xfId="0" applyFont="1" applyBorder="1"/>
    <xf numFmtId="2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0" fontId="6" fillId="0" borderId="0" xfId="73" applyBorder="1" applyAlignment="1">
      <alignment horizontal="right"/>
    </xf>
    <xf numFmtId="0" fontId="6" fillId="0" borderId="0" xfId="73" applyAlignment="1">
      <alignment horizontal="right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0" xfId="73" applyBorder="1" applyAlignment="1"/>
    <xf numFmtId="17" fontId="6" fillId="0" borderId="0" xfId="73" applyNumberFormat="1"/>
    <xf numFmtId="0" fontId="6" fillId="0" borderId="2" xfId="73" applyBorder="1"/>
    <xf numFmtId="0" fontId="6" fillId="0" borderId="0" xfId="73" applyBorder="1" applyAlignment="1">
      <alignment horizontal="center" vertical="center"/>
    </xf>
    <xf numFmtId="170" fontId="6" fillId="0" borderId="9" xfId="73" applyNumberFormat="1" applyBorder="1" applyAlignment="1"/>
    <xf numFmtId="2" fontId="6" fillId="0" borderId="9" xfId="73" applyNumberFormat="1" applyBorder="1" applyAlignment="1"/>
    <xf numFmtId="2" fontId="6" fillId="0" borderId="2" xfId="73" applyNumberFormat="1" applyBorder="1" applyAlignment="1"/>
    <xf numFmtId="0" fontId="6" fillId="0" borderId="9" xfId="73" applyBorder="1"/>
    <xf numFmtId="2" fontId="6" fillId="0" borderId="9" xfId="73" applyNumberFormat="1" applyBorder="1"/>
    <xf numFmtId="2" fontId="6" fillId="0" borderId="7" xfId="73" applyNumberFormat="1" applyBorder="1"/>
    <xf numFmtId="0" fontId="23" fillId="2" borderId="0" xfId="0" applyFont="1" applyFill="1" applyBorder="1" applyAlignment="1">
      <alignment horizontal="center"/>
    </xf>
    <xf numFmtId="0" fontId="6" fillId="0" borderId="0" xfId="73" applyBorder="1" applyAlignment="1">
      <alignment horizontal="left"/>
    </xf>
    <xf numFmtId="0" fontId="0" fillId="0" borderId="0" xfId="0" applyFont="1" applyAlignment="1">
      <alignment vertical="center"/>
    </xf>
    <xf numFmtId="2" fontId="6" fillId="0" borderId="0" xfId="73" applyNumberFormat="1"/>
    <xf numFmtId="0" fontId="21" fillId="0" borderId="35" xfId="78" applyFont="1" applyBorder="1" applyAlignment="1">
      <alignment horizontal="left"/>
    </xf>
    <xf numFmtId="0" fontId="21" fillId="0" borderId="32" xfId="78" applyFont="1" applyBorder="1" applyAlignment="1">
      <alignment horizontal="left"/>
    </xf>
    <xf numFmtId="170" fontId="6" fillId="0" borderId="2" xfId="73" applyNumberFormat="1" applyBorder="1"/>
    <xf numFmtId="0" fontId="23" fillId="2" borderId="9" xfId="0" applyFont="1" applyFill="1" applyBorder="1" applyAlignment="1"/>
    <xf numFmtId="0" fontId="23" fillId="2" borderId="10" xfId="0" applyFont="1" applyFill="1" applyBorder="1" applyAlignment="1"/>
    <xf numFmtId="0" fontId="23" fillId="2" borderId="7" xfId="0" applyFont="1" applyFill="1" applyBorder="1" applyAlignment="1"/>
    <xf numFmtId="0" fontId="23" fillId="2" borderId="2" xfId="0" applyFont="1" applyFill="1" applyBorder="1" applyAlignment="1"/>
    <xf numFmtId="0" fontId="25" fillId="0" borderId="9" xfId="0" applyFont="1" applyBorder="1" applyAlignment="1">
      <alignment horizontal="center"/>
    </xf>
    <xf numFmtId="175" fontId="24" fillId="0" borderId="9" xfId="0" applyNumberFormat="1" applyFont="1" applyBorder="1" applyAlignment="1">
      <alignment horizontal="center" vertical="center"/>
    </xf>
    <xf numFmtId="175" fontId="24" fillId="0" borderId="2" xfId="0" applyNumberFormat="1" applyFont="1" applyBorder="1" applyAlignment="1">
      <alignment horizontal="center" vertical="center"/>
    </xf>
    <xf numFmtId="0" fontId="24" fillId="0" borderId="5" xfId="0" applyNumberFormat="1" applyFont="1" applyBorder="1" applyAlignment="1">
      <alignment horizontal="center"/>
    </xf>
    <xf numFmtId="1" fontId="24" fillId="0" borderId="5" xfId="0" applyNumberFormat="1" applyFont="1" applyBorder="1" applyAlignment="1">
      <alignment horizontal="left"/>
    </xf>
    <xf numFmtId="175" fontId="24" fillId="0" borderId="5" xfId="0" applyNumberFormat="1" applyFont="1" applyBorder="1" applyAlignment="1">
      <alignment horizontal="left"/>
    </xf>
    <xf numFmtId="175" fontId="24" fillId="0" borderId="2" xfId="0" applyNumberFormat="1" applyFont="1" applyBorder="1" applyAlignment="1">
      <alignment horizontal="center" vertical="center"/>
    </xf>
    <xf numFmtId="190" fontId="24" fillId="0" borderId="0" xfId="0" applyNumberFormat="1" applyFont="1" applyBorder="1" applyAlignment="1"/>
    <xf numFmtId="0" fontId="37" fillId="0" borderId="0" xfId="76" applyFont="1" applyBorder="1"/>
    <xf numFmtId="190" fontId="38" fillId="0" borderId="0" xfId="0" applyNumberFormat="1" applyFont="1" applyBorder="1" applyAlignment="1"/>
    <xf numFmtId="0" fontId="25" fillId="0" borderId="10" xfId="0" applyFont="1" applyBorder="1" applyAlignment="1">
      <alignment horizontal="left"/>
    </xf>
    <xf numFmtId="175" fontId="25" fillId="0" borderId="2" xfId="0" applyNumberFormat="1" applyFont="1" applyBorder="1" applyAlignment="1">
      <alignment horizontal="center" vertical="center"/>
    </xf>
    <xf numFmtId="170" fontId="24" fillId="0" borderId="17" xfId="0" applyNumberFormat="1" applyFont="1" applyFill="1" applyBorder="1" applyAlignment="1">
      <alignment horizontal="center" vertical="center"/>
    </xf>
    <xf numFmtId="170" fontId="24" fillId="0" borderId="18" xfId="0" applyNumberFormat="1" applyFont="1" applyFill="1" applyBorder="1" applyAlignment="1">
      <alignment horizontal="center" vertical="center"/>
    </xf>
    <xf numFmtId="170" fontId="24" fillId="0" borderId="19" xfId="0" applyNumberFormat="1" applyFont="1" applyFill="1" applyBorder="1" applyAlignment="1">
      <alignment horizontal="center" vertical="center"/>
    </xf>
    <xf numFmtId="170" fontId="24" fillId="0" borderId="20" xfId="0" applyNumberFormat="1" applyFont="1" applyFill="1" applyBorder="1" applyAlignment="1">
      <alignment horizontal="center" vertical="center"/>
    </xf>
    <xf numFmtId="170" fontId="24" fillId="0" borderId="20" xfId="0" applyNumberFormat="1" applyFont="1" applyBorder="1" applyAlignment="1">
      <alignment horizontal="center" vertical="center"/>
    </xf>
    <xf numFmtId="175" fontId="25" fillId="0" borderId="2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4" fillId="0" borderId="5" xfId="104" applyFont="1" applyBorder="1"/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/>
    <xf numFmtId="0" fontId="25" fillId="0" borderId="0" xfId="0" applyFont="1" applyBorder="1" applyAlignment="1">
      <alignment vertical="center"/>
    </xf>
    <xf numFmtId="170" fontId="25" fillId="0" borderId="0" xfId="0" applyNumberFormat="1" applyFont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14" fontId="24" fillId="0" borderId="0" xfId="0" applyNumberFormat="1" applyFont="1" applyBorder="1" applyAlignment="1">
      <alignment horizontal="center" vertical="center" wrapText="1"/>
    </xf>
    <xf numFmtId="15" fontId="27" fillId="0" borderId="0" xfId="0" applyNumberFormat="1" applyFont="1" applyBorder="1" applyAlignment="1"/>
    <xf numFmtId="0" fontId="25" fillId="0" borderId="36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193" fontId="24" fillId="0" borderId="0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15" fontId="27" fillId="0" borderId="10" xfId="0" applyNumberFormat="1" applyFont="1" applyBorder="1" applyAlignment="1">
      <alignment horizontal="center" vertical="center"/>
    </xf>
    <xf numFmtId="190" fontId="40" fillId="0" borderId="10" xfId="0" applyNumberFormat="1" applyFont="1" applyBorder="1" applyAlignment="1" applyProtection="1">
      <alignment horizontal="center" vertical="center"/>
      <protection locked="0"/>
    </xf>
    <xf numFmtId="15" fontId="27" fillId="0" borderId="5" xfId="0" applyNumberFormat="1" applyFont="1" applyBorder="1" applyAlignment="1"/>
    <xf numFmtId="0" fontId="28" fillId="0" borderId="5" xfId="0" applyFont="1" applyBorder="1"/>
    <xf numFmtId="191" fontId="24" fillId="0" borderId="10" xfId="0" applyNumberFormat="1" applyFont="1" applyBorder="1" applyAlignment="1">
      <alignment horizontal="left"/>
    </xf>
    <xf numFmtId="191" fontId="34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32" xfId="78" applyFont="1" applyBorder="1"/>
    <xf numFmtId="0" fontId="0" fillId="0" borderId="0" xfId="73" applyFont="1" applyBorder="1"/>
    <xf numFmtId="0" fontId="0" fillId="0" borderId="0" xfId="73" applyFont="1" applyBorder="1" applyAlignment="1">
      <alignment horizontal="left"/>
    </xf>
    <xf numFmtId="16" fontId="25" fillId="0" borderId="2" xfId="0" applyNumberFormat="1" applyFont="1" applyBorder="1" applyAlignment="1">
      <alignment horizontal="center" vertical="center"/>
    </xf>
    <xf numFmtId="0" fontId="24" fillId="0" borderId="2" xfId="105" applyFont="1" applyBorder="1" applyAlignment="1">
      <alignment horizontal="center" vertical="center"/>
    </xf>
    <xf numFmtId="0" fontId="26" fillId="0" borderId="2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>
      <alignment vertical="center"/>
    </xf>
    <xf numFmtId="170" fontId="24" fillId="0" borderId="13" xfId="0" applyNumberFormat="1" applyFont="1" applyBorder="1" applyAlignment="1">
      <alignment horizontal="center" vertical="center"/>
    </xf>
    <xf numFmtId="170" fontId="24" fillId="0" borderId="14" xfId="0" applyNumberFormat="1" applyFont="1" applyBorder="1" applyAlignment="1">
      <alignment horizontal="center" vertical="center"/>
    </xf>
    <xf numFmtId="170" fontId="24" fillId="0" borderId="16" xfId="0" applyNumberFormat="1" applyFont="1" applyBorder="1" applyAlignment="1">
      <alignment horizontal="center" vertical="center"/>
    </xf>
    <xf numFmtId="170" fontId="25" fillId="0" borderId="14" xfId="0" applyNumberFormat="1" applyFont="1" applyBorder="1" applyAlignment="1">
      <alignment horizontal="center" vertical="center"/>
    </xf>
    <xf numFmtId="170" fontId="25" fillId="0" borderId="15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46" fillId="0" borderId="0" xfId="0" applyFont="1" applyFill="1" applyAlignment="1" applyProtection="1">
      <alignment horizontal="center" vertical="center"/>
    </xf>
    <xf numFmtId="175" fontId="46" fillId="0" borderId="0" xfId="0" applyNumberFormat="1" applyFont="1" applyFill="1" applyAlignment="1" applyProtection="1">
      <alignment horizontal="center" vertical="center"/>
    </xf>
    <xf numFmtId="170" fontId="48" fillId="0" borderId="0" xfId="0" applyNumberFormat="1" applyFont="1" applyFill="1" applyAlignment="1" applyProtection="1">
      <alignment horizontal="center" vertical="center"/>
    </xf>
    <xf numFmtId="175" fontId="48" fillId="0" borderId="0" xfId="0" applyNumberFormat="1" applyFont="1" applyFill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0" fontId="8" fillId="0" borderId="2" xfId="0" applyNumberFormat="1" applyFont="1" applyFill="1" applyBorder="1" applyAlignment="1" applyProtection="1">
      <alignment horizontal="center" vertical="center"/>
      <protection locked="0"/>
    </xf>
    <xf numFmtId="170" fontId="78" fillId="0" borderId="0" xfId="0" applyNumberFormat="1" applyFont="1" applyFill="1" applyAlignment="1" applyProtection="1">
      <alignment horizontal="center" vertical="center"/>
    </xf>
    <xf numFmtId="2" fontId="78" fillId="0" borderId="0" xfId="0" applyNumberFormat="1" applyFont="1" applyFill="1" applyAlignment="1" applyProtection="1">
      <alignment horizontal="center" vertical="center"/>
    </xf>
    <xf numFmtId="175" fontId="78" fillId="0" borderId="0" xfId="0" applyNumberFormat="1" applyFont="1" applyFill="1" applyAlignment="1" applyProtection="1">
      <alignment horizontal="center" vertical="center"/>
    </xf>
    <xf numFmtId="170" fontId="61" fillId="0" borderId="0" xfId="0" applyNumberFormat="1" applyFont="1" applyBorder="1" applyAlignment="1" applyProtection="1">
      <alignment horizontal="center" vertical="center"/>
      <protection locked="0"/>
    </xf>
    <xf numFmtId="0" fontId="77" fillId="0" borderId="45" xfId="151" applyFont="1" applyBorder="1" applyAlignment="1" applyProtection="1">
      <alignment wrapText="1"/>
    </xf>
    <xf numFmtId="0" fontId="77" fillId="0" borderId="48" xfId="151" applyFont="1" applyBorder="1" applyAlignment="1" applyProtection="1">
      <alignment wrapText="1"/>
    </xf>
    <xf numFmtId="0" fontId="77" fillId="0" borderId="58" xfId="151" applyFont="1" applyBorder="1" applyAlignment="1" applyProtection="1">
      <alignment wrapText="1"/>
    </xf>
    <xf numFmtId="170" fontId="54" fillId="4" borderId="0" xfId="0" applyNumberFormat="1" applyFont="1" applyFill="1" applyBorder="1" applyAlignment="1" applyProtection="1">
      <alignment horizontal="center" vertical="center" wrapText="1"/>
      <protection locked="0"/>
    </xf>
    <xf numFmtId="1" fontId="54" fillId="4" borderId="0" xfId="0" applyNumberFormat="1" applyFont="1" applyFill="1" applyBorder="1" applyAlignment="1" applyProtection="1">
      <alignment horizontal="center" vertical="center" wrapText="1"/>
      <protection locked="0"/>
    </xf>
    <xf numFmtId="170" fontId="70" fillId="0" borderId="48" xfId="0" applyNumberFormat="1" applyFont="1" applyFill="1" applyBorder="1" applyAlignment="1" applyProtection="1">
      <alignment horizontal="center" vertical="center" wrapText="1"/>
    </xf>
    <xf numFmtId="1" fontId="54" fillId="0" borderId="0" xfId="0" applyNumberFormat="1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horizontal="center" vertical="center" wrapText="1"/>
      <protection locked="0"/>
    </xf>
    <xf numFmtId="1" fontId="54" fillId="0" borderId="0" xfId="0" applyNumberFormat="1" applyFont="1" applyFill="1" applyBorder="1" applyAlignment="1" applyProtection="1">
      <alignment horizontal="center" vertical="center" wrapText="1"/>
      <protection locked="0"/>
    </xf>
    <xf numFmtId="170" fontId="5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Protection="1">
      <protection locked="0"/>
    </xf>
    <xf numFmtId="0" fontId="29" fillId="0" borderId="0" xfId="0" applyFont="1" applyBorder="1" applyAlignment="1" applyProtection="1">
      <alignment vertical="center" wrapText="1"/>
      <protection locked="0"/>
    </xf>
    <xf numFmtId="1" fontId="29" fillId="0" borderId="0" xfId="0" applyNumberFormat="1" applyFont="1" applyBorder="1" applyAlignment="1" applyProtection="1">
      <alignment vertical="center" wrapText="1"/>
      <protection locked="0"/>
    </xf>
    <xf numFmtId="170" fontId="60" fillId="0" borderId="31" xfId="0" applyNumberFormat="1" applyFont="1" applyBorder="1" applyAlignment="1" applyProtection="1">
      <alignment horizontal="center" vertical="center" wrapText="1"/>
      <protection locked="0"/>
    </xf>
    <xf numFmtId="170" fontId="61" fillId="0" borderId="11" xfId="0" applyNumberFormat="1" applyFont="1" applyBorder="1" applyAlignment="1" applyProtection="1">
      <alignment horizontal="center" vertical="center"/>
      <protection locked="0"/>
    </xf>
    <xf numFmtId="170" fontId="61" fillId="0" borderId="12" xfId="0" applyNumberFormat="1" applyFont="1" applyBorder="1" applyAlignment="1" applyProtection="1">
      <alignment horizontal="center" vertical="center"/>
      <protection locked="0"/>
    </xf>
    <xf numFmtId="170" fontId="61" fillId="0" borderId="26" xfId="0" applyNumberFormat="1" applyFont="1" applyBorder="1" applyAlignment="1" applyProtection="1">
      <alignment horizontal="center" vertical="center"/>
      <protection locked="0"/>
    </xf>
    <xf numFmtId="0" fontId="6" fillId="0" borderId="0" xfId="82" applyFont="1" applyFill="1" applyProtection="1">
      <protection locked="0"/>
    </xf>
    <xf numFmtId="0" fontId="24" fillId="0" borderId="0" xfId="0" applyFont="1" applyBorder="1" applyProtection="1">
      <protection locked="0"/>
    </xf>
    <xf numFmtId="175" fontId="8" fillId="0" borderId="0" xfId="0" applyNumberFormat="1" applyFont="1" applyFill="1" applyAlignment="1" applyProtection="1">
      <alignment horizontal="center" vertical="center"/>
      <protection locked="0"/>
    </xf>
    <xf numFmtId="170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46" fillId="0" borderId="0" xfId="0" applyFont="1" applyFill="1" applyAlignment="1" applyProtection="1">
      <alignment horizontal="center" vertical="center"/>
      <protection locked="0"/>
    </xf>
    <xf numFmtId="0" fontId="47" fillId="0" borderId="0" xfId="0" applyFont="1" applyFill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31" xfId="0" applyFont="1" applyFill="1" applyBorder="1" applyAlignment="1" applyProtection="1">
      <alignment horizontal="left" vertical="center"/>
      <protection locked="0"/>
    </xf>
    <xf numFmtId="175" fontId="46" fillId="0" borderId="0" xfId="0" applyNumberFormat="1" applyFont="1" applyFill="1" applyAlignment="1" applyProtection="1">
      <alignment horizontal="center" vertical="center"/>
      <protection locked="0"/>
    </xf>
    <xf numFmtId="170" fontId="47" fillId="0" borderId="0" xfId="0" applyNumberFormat="1" applyFont="1" applyFill="1" applyAlignment="1" applyProtection="1">
      <alignment horizontal="center" vertical="center"/>
      <protection locked="0"/>
    </xf>
    <xf numFmtId="175" fontId="47" fillId="0" borderId="0" xfId="0" applyNumberFormat="1" applyFont="1" applyFill="1" applyAlignment="1" applyProtection="1">
      <alignment horizontal="center" vertical="center"/>
      <protection locked="0"/>
    </xf>
    <xf numFmtId="170" fontId="46" fillId="0" borderId="0" xfId="0" applyNumberFormat="1" applyFont="1" applyFill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1" fontId="9" fillId="0" borderId="2" xfId="0" applyNumberFormat="1" applyFont="1" applyFill="1" applyBorder="1" applyAlignment="1" applyProtection="1">
      <alignment horizontal="center" vertical="center"/>
      <protection locked="0"/>
    </xf>
    <xf numFmtId="1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1" fontId="8" fillId="0" borderId="31" xfId="0" applyNumberFormat="1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1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2" fontId="8" fillId="0" borderId="37" xfId="0" applyNumberFormat="1" applyFont="1" applyFill="1" applyBorder="1" applyAlignment="1" applyProtection="1">
      <alignment horizontal="left" vertical="center"/>
      <protection locked="0"/>
    </xf>
    <xf numFmtId="12" fontId="8" fillId="0" borderId="38" xfId="0" applyNumberFormat="1" applyFont="1" applyFill="1" applyBorder="1" applyAlignment="1" applyProtection="1">
      <alignment horizontal="left" vertical="center"/>
      <protection locked="0"/>
    </xf>
    <xf numFmtId="12" fontId="8" fillId="0" borderId="38" xfId="0" applyNumberFormat="1" applyFont="1" applyFill="1" applyBorder="1" applyAlignment="1" applyProtection="1">
      <alignment horizontal="center" vertical="center"/>
      <protection locked="0"/>
    </xf>
    <xf numFmtId="195" fontId="7" fillId="0" borderId="3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12" fontId="8" fillId="0" borderId="39" xfId="0" applyNumberFormat="1" applyFont="1" applyFill="1" applyBorder="1" applyAlignment="1" applyProtection="1">
      <alignment horizontal="left" vertical="center"/>
      <protection locked="0"/>
    </xf>
    <xf numFmtId="12" fontId="8" fillId="0" borderId="40" xfId="0" applyNumberFormat="1" applyFont="1" applyFill="1" applyBorder="1" applyAlignment="1" applyProtection="1">
      <alignment horizontal="left" vertical="center"/>
      <protection locked="0"/>
    </xf>
    <xf numFmtId="12" fontId="8" fillId="0" borderId="40" xfId="0" applyNumberFormat="1" applyFont="1" applyFill="1" applyBorder="1" applyAlignment="1" applyProtection="1">
      <alignment horizontal="center" vertical="center"/>
      <protection locked="0"/>
    </xf>
    <xf numFmtId="195" fontId="7" fillId="0" borderId="39" xfId="0" applyNumberFormat="1" applyFont="1" applyFill="1" applyBorder="1" applyAlignment="1" applyProtection="1">
      <alignment horizontal="center" vertical="center"/>
      <protection locked="0"/>
    </xf>
    <xf numFmtId="12" fontId="9" fillId="0" borderId="26" xfId="0" applyNumberFormat="1" applyFont="1" applyFill="1" applyBorder="1" applyAlignment="1" applyProtection="1">
      <alignment vertical="center"/>
      <protection locked="0"/>
    </xf>
    <xf numFmtId="12" fontId="9" fillId="0" borderId="0" xfId="0" applyNumberFormat="1" applyFont="1" applyFill="1" applyBorder="1" applyAlignment="1" applyProtection="1">
      <alignment vertical="center"/>
      <protection locked="0"/>
    </xf>
    <xf numFmtId="12" fontId="9" fillId="0" borderId="31" xfId="0" applyNumberFormat="1" applyFont="1" applyFill="1" applyBorder="1" applyAlignment="1" applyProtection="1">
      <alignment vertical="center"/>
      <protection locked="0"/>
    </xf>
    <xf numFmtId="12" fontId="8" fillId="0" borderId="2" xfId="0" applyNumberFormat="1" applyFont="1" applyFill="1" applyBorder="1" applyAlignment="1" applyProtection="1">
      <alignment vertical="center"/>
      <protection locked="0"/>
    </xf>
    <xf numFmtId="1" fontId="8" fillId="0" borderId="2" xfId="0" applyNumberFormat="1" applyFont="1" applyFill="1" applyBorder="1" applyAlignment="1" applyProtection="1">
      <alignment horizontal="left" vertical="center"/>
      <protection locked="0"/>
    </xf>
    <xf numFmtId="170" fontId="9" fillId="0" borderId="9" xfId="0" applyNumberFormat="1" applyFont="1" applyFill="1" applyBorder="1" applyAlignment="1" applyProtection="1">
      <alignment horizontal="center" vertical="center"/>
      <protection locked="0"/>
    </xf>
    <xf numFmtId="170" fontId="8" fillId="0" borderId="10" xfId="0" applyNumberFormat="1" applyFont="1" applyFill="1" applyBorder="1" applyAlignment="1" applyProtection="1">
      <alignment horizontal="center" vertical="center"/>
      <protection locked="0"/>
    </xf>
    <xf numFmtId="170" fontId="8" fillId="0" borderId="7" xfId="0" applyNumberFormat="1" applyFont="1" applyFill="1" applyBorder="1" applyAlignment="1" applyProtection="1">
      <alignment horizontal="center" vertical="center"/>
      <protection locked="0"/>
    </xf>
    <xf numFmtId="12" fontId="8" fillId="0" borderId="26" xfId="0" applyNumberFormat="1" applyFont="1" applyFill="1" applyBorder="1" applyAlignment="1" applyProtection="1">
      <alignment vertical="center"/>
      <protection locked="0"/>
    </xf>
    <xf numFmtId="12" fontId="8" fillId="0" borderId="0" xfId="0" applyNumberFormat="1" applyFont="1" applyFill="1" applyBorder="1" applyAlignment="1" applyProtection="1">
      <alignment vertical="center"/>
      <protection locked="0"/>
    </xf>
    <xf numFmtId="12" fontId="8" fillId="0" borderId="31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194" fontId="8" fillId="0" borderId="26" xfId="0" applyNumberFormat="1" applyFont="1" applyFill="1" applyBorder="1" applyAlignment="1" applyProtection="1">
      <alignment horizontal="left" vertical="center"/>
      <protection locked="0"/>
    </xf>
    <xf numFmtId="194" fontId="8" fillId="0" borderId="0" xfId="0" applyNumberFormat="1" applyFont="1" applyFill="1" applyBorder="1" applyAlignment="1" applyProtection="1">
      <alignment horizontal="left" vertical="center"/>
      <protection locked="0"/>
    </xf>
    <xf numFmtId="194" fontId="8" fillId="0" borderId="31" xfId="0" applyNumberFormat="1" applyFont="1" applyFill="1" applyBorder="1" applyAlignment="1" applyProtection="1">
      <alignment horizontal="left" vertical="center"/>
      <protection locked="0"/>
    </xf>
    <xf numFmtId="0" fontId="55" fillId="0" borderId="52" xfId="75" applyNumberFormat="1" applyFont="1" applyBorder="1" applyProtection="1">
      <protection locked="0"/>
    </xf>
    <xf numFmtId="0" fontId="55" fillId="0" borderId="0" xfId="75" applyNumberFormat="1" applyFont="1" applyBorder="1" applyProtection="1">
      <protection locked="0"/>
    </xf>
    <xf numFmtId="0" fontId="56" fillId="0" borderId="0" xfId="75" applyNumberFormat="1" applyFont="1" applyBorder="1" applyAlignment="1" applyProtection="1">
      <alignment horizontal="center" wrapText="1"/>
      <protection locked="0"/>
    </xf>
    <xf numFmtId="0" fontId="55" fillId="0" borderId="0" xfId="75" applyNumberFormat="1" applyFont="1" applyBorder="1" applyAlignment="1" applyProtection="1">
      <alignment horizontal="left"/>
      <protection locked="0"/>
    </xf>
    <xf numFmtId="0" fontId="57" fillId="6" borderId="0" xfId="75" applyNumberFormat="1" applyFont="1" applyFill="1" applyBorder="1" applyProtection="1">
      <protection locked="0"/>
    </xf>
    <xf numFmtId="0" fontId="39" fillId="7" borderId="0" xfId="75" applyNumberFormat="1" applyFont="1" applyFill="1" applyBorder="1" applyProtection="1">
      <protection locked="0"/>
    </xf>
    <xf numFmtId="0" fontId="55" fillId="0" borderId="0" xfId="75" applyNumberFormat="1" applyFont="1" applyBorder="1" applyAlignment="1" applyProtection="1">
      <alignment horizontal="center"/>
      <protection locked="0"/>
    </xf>
    <xf numFmtId="2" fontId="55" fillId="0" borderId="0" xfId="75" applyNumberFormat="1" applyFont="1" applyBorder="1" applyAlignment="1" applyProtection="1">
      <alignment horizontal="center"/>
      <protection locked="0"/>
    </xf>
    <xf numFmtId="0" fontId="58" fillId="7" borderId="0" xfId="75" applyNumberFormat="1" applyFont="1" applyFill="1" applyBorder="1" applyAlignment="1" applyProtection="1">
      <alignment vertical="center" wrapText="1"/>
      <protection locked="0"/>
    </xf>
    <xf numFmtId="1" fontId="55" fillId="0" borderId="0" xfId="75" applyNumberFormat="1" applyFont="1" applyBorder="1" applyAlignment="1" applyProtection="1">
      <alignment horizontal="center"/>
      <protection locked="0"/>
    </xf>
    <xf numFmtId="170" fontId="55" fillId="0" borderId="0" xfId="75" applyNumberFormat="1" applyFont="1" applyBorder="1" applyAlignment="1" applyProtection="1">
      <alignment horizontal="center"/>
      <protection locked="0"/>
    </xf>
    <xf numFmtId="0" fontId="59" fillId="8" borderId="0" xfId="75" applyNumberFormat="1" applyFont="1" applyFill="1" applyBorder="1" applyAlignment="1" applyProtection="1">
      <alignment vertical="center" wrapText="1"/>
      <protection locked="0"/>
    </xf>
    <xf numFmtId="175" fontId="55" fillId="0" borderId="0" xfId="75" applyNumberFormat="1" applyFont="1" applyBorder="1" applyAlignment="1" applyProtection="1">
      <alignment horizontal="center"/>
      <protection locked="0"/>
    </xf>
    <xf numFmtId="0" fontId="55" fillId="8" borderId="0" xfId="75" applyNumberFormat="1" applyFont="1" applyFill="1" applyBorder="1" applyAlignment="1" applyProtection="1">
      <protection locked="0"/>
    </xf>
    <xf numFmtId="0" fontId="55" fillId="9" borderId="0" xfId="75" applyNumberFormat="1" applyFont="1" applyFill="1" applyBorder="1" applyProtection="1">
      <protection locked="0"/>
    </xf>
    <xf numFmtId="0" fontId="55" fillId="10" borderId="0" xfId="75" applyNumberFormat="1" applyFont="1" applyFill="1" applyBorder="1" applyProtection="1">
      <protection locked="0"/>
    </xf>
    <xf numFmtId="0" fontId="57" fillId="5" borderId="0" xfId="75" applyNumberFormat="1" applyFont="1" applyFill="1" applyBorder="1" applyProtection="1">
      <protection locked="0"/>
    </xf>
    <xf numFmtId="0" fontId="55" fillId="5" borderId="0" xfId="75" applyNumberFormat="1" applyFont="1" applyFill="1" applyBorder="1" applyProtection="1">
      <protection locked="0"/>
    </xf>
    <xf numFmtId="170" fontId="6" fillId="0" borderId="0" xfId="0" applyNumberFormat="1" applyFont="1" applyFill="1" applyAlignment="1" applyProtection="1">
      <alignment vertical="center"/>
      <protection locked="0"/>
    </xf>
    <xf numFmtId="0" fontId="55" fillId="11" borderId="0" xfId="75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55" fillId="12" borderId="0" xfId="75" applyNumberFormat="1" applyFont="1" applyFill="1" applyBorder="1" applyProtection="1"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170" fontId="37" fillId="0" borderId="0" xfId="0" applyNumberFormat="1" applyFont="1" applyFill="1" applyBorder="1" applyAlignment="1" applyProtection="1">
      <alignment horizontal="center" vertical="center"/>
      <protection locked="0"/>
    </xf>
    <xf numFmtId="0" fontId="55" fillId="13" borderId="0" xfId="75" applyNumberFormat="1" applyFont="1" applyFill="1" applyBorder="1" applyProtection="1"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55" fillId="0" borderId="54" xfId="75" applyNumberFormat="1" applyFont="1" applyBorder="1" applyProtection="1">
      <protection locked="0"/>
    </xf>
    <xf numFmtId="0" fontId="55" fillId="0" borderId="42" xfId="75" applyNumberFormat="1" applyFont="1" applyBorder="1" applyProtection="1">
      <protection locked="0"/>
    </xf>
    <xf numFmtId="0" fontId="55" fillId="0" borderId="42" xfId="75" applyNumberFormat="1" applyFont="1" applyBorder="1" applyAlignment="1" applyProtection="1">
      <alignment horizontal="left"/>
      <protection locked="0"/>
    </xf>
    <xf numFmtId="2" fontId="0" fillId="0" borderId="2" xfId="0" applyNumberFormat="1" applyFont="1" applyFill="1" applyBorder="1" applyAlignment="1" applyProtection="1">
      <alignment horizontal="center" vertical="center"/>
      <protection locked="0"/>
    </xf>
    <xf numFmtId="0" fontId="45" fillId="2" borderId="64" xfId="0" applyFont="1" applyFill="1" applyBorder="1" applyAlignment="1" applyProtection="1">
      <alignment horizontal="center" vertical="center"/>
    </xf>
    <xf numFmtId="0" fontId="0" fillId="2" borderId="65" xfId="0" applyFont="1" applyFill="1" applyBorder="1" applyAlignment="1" applyProtection="1">
      <alignment horizontal="center" vertical="center"/>
    </xf>
    <xf numFmtId="0" fontId="0" fillId="2" borderId="29" xfId="0" applyFont="1" applyFill="1" applyBorder="1" applyAlignment="1" applyProtection="1">
      <alignment horizontal="center" vertical="center"/>
    </xf>
    <xf numFmtId="0" fontId="44" fillId="2" borderId="64" xfId="90" applyFont="1" applyFill="1" applyBorder="1" applyAlignment="1" applyProtection="1">
      <alignment horizontal="center" vertical="center" wrapText="1"/>
    </xf>
    <xf numFmtId="0" fontId="9" fillId="4" borderId="69" xfId="90" applyFont="1" applyFill="1" applyBorder="1" applyAlignment="1" applyProtection="1">
      <alignment horizontal="center" vertical="center" wrapText="1"/>
    </xf>
    <xf numFmtId="170" fontId="8" fillId="4" borderId="50" xfId="0" applyNumberFormat="1" applyFont="1" applyFill="1" applyBorder="1" applyAlignment="1" applyProtection="1">
      <alignment horizontal="center" vertical="center"/>
    </xf>
    <xf numFmtId="170" fontId="54" fillId="4" borderId="77" xfId="0" applyNumberFormat="1" applyFont="1" applyFill="1" applyBorder="1" applyAlignment="1" applyProtection="1">
      <alignment horizontal="center" vertical="center"/>
    </xf>
    <xf numFmtId="170" fontId="54" fillId="4" borderId="82" xfId="0" applyNumberFormat="1" applyFont="1" applyFill="1" applyBorder="1" applyAlignment="1" applyProtection="1">
      <alignment horizontal="center" vertical="center"/>
    </xf>
    <xf numFmtId="170" fontId="54" fillId="4" borderId="69" xfId="0" applyNumberFormat="1" applyFont="1" applyFill="1" applyBorder="1" applyAlignment="1" applyProtection="1">
      <alignment horizontal="center" vertical="center"/>
    </xf>
    <xf numFmtId="0" fontId="9" fillId="4" borderId="59" xfId="90" applyFont="1" applyFill="1" applyBorder="1" applyAlignment="1" applyProtection="1">
      <alignment horizontal="center" vertical="center" wrapText="1"/>
    </xf>
    <xf numFmtId="0" fontId="54" fillId="4" borderId="60" xfId="90" applyFont="1" applyFill="1" applyBorder="1" applyAlignment="1" applyProtection="1">
      <alignment horizontal="center" vertical="center" wrapText="1"/>
    </xf>
    <xf numFmtId="170" fontId="8" fillId="4" borderId="73" xfId="0" applyNumberFormat="1" applyFont="1" applyFill="1" applyBorder="1" applyAlignment="1" applyProtection="1">
      <alignment horizontal="center" vertical="center"/>
    </xf>
    <xf numFmtId="170" fontId="54" fillId="4" borderId="66" xfId="0" applyNumberFormat="1" applyFont="1" applyFill="1" applyBorder="1" applyAlignment="1" applyProtection="1">
      <alignment horizontal="center" vertical="center"/>
    </xf>
    <xf numFmtId="0" fontId="66" fillId="4" borderId="71" xfId="90" applyFont="1" applyFill="1" applyBorder="1" applyAlignment="1" applyProtection="1">
      <alignment horizontal="center" vertical="center" wrapText="1"/>
    </xf>
    <xf numFmtId="0" fontId="9" fillId="4" borderId="75" xfId="90" applyFont="1" applyFill="1" applyBorder="1" applyAlignment="1" applyProtection="1">
      <alignment horizontal="center" vertical="center" wrapText="1"/>
    </xf>
    <xf numFmtId="0" fontId="8" fillId="4" borderId="78" xfId="0" applyFont="1" applyFill="1" applyBorder="1" applyAlignment="1" applyProtection="1">
      <alignment horizontal="center" vertical="center"/>
    </xf>
    <xf numFmtId="0" fontId="54" fillId="4" borderId="70" xfId="0" applyFont="1" applyFill="1" applyBorder="1" applyAlignment="1" applyProtection="1">
      <alignment horizontal="center" vertical="center"/>
    </xf>
    <xf numFmtId="0" fontId="70" fillId="4" borderId="59" xfId="90" applyFont="1" applyFill="1" applyBorder="1" applyAlignment="1" applyProtection="1">
      <alignment horizontal="center" vertical="center" wrapText="1"/>
    </xf>
    <xf numFmtId="1" fontId="8" fillId="4" borderId="79" xfId="0" applyNumberFormat="1" applyFont="1" applyFill="1" applyBorder="1" applyAlignment="1" applyProtection="1">
      <alignment horizontal="center" vertical="center"/>
    </xf>
    <xf numFmtId="1" fontId="54" fillId="4" borderId="72" xfId="0" applyNumberFormat="1" applyFont="1" applyFill="1" applyBorder="1" applyAlignment="1" applyProtection="1">
      <alignment horizontal="center" vertical="center"/>
    </xf>
    <xf numFmtId="1" fontId="21" fillId="4" borderId="79" xfId="0" applyNumberFormat="1" applyFont="1" applyFill="1" applyBorder="1" applyAlignment="1" applyProtection="1">
      <alignment horizontal="center" vertical="center" wrapText="1"/>
    </xf>
    <xf numFmtId="0" fontId="66" fillId="15" borderId="59" xfId="90" applyFont="1" applyFill="1" applyBorder="1" applyAlignment="1" applyProtection="1">
      <alignment vertical="center" wrapText="1"/>
    </xf>
    <xf numFmtId="0" fontId="66" fillId="15" borderId="72" xfId="90" applyFont="1" applyFill="1" applyBorder="1" applyAlignment="1" applyProtection="1">
      <alignment vertical="center" wrapText="1"/>
    </xf>
    <xf numFmtId="170" fontId="8" fillId="4" borderId="79" xfId="0" applyNumberFormat="1" applyFont="1" applyFill="1" applyBorder="1" applyAlignment="1" applyProtection="1">
      <alignment horizontal="center" vertical="center"/>
    </xf>
    <xf numFmtId="170" fontId="54" fillId="4" borderId="72" xfId="0" applyNumberFormat="1" applyFont="1" applyFill="1" applyBorder="1" applyAlignment="1" applyProtection="1">
      <alignment horizontal="center" vertical="center"/>
    </xf>
    <xf numFmtId="0" fontId="72" fillId="4" borderId="59" xfId="0" applyFont="1" applyFill="1" applyBorder="1" applyAlignment="1" applyProtection="1">
      <alignment horizontal="center" vertical="center"/>
    </xf>
    <xf numFmtId="0" fontId="74" fillId="4" borderId="59" xfId="90" applyFont="1" applyFill="1" applyBorder="1" applyAlignment="1" applyProtection="1">
      <alignment horizontal="center" vertical="center" wrapText="1"/>
    </xf>
    <xf numFmtId="1" fontId="8" fillId="4" borderId="79" xfId="0" applyNumberFormat="1" applyFont="1" applyFill="1" applyBorder="1" applyAlignment="1" applyProtection="1">
      <alignment horizontal="center" vertical="center" wrapText="1"/>
    </xf>
    <xf numFmtId="170" fontId="8" fillId="4" borderId="79" xfId="0" applyNumberFormat="1" applyFont="1" applyFill="1" applyBorder="1" applyAlignment="1" applyProtection="1">
      <alignment horizontal="center" vertical="center" wrapText="1"/>
    </xf>
    <xf numFmtId="0" fontId="70" fillId="4" borderId="59" xfId="0" applyFont="1" applyFill="1" applyBorder="1" applyAlignment="1" applyProtection="1">
      <alignment horizontal="center" vertical="center"/>
    </xf>
    <xf numFmtId="2" fontId="8" fillId="4" borderId="79" xfId="0" applyNumberFormat="1" applyFont="1" applyFill="1" applyBorder="1" applyAlignment="1" applyProtection="1">
      <alignment horizontal="center" vertical="center"/>
    </xf>
    <xf numFmtId="0" fontId="54" fillId="0" borderId="72" xfId="0" applyFont="1" applyFill="1" applyBorder="1" applyAlignment="1" applyProtection="1">
      <alignment horizontal="center" vertical="center"/>
    </xf>
    <xf numFmtId="170" fontId="60" fillId="0" borderId="29" xfId="0" applyNumberFormat="1" applyFont="1" applyBorder="1" applyAlignment="1" applyProtection="1">
      <alignment horizontal="center" vertical="center"/>
    </xf>
    <xf numFmtId="170" fontId="60" fillId="0" borderId="26" xfId="126" applyNumberFormat="1" applyFont="1" applyBorder="1" applyAlignment="1" applyProtection="1">
      <alignment horizontal="center" vertical="center" wrapText="1"/>
    </xf>
    <xf numFmtId="170" fontId="43" fillId="0" borderId="27" xfId="126" applyNumberFormat="1" applyFont="1" applyBorder="1" applyAlignment="1" applyProtection="1">
      <alignment horizontal="center" vertical="center" wrapText="1"/>
    </xf>
    <xf numFmtId="0" fontId="73" fillId="0" borderId="58" xfId="0" applyFont="1" applyBorder="1" applyAlignment="1" applyProtection="1">
      <alignment vertical="center" wrapText="1"/>
    </xf>
    <xf numFmtId="0" fontId="68" fillId="0" borderId="27" xfId="0" applyFont="1" applyBorder="1" applyAlignment="1" applyProtection="1">
      <alignment horizontal="center" vertical="center"/>
    </xf>
    <xf numFmtId="170" fontId="62" fillId="0" borderId="5" xfId="0" applyNumberFormat="1" applyFont="1" applyBorder="1" applyAlignment="1" applyProtection="1">
      <alignment horizontal="center" vertical="center" wrapText="1"/>
    </xf>
    <xf numFmtId="1" fontId="29" fillId="0" borderId="11" xfId="0" applyNumberFormat="1" applyFont="1" applyBorder="1" applyAlignment="1" applyProtection="1">
      <alignment horizontal="center" vertical="center" wrapText="1"/>
    </xf>
    <xf numFmtId="1" fontId="29" fillId="0" borderId="26" xfId="0" applyNumberFormat="1" applyFont="1" applyBorder="1" applyAlignment="1" applyProtection="1">
      <alignment horizontal="center" vertical="center" wrapText="1"/>
    </xf>
    <xf numFmtId="16" fontId="29" fillId="0" borderId="12" xfId="0" applyNumberFormat="1" applyFont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5" xfId="105" applyFont="1" applyBorder="1" applyAlignment="1" applyProtection="1">
      <alignment horizontal="center" vertical="center"/>
    </xf>
    <xf numFmtId="0" fontId="29" fillId="0" borderId="5" xfId="0" applyFont="1" applyBorder="1" applyAlignment="1" applyProtection="1">
      <alignment horizontal="center" vertical="center"/>
    </xf>
    <xf numFmtId="0" fontId="24" fillId="0" borderId="0" xfId="0" applyFont="1" applyProtection="1"/>
    <xf numFmtId="2" fontId="62" fillId="0" borderId="57" xfId="126" applyNumberFormat="1" applyFont="1" applyBorder="1" applyAlignment="1" applyProtection="1">
      <alignment horizontal="center" vertical="center" wrapText="1"/>
    </xf>
    <xf numFmtId="171" fontId="43" fillId="0" borderId="57" xfId="0" applyNumberFormat="1" applyFont="1" applyBorder="1" applyAlignment="1" applyProtection="1">
      <alignment vertical="center"/>
    </xf>
    <xf numFmtId="0" fontId="29" fillId="0" borderId="3" xfId="0" applyFont="1" applyBorder="1" applyAlignment="1" applyProtection="1">
      <alignment horizontal="center" vertical="center" wrapText="1"/>
    </xf>
    <xf numFmtId="171" fontId="24" fillId="0" borderId="1" xfId="0" applyNumberFormat="1" applyFont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/>
    </xf>
    <xf numFmtId="170" fontId="24" fillId="0" borderId="0" xfId="0" applyNumberFormat="1" applyFont="1" applyProtection="1"/>
    <xf numFmtId="0" fontId="43" fillId="0" borderId="30" xfId="0" applyFont="1" applyBorder="1" applyAlignment="1" applyProtection="1">
      <alignment horizontal="center" vertical="top"/>
    </xf>
    <xf numFmtId="0" fontId="43" fillId="0" borderId="31" xfId="0" applyFont="1" applyBorder="1" applyAlignment="1" applyProtection="1">
      <alignment horizontal="center" vertical="center"/>
    </xf>
    <xf numFmtId="0" fontId="43" fillId="0" borderId="86" xfId="0" applyFont="1" applyBorder="1" applyAlignment="1" applyProtection="1">
      <alignment horizontal="center" vertical="center"/>
    </xf>
    <xf numFmtId="170" fontId="61" fillId="4" borderId="30" xfId="0" applyNumberFormat="1" applyFont="1" applyFill="1" applyBorder="1" applyAlignment="1" applyProtection="1">
      <alignment horizontal="center" vertical="center"/>
    </xf>
    <xf numFmtId="170" fontId="61" fillId="4" borderId="31" xfId="0" applyNumberFormat="1" applyFont="1" applyFill="1" applyBorder="1" applyAlignment="1" applyProtection="1">
      <alignment horizontal="center" vertical="center"/>
    </xf>
    <xf numFmtId="170" fontId="61" fillId="0" borderId="29" xfId="0" applyNumberFormat="1" applyFont="1" applyBorder="1" applyAlignment="1" applyProtection="1">
      <alignment horizontal="center" vertical="center"/>
    </xf>
    <xf numFmtId="170" fontId="61" fillId="0" borderId="26" xfId="0" applyNumberFormat="1" applyFont="1" applyBorder="1" applyAlignment="1" applyProtection="1">
      <alignment horizontal="center" vertical="center"/>
    </xf>
    <xf numFmtId="170" fontId="61" fillId="0" borderId="5" xfId="0" applyNumberFormat="1" applyFont="1" applyBorder="1" applyAlignment="1" applyProtection="1">
      <alignment horizontal="center" vertical="center"/>
    </xf>
    <xf numFmtId="9" fontId="61" fillId="4" borderId="11" xfId="0" applyNumberFormat="1" applyFont="1" applyFill="1" applyBorder="1" applyAlignment="1" applyProtection="1">
      <alignment horizontal="center" vertical="center"/>
    </xf>
    <xf numFmtId="9" fontId="61" fillId="0" borderId="12" xfId="0" applyNumberFormat="1" applyFont="1" applyBorder="1" applyAlignment="1" applyProtection="1">
      <alignment horizontal="center" vertical="center"/>
    </xf>
    <xf numFmtId="171" fontId="61" fillId="0" borderId="12" xfId="0" applyNumberFormat="1" applyFont="1" applyBorder="1" applyAlignment="1" applyProtection="1">
      <alignment horizontal="center" vertical="center"/>
    </xf>
    <xf numFmtId="9" fontId="61" fillId="0" borderId="26" xfId="0" applyNumberFormat="1" applyFont="1" applyBorder="1" applyAlignment="1" applyProtection="1">
      <alignment horizontal="center" vertical="center"/>
    </xf>
    <xf numFmtId="9" fontId="61" fillId="0" borderId="0" xfId="0" applyNumberFormat="1" applyFont="1" applyBorder="1" applyAlignment="1" applyProtection="1">
      <alignment horizontal="center" vertical="center"/>
    </xf>
    <xf numFmtId="171" fontId="61" fillId="0" borderId="0" xfId="0" applyNumberFormat="1" applyFont="1" applyBorder="1" applyAlignment="1" applyProtection="1">
      <alignment horizontal="center" vertical="center"/>
    </xf>
    <xf numFmtId="1" fontId="61" fillId="0" borderId="26" xfId="0" applyNumberFormat="1" applyFont="1" applyFill="1" applyBorder="1" applyAlignment="1" applyProtection="1">
      <alignment horizontal="center" vertical="center"/>
    </xf>
    <xf numFmtId="1" fontId="61" fillId="0" borderId="0" xfId="0" applyNumberFormat="1" applyFont="1" applyFill="1" applyBorder="1" applyAlignment="1" applyProtection="1">
      <alignment horizontal="center" vertical="center"/>
    </xf>
    <xf numFmtId="1" fontId="61" fillId="0" borderId="85" xfId="0" applyNumberFormat="1" applyFont="1" applyFill="1" applyBorder="1" applyAlignment="1" applyProtection="1">
      <alignment horizontal="center" vertical="center"/>
    </xf>
    <xf numFmtId="1" fontId="61" fillId="0" borderId="84" xfId="0" applyNumberFormat="1" applyFont="1" applyFill="1" applyBorder="1" applyAlignment="1" applyProtection="1">
      <alignment horizontal="center" vertical="center"/>
    </xf>
    <xf numFmtId="1" fontId="61" fillId="0" borderId="84" xfId="0" applyNumberFormat="1" applyFont="1" applyBorder="1" applyAlignment="1" applyProtection="1">
      <alignment horizontal="center" vertical="center"/>
    </xf>
    <xf numFmtId="1" fontId="61" fillId="0" borderId="0" xfId="0" applyNumberFormat="1" applyFont="1" applyBorder="1" applyAlignment="1" applyProtection="1">
      <alignment horizontal="center" vertical="center"/>
    </xf>
    <xf numFmtId="170" fontId="61" fillId="0" borderId="0" xfId="0" applyNumberFormat="1" applyFont="1" applyBorder="1" applyAlignment="1" applyProtection="1">
      <alignment horizontal="center" vertical="center"/>
    </xf>
    <xf numFmtId="1" fontId="61" fillId="0" borderId="26" xfId="0" applyNumberFormat="1" applyFont="1" applyBorder="1" applyAlignment="1" applyProtection="1">
      <alignment horizontal="center" vertical="center"/>
    </xf>
    <xf numFmtId="0" fontId="24" fillId="0" borderId="55" xfId="0" applyFont="1" applyBorder="1" applyProtection="1"/>
    <xf numFmtId="0" fontId="24" fillId="0" borderId="47" xfId="0" applyFont="1" applyBorder="1" applyProtection="1"/>
    <xf numFmtId="0" fontId="24" fillId="0" borderId="0" xfId="0" applyFont="1" applyBorder="1" applyProtection="1"/>
    <xf numFmtId="0" fontId="24" fillId="0" borderId="57" xfId="0" applyFont="1" applyBorder="1" applyProtection="1"/>
    <xf numFmtId="0" fontId="51" fillId="0" borderId="0" xfId="152" applyFont="1" applyFill="1" applyBorder="1" applyAlignment="1" applyProtection="1">
      <alignment horizontal="center" vertical="top" wrapText="1"/>
    </xf>
    <xf numFmtId="0" fontId="24" fillId="0" borderId="11" xfId="0" applyFont="1" applyFill="1" applyBorder="1" applyAlignment="1" applyProtection="1"/>
    <xf numFmtId="0" fontId="24" fillId="0" borderId="12" xfId="0" applyFont="1" applyFill="1" applyBorder="1" applyAlignment="1" applyProtection="1"/>
    <xf numFmtId="0" fontId="24" fillId="0" borderId="26" xfId="0" applyFont="1" applyFill="1" applyBorder="1" applyAlignment="1" applyProtection="1"/>
    <xf numFmtId="0" fontId="24" fillId="0" borderId="0" xfId="0" applyFont="1" applyFill="1" applyBorder="1" applyAlignment="1" applyProtection="1"/>
    <xf numFmtId="0" fontId="24" fillId="0" borderId="27" xfId="0" applyFont="1" applyFill="1" applyBorder="1" applyAlignment="1" applyProtection="1"/>
    <xf numFmtId="0" fontId="24" fillId="0" borderId="5" xfId="0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170" fontId="54" fillId="4" borderId="0" xfId="0" applyNumberFormat="1" applyFont="1" applyFill="1" applyBorder="1" applyAlignment="1" applyProtection="1">
      <alignment horizontal="center" vertical="center" wrapText="1"/>
    </xf>
    <xf numFmtId="175" fontId="54" fillId="4" borderId="0" xfId="0" applyNumberFormat="1" applyFont="1" applyFill="1" applyBorder="1" applyAlignment="1" applyProtection="1">
      <alignment horizontal="center" vertical="center" wrapText="1"/>
    </xf>
    <xf numFmtId="1" fontId="54" fillId="4" borderId="0" xfId="0" applyNumberFormat="1" applyFont="1" applyFill="1" applyBorder="1" applyAlignment="1" applyProtection="1">
      <alignment horizontal="center" vertical="center" wrapText="1"/>
    </xf>
    <xf numFmtId="170" fontId="54" fillId="4" borderId="48" xfId="0" applyNumberFormat="1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/>
    </xf>
    <xf numFmtId="170" fontId="54" fillId="4" borderId="0" xfId="0" applyNumberFormat="1" applyFont="1" applyFill="1" applyBorder="1" applyAlignment="1" applyProtection="1">
      <alignment horizontal="center" vertical="center"/>
    </xf>
    <xf numFmtId="0" fontId="54" fillId="0" borderId="0" xfId="0" applyFont="1" applyFill="1" applyBorder="1" applyAlignment="1" applyProtection="1">
      <alignment vertical="center"/>
    </xf>
    <xf numFmtId="170" fontId="54" fillId="0" borderId="0" xfId="0" applyNumberFormat="1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170" fontId="54" fillId="4" borderId="5" xfId="0" applyNumberFormat="1" applyFont="1" applyFill="1" applyBorder="1" applyAlignment="1" applyProtection="1">
      <alignment horizontal="center" vertical="center" wrapText="1"/>
    </xf>
    <xf numFmtId="0" fontId="54" fillId="0" borderId="5" xfId="0" applyFont="1" applyFill="1" applyBorder="1" applyAlignment="1" applyProtection="1">
      <alignment vertical="center"/>
    </xf>
    <xf numFmtId="4" fontId="69" fillId="4" borderId="0" xfId="0" applyNumberFormat="1" applyFont="1" applyFill="1" applyBorder="1" applyAlignment="1" applyProtection="1">
      <alignment horizontal="center" vertical="center"/>
    </xf>
    <xf numFmtId="0" fontId="69" fillId="4" borderId="0" xfId="0" applyFont="1" applyFill="1" applyBorder="1" applyAlignment="1" applyProtection="1">
      <alignment horizontal="center" vertical="center"/>
    </xf>
    <xf numFmtId="0" fontId="69" fillId="4" borderId="5" xfId="0" applyFont="1" applyFill="1" applyBorder="1" applyAlignment="1" applyProtection="1">
      <alignment horizontal="center" vertical="center"/>
    </xf>
    <xf numFmtId="12" fontId="69" fillId="4" borderId="5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175" fontId="54" fillId="0" borderId="0" xfId="0" applyNumberFormat="1" applyFont="1" applyFill="1" applyBorder="1" applyAlignment="1" applyProtection="1">
      <alignment horizontal="center" vertical="center" wrapText="1"/>
    </xf>
    <xf numFmtId="170" fontId="54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/>
    </xf>
    <xf numFmtId="0" fontId="24" fillId="0" borderId="48" xfId="0" applyFont="1" applyBorder="1" applyAlignment="1" applyProtection="1">
      <alignment horizontal="center"/>
    </xf>
    <xf numFmtId="0" fontId="0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0" fontId="55" fillId="6" borderId="51" xfId="75" applyNumberFormat="1" applyFont="1" applyFill="1" applyBorder="1" applyAlignment="1" applyProtection="1">
      <alignment horizontal="center"/>
      <protection locked="0"/>
    </xf>
    <xf numFmtId="0" fontId="55" fillId="6" borderId="44" xfId="75" applyNumberFormat="1" applyFont="1" applyFill="1" applyBorder="1" applyAlignment="1" applyProtection="1">
      <alignment horizontal="center"/>
      <protection locked="0"/>
    </xf>
    <xf numFmtId="0" fontId="54" fillId="4" borderId="0" xfId="0" applyFont="1" applyFill="1" applyBorder="1" applyAlignment="1" applyProtection="1">
      <alignment horizontal="center" vertical="center"/>
    </xf>
    <xf numFmtId="1" fontId="54" fillId="4" borderId="0" xfId="0" applyNumberFormat="1" applyFont="1" applyFill="1" applyBorder="1" applyAlignment="1" applyProtection="1">
      <alignment horizontal="center" vertical="center"/>
    </xf>
    <xf numFmtId="0" fontId="66" fillId="15" borderId="0" xfId="90" applyFont="1" applyFill="1" applyBorder="1" applyAlignment="1" applyProtection="1">
      <alignment vertical="center" wrapText="1"/>
    </xf>
    <xf numFmtId="0" fontId="54" fillId="0" borderId="0" xfId="0" applyFont="1" applyFill="1" applyBorder="1" applyAlignment="1" applyProtection="1">
      <alignment horizontal="center" vertical="center"/>
    </xf>
    <xf numFmtId="0" fontId="66" fillId="15" borderId="0" xfId="90" applyFont="1" applyFill="1" applyBorder="1" applyAlignment="1" applyProtection="1">
      <alignment horizontal="center" vertical="center" wrapText="1"/>
    </xf>
    <xf numFmtId="0" fontId="54" fillId="4" borderId="26" xfId="0" applyFont="1" applyFill="1" applyBorder="1" applyAlignment="1" applyProtection="1">
      <alignment horizontal="center" vertical="center"/>
    </xf>
    <xf numFmtId="0" fontId="54" fillId="4" borderId="31" xfId="0" applyFont="1" applyFill="1" applyBorder="1" applyAlignment="1" applyProtection="1">
      <alignment horizontal="center" vertical="center"/>
    </xf>
    <xf numFmtId="1" fontId="54" fillId="4" borderId="31" xfId="0" applyNumberFormat="1" applyFont="1" applyFill="1" applyBorder="1" applyAlignment="1" applyProtection="1">
      <alignment horizontal="center" vertical="center"/>
    </xf>
    <xf numFmtId="0" fontId="66" fillId="15" borderId="26" xfId="90" applyFont="1" applyFill="1" applyBorder="1" applyAlignment="1" applyProtection="1">
      <alignment vertical="center" wrapText="1"/>
    </xf>
    <xf numFmtId="0" fontId="66" fillId="15" borderId="31" xfId="90" applyFont="1" applyFill="1" applyBorder="1" applyAlignment="1" applyProtection="1">
      <alignment vertical="center" wrapText="1"/>
    </xf>
    <xf numFmtId="170" fontId="54" fillId="4" borderId="26" xfId="0" applyNumberFormat="1" applyFont="1" applyFill="1" applyBorder="1" applyAlignment="1" applyProtection="1">
      <alignment horizontal="center" vertical="center"/>
    </xf>
    <xf numFmtId="170" fontId="54" fillId="4" borderId="31" xfId="0" applyNumberFormat="1" applyFont="1" applyFill="1" applyBorder="1" applyAlignment="1" applyProtection="1">
      <alignment horizontal="center" vertical="center"/>
    </xf>
    <xf numFmtId="0" fontId="54" fillId="0" borderId="26" xfId="0" applyFont="1" applyFill="1" applyBorder="1" applyAlignment="1" applyProtection="1">
      <alignment horizontal="center" vertical="center"/>
    </xf>
    <xf numFmtId="0" fontId="54" fillId="0" borderId="31" xfId="0" applyFont="1" applyFill="1" applyBorder="1" applyAlignment="1" applyProtection="1">
      <alignment horizontal="center" vertical="center"/>
    </xf>
    <xf numFmtId="0" fontId="66" fillId="15" borderId="27" xfId="90" applyFont="1" applyFill="1" applyBorder="1" applyAlignment="1" applyProtection="1">
      <alignment horizontal="center" vertical="center" wrapText="1"/>
    </xf>
    <xf numFmtId="0" fontId="66" fillId="15" borderId="5" xfId="90" applyFont="1" applyFill="1" applyBorder="1" applyAlignment="1" applyProtection="1">
      <alignment horizontal="center" vertical="center" wrapText="1"/>
    </xf>
    <xf numFmtId="0" fontId="66" fillId="15" borderId="29" xfId="90" applyFont="1" applyFill="1" applyBorder="1" applyAlignment="1" applyProtection="1">
      <alignment horizontal="center" vertical="center" wrapText="1"/>
    </xf>
    <xf numFmtId="0" fontId="66" fillId="4" borderId="0" xfId="90" applyFont="1" applyFill="1" applyBorder="1" applyAlignment="1" applyProtection="1">
      <alignment horizontal="center" vertical="center" wrapText="1"/>
    </xf>
    <xf numFmtId="0" fontId="54" fillId="4" borderId="0" xfId="90" applyFont="1" applyFill="1" applyBorder="1" applyAlignment="1" applyProtection="1">
      <alignment horizontal="center" vertical="center" wrapText="1"/>
    </xf>
    <xf numFmtId="170" fontId="54" fillId="4" borderId="0" xfId="90" applyNumberFormat="1" applyFont="1" applyFill="1" applyBorder="1" applyAlignment="1" applyProtection="1">
      <alignment horizontal="center" vertical="center" wrapText="1"/>
    </xf>
    <xf numFmtId="0" fontId="66" fillId="4" borderId="26" xfId="90" applyFont="1" applyFill="1" applyBorder="1" applyAlignment="1" applyProtection="1">
      <alignment horizontal="center" vertical="center" wrapText="1"/>
    </xf>
    <xf numFmtId="0" fontId="66" fillId="4" borderId="31" xfId="90" applyFont="1" applyFill="1" applyBorder="1" applyAlignment="1" applyProtection="1">
      <alignment horizontal="center" vertical="center" wrapText="1"/>
    </xf>
    <xf numFmtId="0" fontId="54" fillId="4" borderId="26" xfId="90" applyFont="1" applyFill="1" applyBorder="1" applyAlignment="1" applyProtection="1">
      <alignment horizontal="center" vertical="center" wrapText="1"/>
    </xf>
    <xf numFmtId="0" fontId="54" fillId="4" borderId="31" xfId="90" applyFont="1" applyFill="1" applyBorder="1" applyAlignment="1" applyProtection="1">
      <alignment horizontal="center" vertical="center" wrapText="1"/>
    </xf>
    <xf numFmtId="0" fontId="66" fillId="15" borderId="26" xfId="90" applyFont="1" applyFill="1" applyBorder="1" applyAlignment="1" applyProtection="1">
      <alignment horizontal="center" vertical="center" wrapText="1"/>
    </xf>
    <xf numFmtId="0" fontId="66" fillId="15" borderId="31" xfId="90" applyFont="1" applyFill="1" applyBorder="1" applyAlignment="1" applyProtection="1">
      <alignment horizontal="center" vertical="center" wrapText="1"/>
    </xf>
    <xf numFmtId="170" fontId="54" fillId="4" borderId="26" xfId="90" applyNumberFormat="1" applyFont="1" applyFill="1" applyBorder="1" applyAlignment="1" applyProtection="1">
      <alignment horizontal="center" vertical="center" wrapText="1"/>
    </xf>
    <xf numFmtId="170" fontId="54" fillId="4" borderId="31" xfId="90" applyNumberFormat="1" applyFont="1" applyFill="1" applyBorder="1" applyAlignment="1" applyProtection="1">
      <alignment horizontal="center" vertical="center" wrapText="1"/>
    </xf>
    <xf numFmtId="1" fontId="54" fillId="4" borderId="26" xfId="90" applyNumberFormat="1" applyFont="1" applyFill="1" applyBorder="1" applyAlignment="1" applyProtection="1">
      <alignment horizontal="center" vertical="center" wrapText="1"/>
    </xf>
    <xf numFmtId="1" fontId="54" fillId="4" borderId="0" xfId="90" applyNumberFormat="1" applyFont="1" applyFill="1" applyBorder="1" applyAlignment="1" applyProtection="1">
      <alignment horizontal="center" vertical="center" wrapText="1"/>
    </xf>
    <xf numFmtId="0" fontId="54" fillId="4" borderId="71" xfId="90" applyFont="1" applyFill="1" applyBorder="1" applyAlignment="1" applyProtection="1">
      <alignment vertical="center" wrapText="1"/>
    </xf>
    <xf numFmtId="0" fontId="54" fillId="4" borderId="59" xfId="90" applyFont="1" applyFill="1" applyBorder="1" applyAlignment="1" applyProtection="1">
      <alignment vertical="center" wrapText="1"/>
    </xf>
    <xf numFmtId="0" fontId="54" fillId="4" borderId="72" xfId="90" applyFont="1" applyFill="1" applyBorder="1" applyAlignment="1" applyProtection="1">
      <alignment vertical="center" wrapText="1"/>
    </xf>
    <xf numFmtId="0" fontId="66" fillId="15" borderId="71" xfId="90" applyFont="1" applyFill="1" applyBorder="1" applyAlignment="1" applyProtection="1">
      <alignment vertical="center" wrapText="1"/>
    </xf>
    <xf numFmtId="0" fontId="66" fillId="15" borderId="119" xfId="90" applyFont="1" applyFill="1" applyBorder="1" applyAlignment="1" applyProtection="1">
      <alignment vertical="center" wrapText="1"/>
    </xf>
    <xf numFmtId="0" fontId="54" fillId="4" borderId="119" xfId="90" applyFont="1" applyFill="1" applyBorder="1" applyAlignment="1" applyProtection="1">
      <alignment vertical="center" wrapText="1"/>
    </xf>
    <xf numFmtId="0" fontId="54" fillId="4" borderId="121" xfId="0" applyFont="1" applyFill="1" applyBorder="1" applyAlignment="1" applyProtection="1">
      <alignment horizontal="center" vertical="center"/>
    </xf>
    <xf numFmtId="0" fontId="54" fillId="4" borderId="122" xfId="0" applyFont="1" applyFill="1" applyBorder="1" applyAlignment="1" applyProtection="1">
      <alignment horizontal="center" vertical="center"/>
    </xf>
    <xf numFmtId="170" fontId="54" fillId="4" borderId="122" xfId="0" applyNumberFormat="1" applyFont="1" applyFill="1" applyBorder="1" applyAlignment="1" applyProtection="1">
      <alignment horizontal="center" vertical="center"/>
    </xf>
    <xf numFmtId="1" fontId="54" fillId="4" borderId="122" xfId="0" applyNumberFormat="1" applyFont="1" applyFill="1" applyBorder="1" applyAlignment="1" applyProtection="1">
      <alignment horizontal="center" vertical="center"/>
    </xf>
    <xf numFmtId="0" fontId="54" fillId="4" borderId="123" xfId="90" applyFont="1" applyFill="1" applyBorder="1" applyAlignment="1" applyProtection="1">
      <alignment horizontal="center" vertical="center" wrapText="1"/>
    </xf>
    <xf numFmtId="0" fontId="43" fillId="0" borderId="12" xfId="0" applyFont="1" applyBorder="1" applyAlignment="1" applyProtection="1">
      <alignment vertical="center"/>
    </xf>
    <xf numFmtId="0" fontId="43" fillId="0" borderId="5" xfId="0" applyFont="1" applyBorder="1" applyAlignment="1" applyProtection="1">
      <alignment vertical="top"/>
    </xf>
    <xf numFmtId="0" fontId="43" fillId="0" borderId="95" xfId="0" applyFont="1" applyBorder="1" applyAlignment="1" applyProtection="1">
      <alignment vertical="top"/>
    </xf>
    <xf numFmtId="1" fontId="63" fillId="4" borderId="125" xfId="0" applyNumberFormat="1" applyFont="1" applyFill="1" applyBorder="1" applyAlignment="1" applyProtection="1">
      <alignment horizontal="center" vertical="center"/>
    </xf>
    <xf numFmtId="1" fontId="63" fillId="4" borderId="126" xfId="0" applyNumberFormat="1" applyFont="1" applyFill="1" applyBorder="1" applyAlignment="1" applyProtection="1">
      <alignment horizontal="center" vertical="center"/>
    </xf>
    <xf numFmtId="170" fontId="63" fillId="4" borderId="126" xfId="0" applyNumberFormat="1" applyFont="1" applyFill="1" applyBorder="1" applyAlignment="1" applyProtection="1">
      <alignment horizontal="center" vertical="center"/>
    </xf>
    <xf numFmtId="1" fontId="61" fillId="0" borderId="125" xfId="0" applyNumberFormat="1" applyFont="1" applyFill="1" applyBorder="1" applyAlignment="1" applyProtection="1">
      <alignment horizontal="center" vertical="center"/>
    </xf>
    <xf numFmtId="1" fontId="61" fillId="0" borderId="126" xfId="0" applyNumberFormat="1" applyFont="1" applyFill="1" applyBorder="1" applyAlignment="1" applyProtection="1">
      <alignment horizontal="center" vertical="center"/>
    </xf>
    <xf numFmtId="0" fontId="6" fillId="0" borderId="0" xfId="82" applyFont="1" applyFill="1" applyProtection="1"/>
    <xf numFmtId="0" fontId="24" fillId="0" borderId="67" xfId="0" applyFont="1" applyBorder="1" applyAlignment="1" applyProtection="1">
      <alignment horizontal="center" vertical="center"/>
    </xf>
    <xf numFmtId="0" fontId="24" fillId="0" borderId="12" xfId="0" applyFont="1" applyBorder="1" applyAlignment="1" applyProtection="1">
      <alignment horizontal="center" vertical="center"/>
    </xf>
    <xf numFmtId="0" fontId="24" fillId="0" borderId="30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24" fillId="0" borderId="47" xfId="0" applyFont="1" applyBorder="1" applyAlignment="1" applyProtection="1">
      <alignment horizontal="center" vertical="center"/>
    </xf>
    <xf numFmtId="0" fontId="24" fillId="0" borderId="31" xfId="0" applyFont="1" applyBorder="1" applyProtection="1"/>
    <xf numFmtId="0" fontId="24" fillId="0" borderId="31" xfId="0" applyFont="1" applyBorder="1" applyAlignment="1" applyProtection="1">
      <alignment horizontal="center" vertical="center"/>
    </xf>
    <xf numFmtId="0" fontId="24" fillId="0" borderId="26" xfId="0" applyFont="1" applyBorder="1" applyAlignment="1" applyProtection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 applyProtection="1">
      <alignment horizontal="center" vertical="center" wrapText="1"/>
    </xf>
    <xf numFmtId="0" fontId="9" fillId="4" borderId="55" xfId="9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vertical="center"/>
    </xf>
    <xf numFmtId="0" fontId="86" fillId="0" borderId="47" xfId="0" applyFont="1" applyBorder="1" applyAlignment="1" applyProtection="1">
      <alignment horizontal="center" vertical="center"/>
    </xf>
    <xf numFmtId="0" fontId="86" fillId="0" borderId="0" xfId="0" applyFont="1" applyAlignment="1" applyProtection="1">
      <alignment horizontal="center" vertical="center"/>
    </xf>
    <xf numFmtId="175" fontId="9" fillId="16" borderId="26" xfId="0" applyNumberFormat="1" applyFont="1" applyFill="1" applyBorder="1" applyAlignment="1" applyProtection="1">
      <alignment vertical="center"/>
    </xf>
    <xf numFmtId="175" fontId="9" fillId="16" borderId="0" xfId="0" applyNumberFormat="1" applyFont="1" applyFill="1" applyBorder="1" applyAlignment="1" applyProtection="1">
      <alignment vertical="center"/>
    </xf>
    <xf numFmtId="175" fontId="9" fillId="16" borderId="31" xfId="0" applyNumberFormat="1" applyFont="1" applyFill="1" applyBorder="1" applyAlignment="1" applyProtection="1">
      <alignment vertical="center"/>
    </xf>
    <xf numFmtId="175" fontId="9" fillId="16" borderId="27" xfId="0" applyNumberFormat="1" applyFont="1" applyFill="1" applyBorder="1" applyAlignment="1" applyProtection="1">
      <alignment vertical="center"/>
    </xf>
    <xf numFmtId="175" fontId="9" fillId="16" borderId="5" xfId="0" applyNumberFormat="1" applyFont="1" applyFill="1" applyBorder="1" applyAlignment="1" applyProtection="1">
      <alignment vertical="center"/>
    </xf>
    <xf numFmtId="175" fontId="9" fillId="16" borderId="29" xfId="0" applyNumberFormat="1" applyFont="1" applyFill="1" applyBorder="1" applyAlignment="1" applyProtection="1">
      <alignment vertical="center"/>
    </xf>
    <xf numFmtId="170" fontId="24" fillId="0" borderId="0" xfId="0" applyNumberFormat="1" applyFont="1" applyProtection="1">
      <protection locked="0"/>
    </xf>
    <xf numFmtId="0" fontId="24" fillId="0" borderId="5" xfId="0" applyFont="1" applyBorder="1" applyAlignment="1" applyProtection="1">
      <alignment horizontal="center"/>
      <protection locked="0"/>
    </xf>
    <xf numFmtId="0" fontId="24" fillId="0" borderId="29" xfId="0" applyFont="1" applyBorder="1" applyAlignment="1" applyProtection="1">
      <alignment horizontal="center"/>
      <protection locked="0"/>
    </xf>
    <xf numFmtId="0" fontId="8" fillId="14" borderId="55" xfId="0" applyFont="1" applyFill="1" applyBorder="1" applyAlignment="1" applyProtection="1">
      <alignment vertical="center"/>
    </xf>
    <xf numFmtId="0" fontId="8" fillId="14" borderId="56" xfId="0" applyFont="1" applyFill="1" applyBorder="1" applyAlignment="1" applyProtection="1">
      <alignment vertical="center"/>
    </xf>
    <xf numFmtId="0" fontId="8" fillId="14" borderId="0" xfId="0" applyFont="1" applyFill="1" applyBorder="1" applyAlignment="1" applyProtection="1">
      <alignment vertical="center"/>
    </xf>
    <xf numFmtId="0" fontId="8" fillId="14" borderId="57" xfId="0" applyFont="1" applyFill="1" applyBorder="1" applyAlignment="1" applyProtection="1">
      <alignment vertical="center"/>
    </xf>
    <xf numFmtId="12" fontId="69" fillId="4" borderId="0" xfId="0" applyNumberFormat="1" applyFont="1" applyFill="1" applyBorder="1" applyAlignment="1" applyProtection="1">
      <alignment vertical="center"/>
    </xf>
    <xf numFmtId="0" fontId="24" fillId="0" borderId="3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3" xfId="0" applyFont="1" applyBorder="1" applyProtection="1">
      <protection locked="0"/>
    </xf>
    <xf numFmtId="0" fontId="24" fillId="0" borderId="1" xfId="0" applyFont="1" applyBorder="1" applyProtection="1">
      <protection locked="0"/>
    </xf>
    <xf numFmtId="0" fontId="24" fillId="0" borderId="4" xfId="0" applyFont="1" applyBorder="1" applyProtection="1">
      <protection locked="0"/>
    </xf>
    <xf numFmtId="0" fontId="69" fillId="4" borderId="0" xfId="0" applyFont="1" applyFill="1" applyBorder="1" applyAlignment="1" applyProtection="1">
      <alignment vertical="center" wrapText="1"/>
    </xf>
    <xf numFmtId="0" fontId="69" fillId="4" borderId="5" xfId="0" applyFont="1" applyFill="1" applyBorder="1" applyAlignment="1" applyProtection="1">
      <alignment vertical="center" wrapText="1"/>
    </xf>
    <xf numFmtId="1" fontId="69" fillId="4" borderId="0" xfId="0" applyNumberFormat="1" applyFont="1" applyFill="1" applyBorder="1" applyAlignment="1" applyProtection="1">
      <alignment vertical="center"/>
    </xf>
    <xf numFmtId="0" fontId="68" fillId="0" borderId="31" xfId="0" applyFont="1" applyBorder="1" applyProtection="1">
      <protection locked="0"/>
    </xf>
    <xf numFmtId="0" fontId="0" fillId="0" borderId="0" xfId="0" applyAlignment="1">
      <alignment horizontal="center" vertical="center"/>
    </xf>
    <xf numFmtId="0" fontId="55" fillId="4" borderId="0" xfId="75" applyNumberFormat="1" applyFont="1" applyFill="1" applyBorder="1" applyAlignment="1" applyProtection="1">
      <alignment horizontal="center"/>
      <protection locked="0"/>
    </xf>
    <xf numFmtId="0" fontId="55" fillId="4" borderId="0" xfId="75" applyNumberFormat="1" applyFont="1" applyFill="1" applyBorder="1" applyProtection="1">
      <protection locked="0"/>
    </xf>
    <xf numFmtId="0" fontId="24" fillId="0" borderId="9" xfId="0" applyFont="1" applyBorder="1" applyAlignment="1" applyProtection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4" fillId="0" borderId="10" xfId="0" applyFont="1" applyBorder="1" applyAlignment="1" applyProtection="1">
      <alignment horizontal="center" vertical="center"/>
    </xf>
    <xf numFmtId="0" fontId="32" fillId="0" borderId="9" xfId="0" applyFont="1" applyBorder="1" applyAlignment="1" applyProtection="1">
      <alignment horizontal="center" vertical="center"/>
    </xf>
    <xf numFmtId="0" fontId="28" fillId="4" borderId="9" xfId="0" quotePrefix="1" applyFont="1" applyFill="1" applyBorder="1" applyAlignment="1">
      <alignment horizontal="center" vertical="center" wrapText="1"/>
    </xf>
    <xf numFmtId="0" fontId="28" fillId="4" borderId="0" xfId="0" quotePrefix="1" applyFont="1" applyFill="1" applyBorder="1" applyAlignment="1" applyProtection="1">
      <alignment horizontal="center" vertical="center" wrapText="1"/>
    </xf>
    <xf numFmtId="0" fontId="24" fillId="0" borderId="9" xfId="0" applyNumberFormat="1" applyFont="1" applyBorder="1" applyAlignment="1" applyProtection="1">
      <alignment horizontal="center" vertical="center"/>
    </xf>
    <xf numFmtId="0" fontId="24" fillId="0" borderId="0" xfId="0" applyNumberFormat="1" applyFont="1" applyBorder="1" applyAlignment="1" applyProtection="1">
      <alignment horizontal="center" vertical="center"/>
    </xf>
    <xf numFmtId="0" fontId="73" fillId="0" borderId="55" xfId="0" applyFont="1" applyBorder="1" applyAlignment="1" applyProtection="1">
      <alignment horizontal="center" vertical="center" wrapText="1"/>
    </xf>
    <xf numFmtId="170" fontId="61" fillId="0" borderId="12" xfId="0" applyNumberFormat="1" applyFont="1" applyBorder="1" applyAlignment="1" applyProtection="1">
      <alignment horizontal="center" vertical="center" wrapText="1"/>
    </xf>
    <xf numFmtId="170" fontId="61" fillId="0" borderId="0" xfId="0" applyNumberFormat="1" applyFont="1" applyBorder="1" applyAlignment="1" applyProtection="1">
      <alignment horizontal="center" vertical="center" wrapText="1"/>
    </xf>
    <xf numFmtId="170" fontId="61" fillId="0" borderId="0" xfId="0" applyNumberFormat="1" applyFont="1" applyBorder="1" applyAlignment="1" applyProtection="1">
      <alignment horizontal="center" vertical="center"/>
    </xf>
    <xf numFmtId="0" fontId="44" fillId="2" borderId="29" xfId="90" applyFont="1" applyFill="1" applyBorder="1" applyAlignment="1" applyProtection="1">
      <alignment horizontal="center" vertical="center" wrapText="1"/>
    </xf>
    <xf numFmtId="0" fontId="70" fillId="4" borderId="59" xfId="0" applyFont="1" applyFill="1" applyBorder="1" applyAlignment="1" applyProtection="1">
      <alignment horizontal="left" vertical="center"/>
    </xf>
    <xf numFmtId="0" fontId="54" fillId="4" borderId="59" xfId="90" applyFont="1" applyFill="1" applyBorder="1" applyAlignment="1" applyProtection="1">
      <alignment horizontal="center" vertical="center" wrapText="1"/>
    </xf>
    <xf numFmtId="0" fontId="8" fillId="4" borderId="59" xfId="0" applyFont="1" applyFill="1" applyBorder="1" applyAlignment="1" applyProtection="1">
      <alignment horizontal="left" vertical="center"/>
    </xf>
    <xf numFmtId="0" fontId="43" fillId="0" borderId="31" xfId="0" applyFont="1" applyBorder="1" applyAlignment="1" applyProtection="1">
      <alignment horizontal="center" vertical="top"/>
    </xf>
    <xf numFmtId="170" fontId="60" fillId="0" borderId="0" xfId="0" applyNumberFormat="1" applyFont="1" applyBorder="1" applyAlignment="1" applyProtection="1">
      <alignment horizontal="center" vertical="center" wrapText="1"/>
      <protection locked="0"/>
    </xf>
    <xf numFmtId="170" fontId="60" fillId="0" borderId="5" xfId="0" applyNumberFormat="1" applyFont="1" applyBorder="1" applyAlignment="1" applyProtection="1">
      <alignment horizontal="center" vertical="center"/>
    </xf>
    <xf numFmtId="0" fontId="54" fillId="4" borderId="71" xfId="90" applyFont="1" applyFill="1" applyBorder="1" applyAlignment="1" applyProtection="1">
      <alignment horizontal="center" vertical="center" wrapText="1"/>
    </xf>
    <xf numFmtId="0" fontId="43" fillId="0" borderId="90" xfId="0" applyFont="1" applyBorder="1" applyAlignment="1" applyProtection="1">
      <alignment horizontal="center" vertical="center"/>
    </xf>
    <xf numFmtId="0" fontId="73" fillId="0" borderId="48" xfId="0" applyFont="1" applyBorder="1" applyAlignment="1" applyProtection="1">
      <alignment horizontal="center" vertical="center" wrapText="1"/>
    </xf>
    <xf numFmtId="171" fontId="43" fillId="0" borderId="0" xfId="0" applyNumberFormat="1" applyFont="1" applyBorder="1" applyAlignment="1" applyProtection="1">
      <alignment vertical="center"/>
    </xf>
    <xf numFmtId="0" fontId="73" fillId="0" borderId="107" xfId="0" applyFont="1" applyBorder="1" applyAlignment="1" applyProtection="1">
      <alignment horizontal="center" vertical="center" textRotation="90" wrapText="1"/>
    </xf>
    <xf numFmtId="1" fontId="61" fillId="0" borderId="27" xfId="0" applyNumberFormat="1" applyFont="1" applyBorder="1" applyAlignment="1" applyProtection="1">
      <alignment horizontal="center" vertical="center"/>
    </xf>
    <xf numFmtId="1" fontId="61" fillId="0" borderId="5" xfId="0" applyNumberFormat="1" applyFont="1" applyBorder="1" applyAlignment="1" applyProtection="1">
      <alignment horizontal="center" vertical="center"/>
    </xf>
    <xf numFmtId="0" fontId="8" fillId="4" borderId="110" xfId="0" applyFont="1" applyFill="1" applyBorder="1" applyAlignment="1" applyProtection="1">
      <alignment horizontal="left" vertical="center"/>
    </xf>
    <xf numFmtId="0" fontId="66" fillId="4" borderId="60" xfId="90" applyFont="1" applyFill="1" applyBorder="1" applyAlignment="1" applyProtection="1">
      <alignment horizontal="center" vertical="center" wrapText="1"/>
    </xf>
    <xf numFmtId="0" fontId="54" fillId="4" borderId="135" xfId="90" applyFont="1" applyFill="1" applyBorder="1" applyAlignment="1" applyProtection="1">
      <alignment horizontal="center" vertical="center" wrapText="1"/>
    </xf>
    <xf numFmtId="0" fontId="70" fillId="4" borderId="110" xfId="0" applyFont="1" applyFill="1" applyBorder="1" applyAlignment="1" applyProtection="1">
      <alignment horizontal="left" vertical="center"/>
    </xf>
    <xf numFmtId="175" fontId="8" fillId="0" borderId="136" xfId="0" applyNumberFormat="1" applyFont="1" applyFill="1" applyBorder="1" applyAlignment="1" applyProtection="1">
      <alignment horizontal="center" vertical="center"/>
    </xf>
    <xf numFmtId="170" fontId="61" fillId="0" borderId="0" xfId="0" applyNumberFormat="1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center"/>
      <protection locked="0"/>
    </xf>
    <xf numFmtId="0" fontId="24" fillId="0" borderId="5" xfId="0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center"/>
      <protection locked="0"/>
    </xf>
    <xf numFmtId="170" fontId="61" fillId="0" borderId="0" xfId="0" applyNumberFormat="1" applyFont="1" applyBorder="1" applyAlignment="1" applyProtection="1">
      <alignment horizontal="center" vertical="center"/>
    </xf>
    <xf numFmtId="0" fontId="55" fillId="0" borderId="0" xfId="75" applyNumberFormat="1" applyFont="1" applyBorder="1" applyAlignment="1" applyProtection="1">
      <alignment horizontal="left"/>
      <protection locked="0"/>
    </xf>
    <xf numFmtId="0" fontId="86" fillId="0" borderId="0" xfId="0" applyFont="1" applyBorder="1" applyAlignment="1" applyProtection="1">
      <alignment horizontal="center" vertical="center"/>
    </xf>
    <xf numFmtId="0" fontId="86" fillId="0" borderId="31" xfId="0" applyFont="1" applyBorder="1" applyAlignment="1" applyProtection="1">
      <alignment horizontal="center" vertical="center"/>
    </xf>
    <xf numFmtId="2" fontId="0" fillId="0" borderId="26" xfId="0" applyNumberFormat="1" applyFont="1" applyFill="1" applyBorder="1" applyAlignment="1" applyProtection="1">
      <alignment horizontal="center" vertical="center"/>
      <protection locked="0"/>
    </xf>
    <xf numFmtId="2" fontId="24" fillId="0" borderId="0" xfId="0" applyNumberFormat="1" applyFont="1" applyBorder="1" applyAlignment="1" applyProtection="1">
      <alignment horizontal="center"/>
      <protection locked="0"/>
    </xf>
    <xf numFmtId="0" fontId="6" fillId="0" borderId="0" xfId="78" applyProtection="1"/>
    <xf numFmtId="0" fontId="45" fillId="0" borderId="0" xfId="78" applyFont="1" applyProtection="1"/>
    <xf numFmtId="0" fontId="6" fillId="0" borderId="0" xfId="194" applyProtection="1"/>
    <xf numFmtId="0" fontId="6" fillId="0" borderId="0" xfId="78" applyAlignment="1" applyProtection="1">
      <alignment vertical="center"/>
    </xf>
    <xf numFmtId="0" fontId="6" fillId="0" borderId="0" xfId="89" applyFont="1" applyFill="1" applyAlignment="1" applyProtection="1">
      <alignment vertical="center"/>
    </xf>
    <xf numFmtId="1" fontId="8" fillId="4" borderId="0" xfId="194" applyNumberFormat="1" applyFont="1" applyFill="1" applyBorder="1" applyAlignment="1" applyProtection="1">
      <alignment vertical="center"/>
    </xf>
    <xf numFmtId="170" fontId="54" fillId="4" borderId="0" xfId="194" applyNumberFormat="1" applyFont="1" applyFill="1" applyBorder="1" applyAlignment="1" applyProtection="1">
      <protection locked="0"/>
    </xf>
    <xf numFmtId="170" fontId="54" fillId="4" borderId="0" xfId="108" applyNumberFormat="1" applyFont="1" applyFill="1" applyBorder="1" applyAlignment="1" applyProtection="1"/>
    <xf numFmtId="0" fontId="6" fillId="0" borderId="0" xfId="194" applyBorder="1" applyProtection="1"/>
    <xf numFmtId="0" fontId="6" fillId="0" borderId="26" xfId="194" applyBorder="1" applyProtection="1"/>
    <xf numFmtId="0" fontId="6" fillId="0" borderId="31" xfId="89" applyFont="1" applyFill="1" applyBorder="1" applyAlignment="1" applyProtection="1">
      <alignment vertical="center"/>
    </xf>
    <xf numFmtId="0" fontId="45" fillId="0" borderId="0" xfId="78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9" fillId="0" borderId="5" xfId="104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9" fillId="4" borderId="0" xfId="195" applyFont="1" applyFill="1" applyBorder="1" applyAlignment="1" applyProtection="1">
      <alignment horizontal="center" vertical="center"/>
      <protection locked="0"/>
    </xf>
    <xf numFmtId="0" fontId="9" fillId="4" borderId="31" xfId="195" applyFont="1" applyFill="1" applyBorder="1" applyAlignment="1" applyProtection="1">
      <alignment horizontal="center" vertical="center"/>
      <protection locked="0"/>
    </xf>
    <xf numFmtId="0" fontId="45" fillId="0" borderId="2" xfId="78" applyFont="1" applyBorder="1" applyAlignment="1" applyProtection="1">
      <alignment horizontal="center" vertical="center"/>
    </xf>
    <xf numFmtId="0" fontId="6" fillId="0" borderId="2" xfId="194" applyBorder="1" applyAlignment="1" applyProtection="1">
      <alignment horizontal="center" vertical="center"/>
    </xf>
    <xf numFmtId="0" fontId="7" fillId="0" borderId="0" xfId="194" applyFont="1" applyBorder="1" applyAlignment="1" applyProtection="1">
      <alignment horizontal="center" wrapText="1"/>
    </xf>
    <xf numFmtId="0" fontId="0" fillId="0" borderId="0" xfId="194" applyFont="1" applyBorder="1" applyProtection="1"/>
    <xf numFmtId="176" fontId="45" fillId="0" borderId="0" xfId="78" applyNumberFormat="1" applyFont="1" applyBorder="1" applyProtection="1"/>
    <xf numFmtId="0" fontId="6" fillId="0" borderId="0" xfId="78" applyFill="1" applyBorder="1" applyAlignment="1" applyProtection="1">
      <alignment vertical="center"/>
    </xf>
    <xf numFmtId="175" fontId="6" fillId="0" borderId="2" xfId="194" applyNumberFormat="1" applyBorder="1" applyAlignment="1" applyProtection="1">
      <alignment horizontal="center" vertical="center"/>
      <protection locked="0"/>
    </xf>
    <xf numFmtId="175" fontId="45" fillId="0" borderId="2" xfId="78" applyNumberFormat="1" applyFont="1" applyBorder="1" applyAlignment="1" applyProtection="1">
      <alignment horizontal="center" vertical="center"/>
      <protection locked="0"/>
    </xf>
    <xf numFmtId="175" fontId="6" fillId="0" borderId="2" xfId="78" applyNumberFormat="1" applyFill="1" applyBorder="1" applyAlignment="1" applyProtection="1">
      <alignment horizontal="center" vertical="center"/>
      <protection locked="0"/>
    </xf>
    <xf numFmtId="175" fontId="6" fillId="0" borderId="2" xfId="89" applyNumberFormat="1" applyFont="1" applyFill="1" applyBorder="1" applyAlignment="1" applyProtection="1">
      <alignment horizontal="center" vertical="center"/>
      <protection locked="0"/>
    </xf>
    <xf numFmtId="0" fontId="28" fillId="4" borderId="2" xfId="133" applyFont="1" applyFill="1" applyBorder="1" applyAlignment="1" applyProtection="1">
      <alignment horizontal="center" vertical="center" wrapText="1"/>
    </xf>
    <xf numFmtId="49" fontId="28" fillId="4" borderId="2" xfId="133" applyNumberFormat="1" applyFont="1" applyFill="1" applyBorder="1" applyAlignment="1">
      <alignment horizontal="center" vertical="center" wrapText="1"/>
    </xf>
    <xf numFmtId="0" fontId="4" fillId="0" borderId="0" xfId="133" applyBorder="1"/>
    <xf numFmtId="0" fontId="9" fillId="4" borderId="12" xfId="82" applyFont="1" applyFill="1" applyBorder="1" applyAlignment="1" applyProtection="1">
      <alignment horizontal="left" vertical="top" wrapText="1"/>
    </xf>
    <xf numFmtId="170" fontId="54" fillId="4" borderId="12" xfId="108" applyNumberFormat="1" applyFont="1" applyFill="1" applyBorder="1" applyAlignment="1" applyProtection="1"/>
    <xf numFmtId="170" fontId="54" fillId="4" borderId="12" xfId="194" applyNumberFormat="1" applyFont="1" applyFill="1" applyBorder="1" applyAlignment="1" applyProtection="1"/>
    <xf numFmtId="170" fontId="54" fillId="4" borderId="30" xfId="194" applyNumberFormat="1" applyFont="1" applyFill="1" applyBorder="1" applyAlignment="1" applyProtection="1"/>
    <xf numFmtId="0" fontId="6" fillId="0" borderId="5" xfId="194" applyBorder="1" applyProtection="1"/>
    <xf numFmtId="0" fontId="6" fillId="0" borderId="29" xfId="194" applyBorder="1" applyProtection="1"/>
    <xf numFmtId="1" fontId="45" fillId="4" borderId="0" xfId="194" applyNumberFormat="1" applyFont="1" applyFill="1" applyBorder="1" applyAlignment="1" applyProtection="1">
      <alignment horizontal="center" vertical="center"/>
    </xf>
    <xf numFmtId="0" fontId="45" fillId="0" borderId="0" xfId="194" applyFont="1" applyBorder="1" applyProtection="1"/>
    <xf numFmtId="0" fontId="9" fillId="2" borderId="2" xfId="194" applyFont="1" applyFill="1" applyBorder="1" applyAlignment="1" applyProtection="1">
      <alignment horizontal="center" vertical="center" wrapText="1"/>
    </xf>
    <xf numFmtId="0" fontId="6" fillId="0" borderId="31" xfId="194" applyBorder="1" applyProtection="1"/>
    <xf numFmtId="0" fontId="7" fillId="0" borderId="31" xfId="194" applyFont="1" applyBorder="1" applyProtection="1"/>
    <xf numFmtId="0" fontId="6" fillId="0" borderId="31" xfId="78" applyFill="1" applyBorder="1" applyAlignment="1" applyProtection="1">
      <alignment vertical="center"/>
    </xf>
    <xf numFmtId="170" fontId="54" fillId="4" borderId="31" xfId="194" applyNumberFormat="1" applyFont="1" applyFill="1" applyBorder="1" applyAlignment="1" applyProtection="1">
      <protection locked="0"/>
    </xf>
    <xf numFmtId="0" fontId="28" fillId="4" borderId="2" xfId="0" quotePrefix="1" applyFont="1" applyFill="1" applyBorder="1" applyAlignment="1" applyProtection="1">
      <alignment horizontal="center" vertical="center" wrapText="1"/>
    </xf>
    <xf numFmtId="0" fontId="6" fillId="0" borderId="27" xfId="194" applyBorder="1" applyProtection="1"/>
    <xf numFmtId="0" fontId="6" fillId="0" borderId="5" xfId="194" applyBorder="1" applyProtection="1"/>
    <xf numFmtId="0" fontId="9" fillId="4" borderId="11" xfId="82" applyFont="1" applyFill="1" applyBorder="1" applyAlignment="1" applyProtection="1">
      <alignment vertical="top" wrapText="1"/>
    </xf>
    <xf numFmtId="0" fontId="9" fillId="4" borderId="12" xfId="82" applyFont="1" applyFill="1" applyBorder="1" applyAlignment="1" applyProtection="1">
      <alignment vertical="top" wrapText="1"/>
    </xf>
    <xf numFmtId="0" fontId="9" fillId="4" borderId="27" xfId="82" applyFont="1" applyFill="1" applyBorder="1" applyAlignment="1" applyProtection="1">
      <alignment vertical="top" wrapText="1"/>
    </xf>
    <xf numFmtId="0" fontId="9" fillId="4" borderId="5" xfId="82" applyFont="1" applyFill="1" applyBorder="1" applyAlignment="1" applyProtection="1">
      <alignment vertical="top" wrapText="1"/>
    </xf>
    <xf numFmtId="170" fontId="54" fillId="4" borderId="0" xfId="194" applyNumberFormat="1" applyFont="1" applyFill="1" applyBorder="1" applyAlignment="1" applyProtection="1"/>
    <xf numFmtId="170" fontId="54" fillId="4" borderId="31" xfId="194" applyNumberFormat="1" applyFont="1" applyFill="1" applyBorder="1" applyAlignment="1" applyProtection="1"/>
    <xf numFmtId="0" fontId="9" fillId="4" borderId="26" xfId="82" applyFont="1" applyFill="1" applyBorder="1" applyAlignment="1" applyProtection="1">
      <alignment vertical="top" wrapText="1"/>
    </xf>
    <xf numFmtId="0" fontId="9" fillId="4" borderId="0" xfId="82" applyFont="1" applyFill="1" applyBorder="1" applyAlignment="1" applyProtection="1">
      <alignment horizontal="left" vertical="top" wrapText="1"/>
    </xf>
    <xf numFmtId="0" fontId="9" fillId="4" borderId="0" xfId="82" applyFont="1" applyFill="1" applyBorder="1" applyAlignment="1" applyProtection="1">
      <alignment horizontal="center" vertical="top" wrapText="1"/>
    </xf>
    <xf numFmtId="0" fontId="9" fillId="0" borderId="11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</xf>
    <xf numFmtId="0" fontId="8" fillId="0" borderId="30" xfId="0" applyFont="1" applyBorder="1" applyAlignment="1" applyProtection="1">
      <alignment vertical="center"/>
    </xf>
    <xf numFmtId="0" fontId="9" fillId="0" borderId="26" xfId="104" applyFont="1" applyBorder="1" applyAlignment="1" applyProtection="1">
      <alignment vertical="center"/>
    </xf>
    <xf numFmtId="0" fontId="9" fillId="0" borderId="0" xfId="104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</xf>
    <xf numFmtId="0" fontId="8" fillId="0" borderId="31" xfId="0" applyFont="1" applyBorder="1" applyAlignment="1" applyProtection="1">
      <alignment vertical="center"/>
    </xf>
    <xf numFmtId="0" fontId="9" fillId="0" borderId="27" xfId="104" applyFont="1" applyBorder="1" applyAlignment="1" applyProtection="1">
      <alignment vertical="center"/>
    </xf>
    <xf numFmtId="0" fontId="9" fillId="0" borderId="5" xfId="104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</xf>
    <xf numFmtId="196" fontId="8" fillId="0" borderId="5" xfId="0" applyNumberFormat="1" applyFont="1" applyBorder="1" applyAlignment="1" applyProtection="1">
      <alignment vertical="center"/>
    </xf>
    <xf numFmtId="196" fontId="8" fillId="0" borderId="29" xfId="0" applyNumberFormat="1" applyFont="1" applyBorder="1" applyAlignment="1" applyProtection="1">
      <alignment vertical="center"/>
    </xf>
    <xf numFmtId="0" fontId="6" fillId="0" borderId="0" xfId="89" applyFont="1" applyFill="1" applyBorder="1" applyAlignment="1" applyProtection="1">
      <protection locked="0"/>
    </xf>
    <xf numFmtId="0" fontId="6" fillId="0" borderId="31" xfId="89" applyFont="1" applyFill="1" applyBorder="1" applyAlignment="1" applyProtection="1">
      <protection locked="0"/>
    </xf>
    <xf numFmtId="0" fontId="92" fillId="0" borderId="5" xfId="89" applyFont="1" applyFill="1" applyBorder="1" applyAlignment="1" applyProtection="1">
      <protection locked="0"/>
    </xf>
    <xf numFmtId="0" fontId="92" fillId="0" borderId="29" xfId="89" applyFont="1" applyFill="1" applyBorder="1" applyAlignment="1" applyProtection="1">
      <protection locked="0"/>
    </xf>
    <xf numFmtId="0" fontId="9" fillId="4" borderId="0" xfId="196" applyFont="1" applyFill="1" applyBorder="1" applyAlignment="1" applyProtection="1">
      <alignment vertical="center"/>
    </xf>
    <xf numFmtId="0" fontId="44" fillId="2" borderId="9" xfId="90" applyFont="1" applyFill="1" applyBorder="1" applyAlignment="1" applyProtection="1">
      <alignment horizontal="center" vertical="center" wrapText="1"/>
    </xf>
    <xf numFmtId="0" fontId="44" fillId="2" borderId="10" xfId="90" applyFont="1" applyFill="1" applyBorder="1" applyAlignment="1" applyProtection="1">
      <alignment horizontal="center" vertical="center" wrapText="1"/>
    </xf>
    <xf numFmtId="0" fontId="44" fillId="2" borderId="7" xfId="90" applyFont="1" applyFill="1" applyBorder="1" applyAlignment="1" applyProtection="1">
      <alignment horizontal="center" vertical="center" wrapText="1"/>
    </xf>
    <xf numFmtId="0" fontId="0" fillId="2" borderId="9" xfId="0" applyFont="1" applyFill="1" applyBorder="1" applyAlignment="1" applyProtection="1">
      <alignment horizontal="center" vertical="center"/>
    </xf>
    <xf numFmtId="0" fontId="0" fillId="2" borderId="10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</xf>
    <xf numFmtId="0" fontId="45" fillId="2" borderId="9" xfId="0" applyFont="1" applyFill="1" applyBorder="1" applyAlignment="1" applyProtection="1">
      <alignment horizontal="center" vertical="center"/>
    </xf>
    <xf numFmtId="0" fontId="45" fillId="2" borderId="10" xfId="0" applyFont="1" applyFill="1" applyBorder="1" applyAlignment="1" applyProtection="1">
      <alignment horizontal="center" vertical="center"/>
    </xf>
    <xf numFmtId="0" fontId="45" fillId="2" borderId="7" xfId="0" applyFont="1" applyFill="1" applyBorder="1" applyAlignment="1" applyProtection="1">
      <alignment horizontal="center" vertical="center"/>
    </xf>
    <xf numFmtId="0" fontId="28" fillId="4" borderId="26" xfId="0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center" vertical="center" wrapText="1"/>
    </xf>
    <xf numFmtId="12" fontId="8" fillId="0" borderId="26" xfId="0" applyNumberFormat="1" applyFont="1" applyFill="1" applyBorder="1" applyAlignment="1" applyProtection="1">
      <alignment horizontal="left" vertical="center" wrapText="1"/>
      <protection locked="0"/>
    </xf>
    <xf numFmtId="12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2" fontId="8" fillId="0" borderId="31" xfId="0" applyNumberFormat="1" applyFont="1" applyFill="1" applyBorder="1" applyAlignment="1" applyProtection="1">
      <alignment horizontal="left" vertical="center" wrapText="1"/>
      <protection locked="0"/>
    </xf>
    <xf numFmtId="0" fontId="24" fillId="16" borderId="5" xfId="0" applyFont="1" applyFill="1" applyBorder="1" applyAlignment="1" applyProtection="1">
      <alignment horizontal="center"/>
    </xf>
    <xf numFmtId="0" fontId="24" fillId="16" borderId="29" xfId="0" applyFont="1" applyFill="1" applyBorder="1" applyAlignment="1" applyProtection="1">
      <alignment horizontal="center"/>
    </xf>
    <xf numFmtId="0" fontId="66" fillId="4" borderId="68" xfId="90" applyFont="1" applyFill="1" applyBorder="1" applyAlignment="1" applyProtection="1">
      <alignment horizontal="center" vertical="center" wrapText="1"/>
    </xf>
    <xf numFmtId="0" fontId="66" fillId="4" borderId="80" xfId="90" applyFont="1" applyFill="1" applyBorder="1" applyAlignment="1" applyProtection="1">
      <alignment horizontal="center" vertical="center" wrapText="1"/>
    </xf>
    <xf numFmtId="0" fontId="66" fillId="15" borderId="71" xfId="90" applyFont="1" applyFill="1" applyBorder="1" applyAlignment="1" applyProtection="1">
      <alignment horizontal="center" vertical="center" wrapText="1"/>
    </xf>
    <xf numFmtId="0" fontId="66" fillId="15" borderId="60" xfId="90" applyFont="1" applyFill="1" applyBorder="1" applyAlignment="1" applyProtection="1">
      <alignment horizontal="center" vertical="center" wrapText="1"/>
    </xf>
    <xf numFmtId="0" fontId="43" fillId="3" borderId="130" xfId="0" applyFont="1" applyFill="1" applyBorder="1" applyAlignment="1" applyProtection="1">
      <alignment horizontal="center" vertical="center" wrapText="1"/>
    </xf>
    <xf numFmtId="0" fontId="43" fillId="3" borderId="62" xfId="0" applyFont="1" applyFill="1" applyBorder="1" applyAlignment="1" applyProtection="1">
      <alignment horizontal="center" vertical="center" wrapText="1"/>
    </xf>
    <xf numFmtId="0" fontId="43" fillId="3" borderId="62" xfId="0" applyFont="1" applyFill="1" applyBorder="1" applyAlignment="1" applyProtection="1">
      <alignment horizontal="center" vertical="center"/>
    </xf>
    <xf numFmtId="0" fontId="43" fillId="3" borderId="44" xfId="0" applyFont="1" applyFill="1" applyBorder="1" applyAlignment="1" applyProtection="1">
      <alignment horizontal="center" vertical="center"/>
    </xf>
    <xf numFmtId="0" fontId="43" fillId="3" borderId="131" xfId="0" applyFont="1" applyFill="1" applyBorder="1" applyAlignment="1" applyProtection="1">
      <alignment horizontal="center" vertical="center"/>
    </xf>
    <xf numFmtId="0" fontId="9" fillId="3" borderId="100" xfId="0" applyFont="1" applyFill="1" applyBorder="1" applyAlignment="1" applyProtection="1">
      <alignment horizontal="center" vertical="center"/>
    </xf>
    <xf numFmtId="0" fontId="9" fillId="3" borderId="101" xfId="0" applyFont="1" applyFill="1" applyBorder="1" applyAlignment="1" applyProtection="1">
      <alignment horizontal="center" vertical="center"/>
    </xf>
    <xf numFmtId="0" fontId="9" fillId="3" borderId="10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3" borderId="108" xfId="90" applyFont="1" applyFill="1" applyBorder="1" applyAlignment="1" applyProtection="1">
      <alignment horizontal="center" vertical="center" wrapText="1"/>
    </xf>
    <xf numFmtId="0" fontId="9" fillId="3" borderId="109" xfId="90" applyFont="1" applyFill="1" applyBorder="1" applyAlignment="1" applyProtection="1">
      <alignment horizontal="center" vertical="center" wrapText="1"/>
    </xf>
    <xf numFmtId="0" fontId="9" fillId="3" borderId="55" xfId="90" applyFont="1" applyFill="1" applyBorder="1" applyAlignment="1" applyProtection="1">
      <alignment horizontal="center" vertical="center" wrapText="1"/>
    </xf>
    <xf numFmtId="0" fontId="9" fillId="3" borderId="50" xfId="90" applyFont="1" applyFill="1" applyBorder="1" applyAlignment="1" applyProtection="1">
      <alignment horizontal="center" vertical="center" wrapText="1"/>
    </xf>
    <xf numFmtId="170" fontId="84" fillId="0" borderId="47" xfId="0" applyNumberFormat="1" applyFont="1" applyFill="1" applyBorder="1" applyAlignment="1" applyProtection="1">
      <alignment horizontal="left" vertical="center" wrapText="1"/>
    </xf>
    <xf numFmtId="170" fontId="84" fillId="0" borderId="0" xfId="0" applyNumberFormat="1" applyFont="1" applyFill="1" applyBorder="1" applyAlignment="1" applyProtection="1">
      <alignment horizontal="left" vertical="center" wrapText="1"/>
    </xf>
    <xf numFmtId="1" fontId="84" fillId="0" borderId="45" xfId="0" applyNumberFormat="1" applyFont="1" applyFill="1" applyBorder="1" applyAlignment="1" applyProtection="1">
      <alignment horizontal="left" vertical="center" wrapText="1"/>
    </xf>
    <xf numFmtId="1" fontId="84" fillId="0" borderId="48" xfId="0" applyNumberFormat="1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vertical="center"/>
    </xf>
    <xf numFmtId="0" fontId="8" fillId="0" borderId="30" xfId="0" applyFont="1" applyFill="1" applyBorder="1" applyAlignment="1" applyProtection="1">
      <alignment horizontal="left" vertical="center"/>
    </xf>
    <xf numFmtId="0" fontId="8" fillId="0" borderId="11" xfId="0" applyFont="1" applyFill="1" applyBorder="1" applyAlignment="1" applyProtection="1">
      <alignment horizontal="left" vertical="center"/>
    </xf>
    <xf numFmtId="0" fontId="84" fillId="0" borderId="46" xfId="0" applyFont="1" applyFill="1" applyBorder="1" applyAlignment="1" applyProtection="1">
      <alignment horizontal="left" vertical="center"/>
    </xf>
    <xf numFmtId="0" fontId="84" fillId="0" borderId="55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31" xfId="0" applyFont="1" applyFill="1" applyBorder="1" applyAlignment="1" applyProtection="1">
      <alignment horizontal="left" vertical="center"/>
    </xf>
    <xf numFmtId="0" fontId="9" fillId="0" borderId="48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left" vertical="center"/>
    </xf>
    <xf numFmtId="10" fontId="8" fillId="0" borderId="45" xfId="0" applyNumberFormat="1" applyFont="1" applyFill="1" applyBorder="1" applyAlignment="1" applyProtection="1">
      <alignment horizontal="left" vertical="center"/>
    </xf>
    <xf numFmtId="10" fontId="8" fillId="0" borderId="48" xfId="0" applyNumberFormat="1" applyFont="1" applyFill="1" applyBorder="1" applyAlignment="1" applyProtection="1">
      <alignment horizontal="left" vertical="center"/>
    </xf>
    <xf numFmtId="0" fontId="54" fillId="4" borderId="0" xfId="0" applyFont="1" applyFill="1" applyBorder="1" applyAlignment="1" applyProtection="1">
      <alignment horizontal="center" vertical="center" wrapText="1"/>
      <protection locked="0"/>
    </xf>
    <xf numFmtId="0" fontId="54" fillId="4" borderId="31" xfId="0" applyFont="1" applyFill="1" applyBorder="1" applyAlignment="1" applyProtection="1">
      <alignment horizontal="center" vertical="center" wrapText="1"/>
      <protection locked="0"/>
    </xf>
    <xf numFmtId="175" fontId="9" fillId="0" borderId="48" xfId="0" applyNumberFormat="1" applyFont="1" applyFill="1" applyBorder="1" applyAlignment="1" applyProtection="1">
      <alignment horizontal="center" vertical="center"/>
    </xf>
    <xf numFmtId="175" fontId="9" fillId="0" borderId="49" xfId="0" applyNumberFormat="1" applyFont="1" applyFill="1" applyBorder="1" applyAlignment="1" applyProtection="1">
      <alignment horizontal="center" vertical="center"/>
    </xf>
    <xf numFmtId="0" fontId="54" fillId="0" borderId="55" xfId="0" applyFont="1" applyFill="1" applyBorder="1" applyAlignment="1" applyProtection="1">
      <alignment horizontal="center" vertical="center"/>
    </xf>
    <xf numFmtId="0" fontId="54" fillId="0" borderId="50" xfId="0" applyFont="1" applyFill="1" applyBorder="1" applyAlignment="1" applyProtection="1">
      <alignment horizontal="center" vertical="center"/>
    </xf>
    <xf numFmtId="0" fontId="29" fillId="0" borderId="26" xfId="0" applyFont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left" vertical="center"/>
    </xf>
    <xf numFmtId="1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" fontId="8" fillId="0" borderId="31" xfId="0" applyNumberFormat="1" applyFont="1" applyFill="1" applyBorder="1" applyAlignment="1" applyProtection="1">
      <alignment horizontal="left" vertical="center" wrapText="1"/>
      <protection locked="0"/>
    </xf>
    <xf numFmtId="170" fontId="8" fillId="18" borderId="0" xfId="0" applyNumberFormat="1" applyFont="1" applyFill="1" applyBorder="1" applyAlignment="1" applyProtection="1">
      <alignment horizontal="center" vertical="center"/>
    </xf>
    <xf numFmtId="170" fontId="8" fillId="18" borderId="57" xfId="0" applyNumberFormat="1" applyFont="1" applyFill="1" applyBorder="1" applyAlignment="1" applyProtection="1">
      <alignment horizontal="center" vertical="center"/>
    </xf>
    <xf numFmtId="1" fontId="8" fillId="18" borderId="0" xfId="0" applyNumberFormat="1" applyFont="1" applyFill="1" applyBorder="1" applyAlignment="1" applyProtection="1">
      <alignment horizontal="center" vertical="center"/>
    </xf>
    <xf numFmtId="0" fontId="8" fillId="18" borderId="57" xfId="0" applyFont="1" applyFill="1" applyBorder="1" applyAlignment="1" applyProtection="1">
      <alignment horizontal="center" vertical="center"/>
    </xf>
    <xf numFmtId="1" fontId="85" fillId="0" borderId="47" xfId="0" applyNumberFormat="1" applyFont="1" applyFill="1" applyBorder="1" applyAlignment="1" applyProtection="1">
      <alignment horizontal="left" vertical="center" wrapText="1"/>
    </xf>
    <xf numFmtId="1" fontId="85" fillId="0" borderId="0" xfId="0" applyNumberFormat="1" applyFont="1" applyFill="1" applyBorder="1" applyAlignment="1" applyProtection="1">
      <alignment horizontal="left" vertical="center" wrapText="1"/>
    </xf>
    <xf numFmtId="170" fontId="85" fillId="0" borderId="47" xfId="0" applyNumberFormat="1" applyFont="1" applyFill="1" applyBorder="1" applyAlignment="1" applyProtection="1">
      <alignment horizontal="left" vertical="center" wrapText="1"/>
    </xf>
    <xf numFmtId="170" fontId="85" fillId="0" borderId="0" xfId="0" applyNumberFormat="1" applyFont="1" applyFill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center" vertical="center" wrapText="1"/>
    </xf>
    <xf numFmtId="0" fontId="29" fillId="0" borderId="5" xfId="0" applyFont="1" applyBorder="1" applyAlignment="1" applyProtection="1">
      <alignment horizontal="center" vertical="center" wrapText="1"/>
    </xf>
    <xf numFmtId="0" fontId="68" fillId="0" borderId="31" xfId="0" applyFont="1" applyBorder="1" applyAlignment="1" applyProtection="1">
      <alignment horizontal="center" vertical="center" wrapText="1"/>
    </xf>
    <xf numFmtId="0" fontId="43" fillId="0" borderId="90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 wrapText="1"/>
    </xf>
    <xf numFmtId="0" fontId="44" fillId="2" borderId="2" xfId="90" applyFont="1" applyFill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/>
    </xf>
    <xf numFmtId="0" fontId="45" fillId="0" borderId="47" xfId="151" applyFont="1" applyBorder="1" applyAlignment="1" applyProtection="1">
      <alignment horizontal="center"/>
      <protection locked="0"/>
    </xf>
    <xf numFmtId="0" fontId="45" fillId="0" borderId="0" xfId="151" applyFont="1" applyBorder="1" applyAlignment="1" applyProtection="1">
      <alignment horizontal="center"/>
      <protection locked="0"/>
    </xf>
    <xf numFmtId="0" fontId="45" fillId="0" borderId="57" xfId="151" applyFont="1" applyBorder="1" applyAlignment="1" applyProtection="1">
      <alignment horizontal="center"/>
      <protection locked="0"/>
    </xf>
    <xf numFmtId="0" fontId="64" fillId="0" borderId="9" xfId="150" applyFont="1" applyBorder="1" applyAlignment="1" applyProtection="1">
      <alignment horizontal="left" vertical="center" wrapText="1"/>
    </xf>
    <xf numFmtId="0" fontId="64" fillId="0" borderId="10" xfId="150" applyFont="1" applyBorder="1" applyAlignment="1" applyProtection="1">
      <alignment horizontal="left" vertical="center" wrapText="1"/>
    </xf>
    <xf numFmtId="0" fontId="64" fillId="0" borderId="7" xfId="150" applyFont="1" applyBorder="1" applyAlignment="1" applyProtection="1">
      <alignment horizontal="left" vertical="center" wrapText="1"/>
    </xf>
    <xf numFmtId="0" fontId="54" fillId="4" borderId="5" xfId="90" applyFont="1" applyFill="1" applyBorder="1" applyAlignment="1" applyProtection="1">
      <alignment horizontal="center" vertical="center" wrapText="1"/>
    </xf>
    <xf numFmtId="0" fontId="51" fillId="0" borderId="12" xfId="152" applyFont="1" applyFill="1" applyBorder="1" applyAlignment="1" applyProtection="1">
      <alignment horizontal="center" vertical="top" wrapText="1"/>
    </xf>
    <xf numFmtId="170" fontId="60" fillId="0" borderId="0" xfId="0" applyNumberFormat="1" applyFont="1" applyBorder="1" applyAlignment="1" applyProtection="1">
      <alignment horizontal="center" vertical="center" wrapText="1"/>
      <protection locked="0"/>
    </xf>
    <xf numFmtId="0" fontId="42" fillId="0" borderId="26" xfId="104" applyFont="1" applyBorder="1" applyAlignment="1" applyProtection="1">
      <alignment horizontal="left" vertical="center"/>
    </xf>
    <xf numFmtId="0" fontId="42" fillId="0" borderId="0" xfId="104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</xf>
    <xf numFmtId="0" fontId="42" fillId="0" borderId="0" xfId="0" applyFont="1" applyBorder="1" applyAlignment="1" applyProtection="1">
      <alignment horizontal="left" vertical="center"/>
    </xf>
    <xf numFmtId="196" fontId="8" fillId="0" borderId="0" xfId="0" applyNumberFormat="1" applyFont="1" applyBorder="1" applyAlignment="1" applyProtection="1">
      <alignment horizontal="left" vertical="center"/>
    </xf>
    <xf numFmtId="196" fontId="8" fillId="0" borderId="31" xfId="0" applyNumberFormat="1" applyFont="1" applyBorder="1" applyAlignment="1" applyProtection="1">
      <alignment horizontal="left" vertical="center"/>
    </xf>
    <xf numFmtId="0" fontId="42" fillId="0" borderId="11" xfId="0" applyFont="1" applyBorder="1" applyAlignment="1" applyProtection="1">
      <alignment horizontal="left" vertical="center"/>
    </xf>
    <xf numFmtId="0" fontId="42" fillId="0" borderId="12" xfId="0" applyFont="1" applyBorder="1" applyAlignment="1" applyProtection="1">
      <alignment horizontal="left" vertical="center"/>
    </xf>
    <xf numFmtId="170" fontId="60" fillId="0" borderId="5" xfId="0" applyNumberFormat="1" applyFont="1" applyBorder="1" applyAlignment="1" applyProtection="1">
      <alignment horizontal="center" vertical="center"/>
    </xf>
    <xf numFmtId="0" fontId="73" fillId="0" borderId="55" xfId="0" applyFont="1" applyBorder="1" applyAlignment="1" applyProtection="1">
      <alignment horizontal="center" vertical="center" wrapText="1"/>
    </xf>
    <xf numFmtId="0" fontId="73" fillId="0" borderId="50" xfId="0" applyFont="1" applyBorder="1" applyAlignment="1" applyProtection="1">
      <alignment horizontal="center" vertical="center" wrapText="1"/>
    </xf>
    <xf numFmtId="170" fontId="61" fillId="0" borderId="12" xfId="0" applyNumberFormat="1" applyFont="1" applyBorder="1" applyAlignment="1" applyProtection="1">
      <alignment horizontal="center" vertical="center" wrapText="1"/>
      <protection locked="0"/>
    </xf>
    <xf numFmtId="196" fontId="8" fillId="0" borderId="42" xfId="0" applyNumberFormat="1" applyFont="1" applyBorder="1" applyAlignment="1" applyProtection="1">
      <alignment horizontal="left" vertical="center"/>
    </xf>
    <xf numFmtId="196" fontId="8" fillId="0" borderId="43" xfId="0" applyNumberFormat="1" applyFont="1" applyBorder="1" applyAlignment="1" applyProtection="1">
      <alignment horizontal="left" vertical="center"/>
    </xf>
    <xf numFmtId="0" fontId="8" fillId="0" borderId="42" xfId="0" applyFont="1" applyBorder="1" applyAlignment="1" applyProtection="1">
      <alignment horizontal="left" vertical="center" wrapText="1"/>
    </xf>
    <xf numFmtId="0" fontId="42" fillId="0" borderId="41" xfId="0" applyFont="1" applyBorder="1" applyAlignment="1" applyProtection="1">
      <alignment horizontal="left" vertical="center"/>
    </xf>
    <xf numFmtId="0" fontId="42" fillId="0" borderId="42" xfId="0" applyFont="1" applyBorder="1" applyAlignment="1" applyProtection="1">
      <alignment horizontal="left" vertical="center"/>
    </xf>
    <xf numFmtId="170" fontId="73" fillId="0" borderId="55" xfId="0" applyNumberFormat="1" applyFont="1" applyBorder="1" applyAlignment="1" applyProtection="1">
      <alignment horizontal="center" vertical="center" wrapText="1"/>
    </xf>
    <xf numFmtId="0" fontId="25" fillId="0" borderId="42" xfId="0" applyFont="1" applyBorder="1" applyAlignment="1" applyProtection="1">
      <alignment horizontal="left" vertical="center" wrapText="1"/>
    </xf>
    <xf numFmtId="0" fontId="73" fillId="0" borderId="48" xfId="0" applyFont="1" applyBorder="1" applyAlignment="1" applyProtection="1">
      <alignment horizontal="center" vertical="center" wrapText="1"/>
    </xf>
    <xf numFmtId="0" fontId="73" fillId="0" borderId="49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/>
    </xf>
    <xf numFmtId="0" fontId="24" fillId="0" borderId="31" xfId="0" applyFont="1" applyBorder="1" applyAlignment="1" applyProtection="1">
      <alignment horizontal="center"/>
    </xf>
    <xf numFmtId="0" fontId="73" fillId="0" borderId="56" xfId="0" applyFont="1" applyBorder="1" applyAlignment="1" applyProtection="1">
      <alignment horizontal="center" vertical="center" wrapText="1"/>
    </xf>
    <xf numFmtId="1" fontId="73" fillId="0" borderId="55" xfId="0" applyNumberFormat="1" applyFont="1" applyBorder="1" applyAlignment="1" applyProtection="1">
      <alignment horizontal="center" vertical="center" wrapText="1"/>
    </xf>
    <xf numFmtId="1" fontId="73" fillId="0" borderId="5" xfId="0" applyNumberFormat="1" applyFont="1" applyBorder="1" applyAlignment="1" applyProtection="1">
      <alignment horizontal="center" vertical="center" wrapText="1"/>
    </xf>
    <xf numFmtId="171" fontId="61" fillId="0" borderId="12" xfId="0" applyNumberFormat="1" applyFont="1" applyBorder="1" applyAlignment="1" applyProtection="1">
      <alignment horizontal="center" vertical="center" wrapText="1"/>
    </xf>
    <xf numFmtId="171" fontId="61" fillId="0" borderId="30" xfId="0" applyNumberFormat="1" applyFont="1" applyBorder="1" applyAlignment="1" applyProtection="1">
      <alignment horizontal="center" vertical="center" wrapText="1"/>
    </xf>
    <xf numFmtId="170" fontId="61" fillId="0" borderId="12" xfId="0" applyNumberFormat="1" applyFont="1" applyBorder="1" applyAlignment="1" applyProtection="1">
      <alignment horizontal="center" vertical="center"/>
    </xf>
    <xf numFmtId="0" fontId="60" fillId="0" borderId="129" xfId="0" applyFont="1" applyBorder="1" applyAlignment="1" applyProtection="1">
      <alignment horizontal="center" vertical="center"/>
      <protection locked="0"/>
    </xf>
    <xf numFmtId="0" fontId="24" fillId="0" borderId="129" xfId="0" applyFont="1" applyBorder="1" applyAlignment="1" applyProtection="1">
      <alignment horizontal="center"/>
    </xf>
    <xf numFmtId="0" fontId="24" fillId="0" borderId="133" xfId="0" applyFont="1" applyBorder="1" applyAlignment="1" applyProtection="1">
      <alignment horizontal="center"/>
    </xf>
    <xf numFmtId="170" fontId="60" fillId="0" borderId="0" xfId="0" applyNumberFormat="1" applyFont="1" applyBorder="1" applyAlignment="1" applyProtection="1">
      <alignment horizontal="center" vertical="center"/>
      <protection locked="0"/>
    </xf>
    <xf numFmtId="170" fontId="60" fillId="0" borderId="12" xfId="0" applyNumberFormat="1" applyFont="1" applyBorder="1" applyAlignment="1" applyProtection="1">
      <alignment horizontal="center" vertical="center"/>
      <protection locked="0"/>
    </xf>
    <xf numFmtId="170" fontId="60" fillId="0" borderId="63" xfId="0" applyNumberFormat="1" applyFont="1" applyBorder="1" applyAlignment="1" applyProtection="1">
      <alignment horizontal="center" vertical="center"/>
    </xf>
    <xf numFmtId="170" fontId="60" fillId="0" borderId="12" xfId="0" applyNumberFormat="1" applyFont="1" applyBorder="1" applyAlignment="1" applyProtection="1">
      <alignment horizontal="center" vertical="center" wrapText="1"/>
      <protection locked="0"/>
    </xf>
    <xf numFmtId="12" fontId="69" fillId="4" borderId="0" xfId="0" applyNumberFormat="1" applyFont="1" applyFill="1" applyBorder="1" applyAlignment="1" applyProtection="1">
      <alignment horizontal="left" vertical="center"/>
    </xf>
    <xf numFmtId="0" fontId="73" fillId="0" borderId="61" xfId="0" applyFont="1" applyBorder="1" applyAlignment="1" applyProtection="1">
      <alignment horizontal="center" vertical="center" wrapText="1"/>
    </xf>
    <xf numFmtId="12" fontId="21" fillId="0" borderId="9" xfId="0" applyNumberFormat="1" applyFont="1" applyFill="1" applyBorder="1" applyAlignment="1" applyProtection="1">
      <alignment horizontal="left" vertical="center"/>
      <protection locked="0"/>
    </xf>
    <xf numFmtId="12" fontId="21" fillId="0" borderId="10" xfId="0" applyNumberFormat="1" applyFont="1" applyFill="1" applyBorder="1" applyAlignment="1" applyProtection="1">
      <alignment horizontal="left" vertical="center"/>
      <protection locked="0"/>
    </xf>
    <xf numFmtId="12" fontId="21" fillId="0" borderId="7" xfId="0" applyNumberFormat="1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30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12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12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12" fontId="8" fillId="0" borderId="29" xfId="0" applyNumberFormat="1" applyFont="1" applyFill="1" applyBorder="1" applyAlignment="1" applyProtection="1">
      <alignment horizontal="center" vertical="center" wrapText="1"/>
      <protection locked="0"/>
    </xf>
    <xf numFmtId="12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2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2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7" xfId="0" applyFont="1" applyBorder="1" applyAlignment="1" applyProtection="1">
      <alignment horizontal="center" vertical="center"/>
    </xf>
    <xf numFmtId="0" fontId="29" fillId="0" borderId="61" xfId="0" applyFont="1" applyBorder="1" applyAlignment="1" applyProtection="1">
      <alignment horizontal="center" vertical="center"/>
    </xf>
    <xf numFmtId="170" fontId="60" fillId="0" borderId="67" xfId="0" applyNumberFormat="1" applyFont="1" applyBorder="1" applyAlignment="1" applyProtection="1">
      <alignment horizontal="center" vertical="center" wrapText="1"/>
      <protection locked="0"/>
    </xf>
    <xf numFmtId="170" fontId="60" fillId="0" borderId="47" xfId="0" applyNumberFormat="1" applyFont="1" applyBorder="1" applyAlignment="1" applyProtection="1">
      <alignment horizontal="center" vertical="center" wrapText="1"/>
      <protection locked="0"/>
    </xf>
    <xf numFmtId="0" fontId="8" fillId="4" borderId="0" xfId="0" applyFont="1" applyFill="1" applyBorder="1" applyAlignment="1" applyProtection="1">
      <alignment horizontal="center" vertical="center"/>
    </xf>
    <xf numFmtId="0" fontId="9" fillId="3" borderId="116" xfId="0" applyFont="1" applyFill="1" applyBorder="1" applyAlignment="1" applyProtection="1">
      <alignment horizontal="center" vertical="center" wrapText="1"/>
    </xf>
    <xf numFmtId="0" fontId="9" fillId="3" borderId="117" xfId="0" applyFont="1" applyFill="1" applyBorder="1" applyAlignment="1" applyProtection="1">
      <alignment horizontal="center" vertical="center" wrapText="1"/>
    </xf>
    <xf numFmtId="0" fontId="9" fillId="3" borderId="118" xfId="0" applyFont="1" applyFill="1" applyBorder="1" applyAlignment="1" applyProtection="1">
      <alignment horizontal="center" vertical="center" wrapText="1"/>
    </xf>
    <xf numFmtId="0" fontId="6" fillId="14" borderId="0" xfId="0" applyFont="1" applyFill="1" applyBorder="1" applyAlignment="1" applyProtection="1">
      <alignment horizontal="center" vertical="center"/>
    </xf>
    <xf numFmtId="0" fontId="6" fillId="14" borderId="57" xfId="0" applyFont="1" applyFill="1" applyBorder="1" applyAlignment="1" applyProtection="1">
      <alignment horizontal="center" vertical="center"/>
    </xf>
    <xf numFmtId="0" fontId="24" fillId="0" borderId="132" xfId="0" applyFont="1" applyBorder="1" applyAlignment="1" applyProtection="1">
      <alignment horizontal="left"/>
    </xf>
    <xf numFmtId="0" fontId="24" fillId="0" borderId="129" xfId="0" applyFont="1" applyBorder="1" applyAlignment="1" applyProtection="1">
      <alignment horizontal="left"/>
    </xf>
    <xf numFmtId="171" fontId="61" fillId="0" borderId="0" xfId="0" applyNumberFormat="1" applyFont="1" applyBorder="1" applyAlignment="1" applyProtection="1">
      <alignment horizontal="center" vertical="center" wrapText="1"/>
    </xf>
    <xf numFmtId="171" fontId="61" fillId="0" borderId="31" xfId="0" applyNumberFormat="1" applyFont="1" applyBorder="1" applyAlignment="1" applyProtection="1">
      <alignment horizontal="center" vertical="center" wrapText="1"/>
    </xf>
    <xf numFmtId="0" fontId="70" fillId="4" borderId="47" xfId="0" applyFont="1" applyFill="1" applyBorder="1" applyAlignment="1" applyProtection="1">
      <alignment horizontal="left" vertical="center"/>
    </xf>
    <xf numFmtId="0" fontId="70" fillId="4" borderId="0" xfId="0" applyFont="1" applyFill="1" applyBorder="1" applyAlignment="1" applyProtection="1">
      <alignment horizontal="left" vertical="center"/>
    </xf>
    <xf numFmtId="175" fontId="8" fillId="4" borderId="0" xfId="0" applyNumberFormat="1" applyFont="1" applyFill="1" applyBorder="1" applyAlignment="1" applyProtection="1">
      <alignment horizontal="center" vertical="center"/>
    </xf>
    <xf numFmtId="175" fontId="8" fillId="4" borderId="31" xfId="0" applyNumberFormat="1" applyFont="1" applyFill="1" applyBorder="1" applyAlignment="1" applyProtection="1">
      <alignment horizontal="center" vertical="center"/>
    </xf>
    <xf numFmtId="175" fontId="8" fillId="4" borderId="5" xfId="0" applyNumberFormat="1" applyFont="1" applyFill="1" applyBorder="1" applyAlignment="1" applyProtection="1">
      <alignment horizontal="center" vertical="center"/>
    </xf>
    <xf numFmtId="175" fontId="8" fillId="4" borderId="29" xfId="0" applyNumberFormat="1" applyFont="1" applyFill="1" applyBorder="1" applyAlignment="1" applyProtection="1">
      <alignment horizontal="center" vertical="center"/>
    </xf>
    <xf numFmtId="0" fontId="69" fillId="4" borderId="0" xfId="0" applyFont="1" applyFill="1" applyBorder="1" applyAlignment="1" applyProtection="1">
      <alignment horizontal="left" vertical="center" wrapText="1"/>
    </xf>
    <xf numFmtId="175" fontId="8" fillId="4" borderId="0" xfId="0" applyNumberFormat="1" applyFont="1" applyFill="1" applyBorder="1" applyAlignment="1" applyProtection="1">
      <alignment horizontal="center" vertical="center" wrapText="1"/>
    </xf>
    <xf numFmtId="175" fontId="8" fillId="4" borderId="57" xfId="0" applyNumberFormat="1" applyFont="1" applyFill="1" applyBorder="1" applyAlignment="1" applyProtection="1">
      <alignment horizontal="center" vertical="center" wrapText="1"/>
    </xf>
    <xf numFmtId="1" fontId="8" fillId="4" borderId="0" xfId="0" applyNumberFormat="1" applyFont="1" applyFill="1" applyBorder="1" applyAlignment="1" applyProtection="1">
      <alignment horizontal="center" vertical="center" wrapText="1"/>
    </xf>
    <xf numFmtId="1" fontId="8" fillId="4" borderId="57" xfId="0" applyNumberFormat="1" applyFont="1" applyFill="1" applyBorder="1" applyAlignment="1" applyProtection="1">
      <alignment horizontal="center" vertical="center" wrapText="1"/>
    </xf>
    <xf numFmtId="0" fontId="72" fillId="4" borderId="107" xfId="0" applyFont="1" applyFill="1" applyBorder="1" applyAlignment="1" applyProtection="1">
      <alignment horizontal="center" vertical="center"/>
    </xf>
    <xf numFmtId="0" fontId="72" fillId="4" borderId="55" xfId="0" applyFont="1" applyFill="1" applyBorder="1" applyAlignment="1" applyProtection="1">
      <alignment horizontal="center" vertical="center"/>
    </xf>
    <xf numFmtId="0" fontId="72" fillId="4" borderId="50" xfId="0" applyFont="1" applyFill="1" applyBorder="1" applyAlignment="1" applyProtection="1">
      <alignment horizontal="center" vertical="center"/>
    </xf>
    <xf numFmtId="0" fontId="9" fillId="4" borderId="55" xfId="90" applyFont="1" applyFill="1" applyBorder="1" applyAlignment="1" applyProtection="1">
      <alignment horizontal="center" vertical="center" wrapText="1"/>
    </xf>
    <xf numFmtId="0" fontId="8" fillId="4" borderId="46" xfId="90" applyFont="1" applyFill="1" applyBorder="1" applyAlignment="1" applyProtection="1">
      <alignment horizontal="left" vertical="center" wrapText="1"/>
    </xf>
    <xf numFmtId="0" fontId="8" fillId="4" borderId="55" xfId="90" applyFont="1" applyFill="1" applyBorder="1" applyAlignment="1" applyProtection="1">
      <alignment horizontal="left" vertical="center" wrapText="1"/>
    </xf>
    <xf numFmtId="10" fontId="9" fillId="4" borderId="0" xfId="0" applyNumberFormat="1" applyFont="1" applyFill="1" applyBorder="1" applyAlignment="1" applyProtection="1">
      <alignment horizontal="center" vertical="center"/>
    </xf>
    <xf numFmtId="10" fontId="9" fillId="4" borderId="57" xfId="0" applyNumberFormat="1" applyFont="1" applyFill="1" applyBorder="1" applyAlignment="1" applyProtection="1">
      <alignment horizontal="center" vertical="center"/>
    </xf>
    <xf numFmtId="175" fontId="72" fillId="0" borderId="0" xfId="0" applyNumberFormat="1" applyFont="1" applyFill="1" applyBorder="1" applyAlignment="1" applyProtection="1">
      <alignment horizontal="center" vertical="center"/>
    </xf>
    <xf numFmtId="0" fontId="9" fillId="3" borderId="105" xfId="90" applyFont="1" applyFill="1" applyBorder="1" applyAlignment="1" applyProtection="1">
      <alignment horizontal="center" vertical="center" wrapText="1"/>
    </xf>
    <xf numFmtId="0" fontId="9" fillId="3" borderId="48" xfId="90" applyFont="1" applyFill="1" applyBorder="1" applyAlignment="1" applyProtection="1">
      <alignment horizontal="center" vertical="center" wrapText="1"/>
    </xf>
    <xf numFmtId="0" fontId="9" fillId="3" borderId="49" xfId="90" applyFont="1" applyFill="1" applyBorder="1" applyAlignment="1" applyProtection="1">
      <alignment horizontal="center" vertical="center" wrapText="1"/>
    </xf>
    <xf numFmtId="175" fontId="72" fillId="4" borderId="5" xfId="0" applyNumberFormat="1" applyFont="1" applyFill="1" applyBorder="1" applyAlignment="1" applyProtection="1">
      <alignment horizontal="center" vertical="center" wrapText="1"/>
    </xf>
    <xf numFmtId="175" fontId="72" fillId="4" borderId="0" xfId="0" applyNumberFormat="1" applyFont="1" applyFill="1" applyBorder="1" applyAlignment="1" applyProtection="1">
      <alignment horizontal="center" vertical="center"/>
    </xf>
    <xf numFmtId="1" fontId="69" fillId="4" borderId="0" xfId="0" applyNumberFormat="1" applyFont="1" applyFill="1" applyBorder="1" applyAlignment="1" applyProtection="1">
      <alignment horizontal="left" vertical="center"/>
    </xf>
    <xf numFmtId="0" fontId="8" fillId="0" borderId="47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55" fillId="0" borderId="0" xfId="75" applyNumberFormat="1" applyFont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wrapText="1"/>
    </xf>
    <xf numFmtId="170" fontId="8" fillId="4" borderId="48" xfId="0" applyNumberFormat="1" applyFont="1" applyFill="1" applyBorder="1" applyAlignment="1" applyProtection="1">
      <alignment horizontal="center" vertical="center" wrapText="1"/>
    </xf>
    <xf numFmtId="170" fontId="8" fillId="4" borderId="58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/>
    </xf>
    <xf numFmtId="0" fontId="70" fillId="4" borderId="0" xfId="0" applyFont="1" applyFill="1" applyBorder="1" applyAlignment="1" applyProtection="1">
      <alignment horizontal="center" vertical="center"/>
    </xf>
    <xf numFmtId="0" fontId="21" fillId="0" borderId="83" xfId="0" applyFont="1" applyFill="1" applyBorder="1" applyAlignment="1" applyProtection="1">
      <alignment horizontal="center" vertical="center" wrapText="1"/>
      <protection locked="0"/>
    </xf>
    <xf numFmtId="0" fontId="21" fillId="0" borderId="44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12" fontId="9" fillId="4" borderId="0" xfId="0" applyNumberFormat="1" applyFont="1" applyFill="1" applyBorder="1" applyAlignment="1" applyProtection="1">
      <alignment horizontal="center" vertical="center" wrapText="1"/>
    </xf>
    <xf numFmtId="0" fontId="51" fillId="0" borderId="103" xfId="152" applyFont="1" applyFill="1" applyBorder="1" applyAlignment="1" applyProtection="1">
      <alignment horizontal="center" vertical="center" wrapText="1"/>
    </xf>
    <xf numFmtId="0" fontId="51" fillId="0" borderId="106" xfId="150" applyFont="1" applyBorder="1" applyAlignment="1" applyProtection="1">
      <alignment horizontal="center" wrapText="1"/>
    </xf>
    <xf numFmtId="170" fontId="61" fillId="0" borderId="0" xfId="0" applyNumberFormat="1" applyFont="1" applyBorder="1" applyAlignment="1" applyProtection="1">
      <alignment horizontal="center" vertical="center" wrapText="1"/>
      <protection locked="0"/>
    </xf>
    <xf numFmtId="170" fontId="62" fillId="0" borderId="5" xfId="0" applyNumberFormat="1" applyFont="1" applyBorder="1" applyAlignment="1" applyProtection="1">
      <alignment horizontal="center" vertical="center"/>
    </xf>
    <xf numFmtId="0" fontId="43" fillId="0" borderId="11" xfId="0" applyFont="1" applyBorder="1" applyAlignment="1" applyProtection="1">
      <alignment horizontal="center" vertical="center" textRotation="90" wrapText="1"/>
    </xf>
    <xf numFmtId="0" fontId="43" fillId="0" borderId="26" xfId="0" applyFont="1" applyBorder="1" applyAlignment="1" applyProtection="1">
      <alignment horizontal="center" vertical="center" textRotation="90" wrapText="1"/>
    </xf>
    <xf numFmtId="0" fontId="43" fillId="0" borderId="97" xfId="0" applyFont="1" applyBorder="1" applyAlignment="1" applyProtection="1">
      <alignment horizontal="center" vertical="center" textRotation="90" wrapText="1"/>
    </xf>
    <xf numFmtId="0" fontId="43" fillId="0" borderId="98" xfId="0" applyFont="1" applyBorder="1" applyAlignment="1" applyProtection="1">
      <alignment horizontal="center" vertical="center" textRotation="90" wrapText="1"/>
    </xf>
    <xf numFmtId="0" fontId="73" fillId="0" borderId="90" xfId="0" applyFont="1" applyBorder="1" applyAlignment="1" applyProtection="1">
      <alignment horizontal="center" vertical="center"/>
    </xf>
    <xf numFmtId="0" fontId="43" fillId="0" borderId="90" xfId="0" applyFont="1" applyBorder="1" applyAlignment="1" applyProtection="1">
      <alignment horizontal="center" vertical="top"/>
    </xf>
    <xf numFmtId="189" fontId="8" fillId="0" borderId="0" xfId="0" applyNumberFormat="1" applyFont="1" applyBorder="1" applyAlignment="1" applyProtection="1">
      <alignment horizontal="left"/>
    </xf>
    <xf numFmtId="189" fontId="8" fillId="0" borderId="31" xfId="0" applyNumberFormat="1" applyFont="1" applyBorder="1" applyAlignment="1" applyProtection="1">
      <alignment horizontal="left"/>
    </xf>
    <xf numFmtId="0" fontId="65" fillId="0" borderId="11" xfId="0" applyFont="1" applyFill="1" applyBorder="1" applyAlignment="1" applyProtection="1">
      <alignment horizontal="center" vertical="center" wrapText="1"/>
    </xf>
    <xf numFmtId="0" fontId="65" fillId="0" borderId="12" xfId="0" applyFont="1" applyFill="1" applyBorder="1" applyAlignment="1" applyProtection="1">
      <alignment horizontal="center" vertical="center" wrapText="1"/>
    </xf>
    <xf numFmtId="0" fontId="65" fillId="0" borderId="30" xfId="0" applyFont="1" applyFill="1" applyBorder="1" applyAlignment="1" applyProtection="1">
      <alignment horizontal="center" vertical="center" wrapText="1"/>
    </xf>
    <xf numFmtId="0" fontId="42" fillId="0" borderId="26" xfId="0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center" vertical="center"/>
    </xf>
    <xf numFmtId="0" fontId="42" fillId="0" borderId="31" xfId="0" applyFont="1" applyFill="1" applyBorder="1" applyAlignment="1" applyProtection="1">
      <alignment horizontal="center" vertical="center"/>
    </xf>
    <xf numFmtId="0" fontId="42" fillId="0" borderId="27" xfId="0" applyFont="1" applyFill="1" applyBorder="1" applyAlignment="1" applyProtection="1">
      <alignment horizontal="center" vertical="center"/>
    </xf>
    <xf numFmtId="0" fontId="42" fillId="0" borderId="5" xfId="0" applyFont="1" applyFill="1" applyBorder="1" applyAlignment="1" applyProtection="1">
      <alignment horizontal="center" vertical="center"/>
    </xf>
    <xf numFmtId="0" fontId="42" fillId="0" borderId="29" xfId="0" applyFont="1" applyFill="1" applyBorder="1" applyAlignment="1" applyProtection="1">
      <alignment horizontal="center" vertical="center"/>
    </xf>
    <xf numFmtId="0" fontId="8" fillId="4" borderId="47" xfId="0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170" fontId="61" fillId="0" borderId="0" xfId="0" applyNumberFormat="1" applyFont="1" applyBorder="1" applyAlignment="1" applyProtection="1">
      <alignment horizontal="center" vertical="center"/>
    </xf>
    <xf numFmtId="0" fontId="43" fillId="0" borderId="92" xfId="0" applyFont="1" applyBorder="1" applyAlignment="1" applyProtection="1">
      <alignment horizontal="center" vertical="center" wrapText="1"/>
    </xf>
    <xf numFmtId="0" fontId="43" fillId="0" borderId="87" xfId="0" applyFont="1" applyBorder="1" applyAlignment="1" applyProtection="1">
      <alignment horizontal="center" vertical="center" wrapText="1"/>
    </xf>
    <xf numFmtId="0" fontId="43" fillId="0" borderId="91" xfId="0" applyFont="1" applyBorder="1" applyAlignment="1" applyProtection="1">
      <alignment horizontal="center" vertical="center" wrapText="1"/>
    </xf>
    <xf numFmtId="0" fontId="43" fillId="0" borderId="88" xfId="0" applyFont="1" applyBorder="1" applyAlignment="1" applyProtection="1">
      <alignment horizontal="center" vertical="center" wrapText="1"/>
    </xf>
    <xf numFmtId="0" fontId="43" fillId="0" borderId="93" xfId="0" applyFont="1" applyBorder="1" applyAlignment="1" applyProtection="1">
      <alignment horizontal="center" vertical="center" wrapText="1"/>
    </xf>
    <xf numFmtId="0" fontId="43" fillId="0" borderId="89" xfId="0" applyFont="1" applyBorder="1" applyAlignment="1" applyProtection="1">
      <alignment horizontal="center" vertical="center" wrapText="1"/>
    </xf>
    <xf numFmtId="0" fontId="43" fillId="0" borderId="94" xfId="0" applyFont="1" applyBorder="1" applyAlignment="1" applyProtection="1">
      <alignment horizontal="center" vertical="top"/>
    </xf>
    <xf numFmtId="0" fontId="43" fillId="0" borderId="95" xfId="0" applyFont="1" applyBorder="1" applyAlignment="1" applyProtection="1">
      <alignment horizontal="center" vertical="top"/>
    </xf>
    <xf numFmtId="0" fontId="43" fillId="0" borderId="11" xfId="0" applyFont="1" applyBorder="1" applyAlignment="1" applyProtection="1">
      <alignment horizontal="center" vertical="center"/>
    </xf>
    <xf numFmtId="0" fontId="43" fillId="0" borderId="12" xfId="0" applyFont="1" applyBorder="1" applyAlignment="1" applyProtection="1">
      <alignment horizontal="center" vertical="center"/>
    </xf>
    <xf numFmtId="0" fontId="43" fillId="0" borderId="27" xfId="0" applyFont="1" applyBorder="1" applyAlignment="1" applyProtection="1">
      <alignment horizontal="center" vertical="center"/>
    </xf>
    <xf numFmtId="0" fontId="43" fillId="0" borderId="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center"/>
    </xf>
    <xf numFmtId="0" fontId="8" fillId="4" borderId="47" xfId="0" applyFont="1" applyFill="1" applyBorder="1" applyAlignment="1" applyProtection="1">
      <alignment horizontal="left" vertical="center"/>
    </xf>
    <xf numFmtId="0" fontId="25" fillId="0" borderId="47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left"/>
    </xf>
    <xf numFmtId="0" fontId="25" fillId="0" borderId="57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center"/>
    </xf>
    <xf numFmtId="171" fontId="61" fillId="17" borderId="127" xfId="0" applyNumberFormat="1" applyFont="1" applyFill="1" applyBorder="1" applyAlignment="1" applyProtection="1">
      <alignment horizontal="center" vertical="center"/>
    </xf>
    <xf numFmtId="171" fontId="61" fillId="17" borderId="30" xfId="0" applyNumberFormat="1" applyFont="1" applyFill="1" applyBorder="1" applyAlignment="1" applyProtection="1">
      <alignment horizontal="center" vertical="center"/>
    </xf>
    <xf numFmtId="171" fontId="61" fillId="17" borderId="128" xfId="0" applyNumberFormat="1" applyFont="1" applyFill="1" applyBorder="1" applyAlignment="1" applyProtection="1">
      <alignment horizontal="center" vertical="center"/>
    </xf>
    <xf numFmtId="171" fontId="61" fillId="17" borderId="31" xfId="0" applyNumberFormat="1" applyFont="1" applyFill="1" applyBorder="1" applyAlignment="1" applyProtection="1">
      <alignment horizontal="center" vertical="center"/>
    </xf>
    <xf numFmtId="171" fontId="61" fillId="17" borderId="134" xfId="0" applyNumberFormat="1" applyFont="1" applyFill="1" applyBorder="1" applyAlignment="1" applyProtection="1">
      <alignment horizontal="center" vertical="center"/>
    </xf>
    <xf numFmtId="171" fontId="61" fillId="17" borderId="29" xfId="0" applyNumberFormat="1" applyFont="1" applyFill="1" applyBorder="1" applyAlignment="1" applyProtection="1">
      <alignment horizontal="center" vertical="center"/>
    </xf>
    <xf numFmtId="0" fontId="43" fillId="0" borderId="5" xfId="0" applyFont="1" applyBorder="1" applyAlignment="1" applyProtection="1">
      <alignment horizontal="center" vertical="top"/>
    </xf>
    <xf numFmtId="0" fontId="43" fillId="0" borderId="29" xfId="0" applyFont="1" applyBorder="1" applyAlignment="1" applyProtection="1">
      <alignment horizontal="center" vertical="top"/>
    </xf>
    <xf numFmtId="0" fontId="51" fillId="0" borderId="0" xfId="152" applyFont="1" applyFill="1" applyBorder="1" applyAlignment="1" applyProtection="1">
      <alignment horizontal="center" vertical="top" wrapText="1"/>
    </xf>
    <xf numFmtId="171" fontId="62" fillId="0" borderId="5" xfId="0" applyNumberFormat="1" applyFont="1" applyBorder="1" applyAlignment="1" applyProtection="1">
      <alignment horizontal="center" vertical="center" wrapText="1"/>
    </xf>
    <xf numFmtId="171" fontId="62" fillId="0" borderId="29" xfId="0" applyNumberFormat="1" applyFont="1" applyBorder="1" applyAlignment="1" applyProtection="1">
      <alignment horizontal="center" vertical="center" wrapText="1"/>
    </xf>
    <xf numFmtId="0" fontId="25" fillId="0" borderId="12" xfId="0" applyFont="1" applyBorder="1" applyAlignment="1" applyProtection="1">
      <alignment horizontal="left" vertical="center"/>
    </xf>
    <xf numFmtId="0" fontId="51" fillId="0" borderId="47" xfId="150" applyFont="1" applyBorder="1" applyAlignment="1" applyProtection="1">
      <alignment horizontal="center" wrapText="1"/>
    </xf>
    <xf numFmtId="0" fontId="51" fillId="0" borderId="0" xfId="150" applyFont="1" applyBorder="1" applyAlignment="1" applyProtection="1">
      <alignment horizontal="center" wrapText="1"/>
    </xf>
    <xf numFmtId="0" fontId="51" fillId="0" borderId="57" xfId="150" applyFont="1" applyBorder="1" applyAlignment="1" applyProtection="1">
      <alignment horizontal="center" wrapText="1"/>
    </xf>
    <xf numFmtId="0" fontId="44" fillId="3" borderId="46" xfId="151" applyFont="1" applyFill="1" applyBorder="1" applyAlignment="1" applyProtection="1">
      <alignment horizontal="center" vertical="center"/>
    </xf>
    <xf numFmtId="0" fontId="44" fillId="3" borderId="55" xfId="151" applyFont="1" applyFill="1" applyBorder="1" applyAlignment="1" applyProtection="1">
      <alignment horizontal="center" vertical="center"/>
    </xf>
    <xf numFmtId="0" fontId="54" fillId="15" borderId="71" xfId="90" applyFont="1" applyFill="1" applyBorder="1" applyAlignment="1" applyProtection="1">
      <alignment horizontal="center" vertical="center" wrapText="1"/>
    </xf>
    <xf numFmtId="0" fontId="54" fillId="15" borderId="119" xfId="90" applyFont="1" applyFill="1" applyBorder="1" applyAlignment="1" applyProtection="1">
      <alignment horizontal="center" vertical="center" wrapText="1"/>
    </xf>
    <xf numFmtId="0" fontId="54" fillId="4" borderId="124" xfId="0" applyFont="1" applyFill="1" applyBorder="1" applyAlignment="1" applyProtection="1">
      <alignment horizontal="center" vertical="center"/>
    </xf>
    <xf numFmtId="0" fontId="54" fillId="4" borderId="59" xfId="0" applyFont="1" applyFill="1" applyBorder="1" applyAlignment="1" applyProtection="1">
      <alignment horizontal="center" vertical="center"/>
    </xf>
    <xf numFmtId="0" fontId="54" fillId="4" borderId="72" xfId="0" applyFont="1" applyFill="1" applyBorder="1" applyAlignment="1" applyProtection="1">
      <alignment horizontal="center" vertical="center"/>
    </xf>
    <xf numFmtId="0" fontId="44" fillId="3" borderId="56" xfId="151" applyFont="1" applyFill="1" applyBorder="1" applyAlignment="1" applyProtection="1">
      <alignment horizontal="center" vertical="center"/>
    </xf>
    <xf numFmtId="0" fontId="43" fillId="3" borderId="26" xfId="0" applyFont="1" applyFill="1" applyBorder="1" applyAlignment="1" applyProtection="1">
      <alignment horizontal="center" vertical="center"/>
    </xf>
    <xf numFmtId="0" fontId="43" fillId="3" borderId="0" xfId="0" applyFont="1" applyFill="1" applyBorder="1" applyAlignment="1" applyProtection="1">
      <alignment horizontal="center" vertical="center"/>
    </xf>
    <xf numFmtId="0" fontId="43" fillId="3" borderId="48" xfId="0" applyFont="1" applyFill="1" applyBorder="1" applyAlignment="1" applyProtection="1">
      <alignment horizontal="center" vertical="center"/>
    </xf>
    <xf numFmtId="0" fontId="43" fillId="3" borderId="49" xfId="0" applyFont="1" applyFill="1" applyBorder="1" applyAlignment="1" applyProtection="1">
      <alignment horizontal="center" vertical="center"/>
    </xf>
    <xf numFmtId="0" fontId="24" fillId="0" borderId="129" xfId="0" applyFont="1" applyBorder="1" applyAlignment="1" applyProtection="1">
      <alignment horizontal="right"/>
    </xf>
    <xf numFmtId="189" fontId="8" fillId="0" borderId="12" xfId="0" applyNumberFormat="1" applyFont="1" applyBorder="1" applyAlignment="1" applyProtection="1">
      <alignment horizontal="left"/>
    </xf>
    <xf numFmtId="189" fontId="8" fillId="0" borderId="30" xfId="0" applyNumberFormat="1" applyFont="1" applyBorder="1" applyAlignment="1" applyProtection="1">
      <alignment horizontal="left"/>
    </xf>
    <xf numFmtId="170" fontId="61" fillId="0" borderId="0" xfId="0" applyNumberFormat="1" applyFont="1" applyBorder="1" applyAlignment="1" applyProtection="1">
      <alignment horizontal="center" vertical="center" wrapText="1"/>
    </xf>
    <xf numFmtId="170" fontId="61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 applyAlignment="1" applyProtection="1">
      <alignment horizontal="center" vertical="top"/>
    </xf>
    <xf numFmtId="0" fontId="24" fillId="0" borderId="11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alignment horizontal="center"/>
    </xf>
    <xf numFmtId="0" fontId="24" fillId="0" borderId="30" xfId="0" applyFont="1" applyFill="1" applyBorder="1" applyAlignment="1" applyProtection="1">
      <alignment horizontal="center"/>
    </xf>
    <xf numFmtId="0" fontId="24" fillId="0" borderId="26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24" fillId="0" borderId="31" xfId="0" applyFont="1" applyFill="1" applyBorder="1" applyAlignment="1" applyProtection="1">
      <alignment horizontal="center"/>
    </xf>
    <xf numFmtId="0" fontId="24" fillId="0" borderId="27" xfId="0" applyFont="1" applyFill="1" applyBorder="1" applyAlignment="1" applyProtection="1">
      <alignment horizontal="center"/>
    </xf>
    <xf numFmtId="0" fontId="24" fillId="0" borderId="5" xfId="0" applyFont="1" applyFill="1" applyBorder="1" applyAlignment="1" applyProtection="1">
      <alignment horizontal="center"/>
    </xf>
    <xf numFmtId="0" fontId="24" fillId="0" borderId="29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left"/>
    </xf>
    <xf numFmtId="0" fontId="43" fillId="0" borderId="99" xfId="0" applyFont="1" applyBorder="1" applyAlignment="1" applyProtection="1">
      <alignment horizontal="center" vertical="center" wrapText="1"/>
    </xf>
    <xf numFmtId="0" fontId="43" fillId="0" borderId="90" xfId="0" applyFont="1" applyBorder="1" applyAlignment="1" applyProtection="1">
      <alignment horizontal="center" vertical="center" wrapText="1"/>
    </xf>
    <xf numFmtId="0" fontId="43" fillId="0" borderId="26" xfId="0" applyFont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horizontal="center" vertical="center" wrapText="1"/>
    </xf>
    <xf numFmtId="0" fontId="43" fillId="0" borderId="27" xfId="0" applyFont="1" applyBorder="1" applyAlignment="1" applyProtection="1">
      <alignment horizontal="center" vertical="center" wrapText="1"/>
    </xf>
    <xf numFmtId="0" fontId="43" fillId="0" borderId="5" xfId="0" applyFont="1" applyBorder="1" applyAlignment="1" applyProtection="1">
      <alignment horizontal="center" vertical="center" wrapText="1"/>
    </xf>
    <xf numFmtId="0" fontId="54" fillId="4" borderId="71" xfId="90" applyFont="1" applyFill="1" applyBorder="1" applyAlignment="1" applyProtection="1">
      <alignment horizontal="center" vertical="center" wrapText="1"/>
    </xf>
    <xf numFmtId="0" fontId="54" fillId="4" borderId="119" xfId="90" applyFont="1" applyFill="1" applyBorder="1" applyAlignment="1" applyProtection="1">
      <alignment horizontal="center" vertical="center" wrapText="1"/>
    </xf>
    <xf numFmtId="0" fontId="66" fillId="15" borderId="119" xfId="90" applyFont="1" applyFill="1" applyBorder="1" applyAlignment="1" applyProtection="1">
      <alignment horizontal="center" vertical="center" wrapText="1"/>
    </xf>
    <xf numFmtId="0" fontId="54" fillId="4" borderId="59" xfId="90" applyFont="1" applyFill="1" applyBorder="1" applyAlignment="1" applyProtection="1">
      <alignment horizontal="center" vertical="center" wrapText="1"/>
    </xf>
    <xf numFmtId="0" fontId="70" fillId="4" borderId="110" xfId="0" applyFont="1" applyFill="1" applyBorder="1" applyAlignment="1" applyProtection="1">
      <alignment horizontal="left" vertical="center"/>
    </xf>
    <xf numFmtId="0" fontId="70" fillId="4" borderId="59" xfId="0" applyFont="1" applyFill="1" applyBorder="1" applyAlignment="1" applyProtection="1">
      <alignment horizontal="left" vertical="center"/>
    </xf>
    <xf numFmtId="0" fontId="70" fillId="4" borderId="72" xfId="0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196" fontId="8" fillId="0" borderId="0" xfId="0" applyNumberFormat="1" applyFont="1" applyBorder="1" applyAlignment="1" applyProtection="1">
      <alignment horizontal="left" vertical="center"/>
      <protection locked="0"/>
    </xf>
    <xf numFmtId="196" fontId="8" fillId="0" borderId="31" xfId="0" applyNumberFormat="1" applyFont="1" applyBorder="1" applyAlignment="1" applyProtection="1">
      <alignment horizontal="left" vertical="center"/>
      <protection locked="0"/>
    </xf>
    <xf numFmtId="0" fontId="66" fillId="15" borderId="112" xfId="90" applyFont="1" applyFill="1" applyBorder="1" applyAlignment="1" applyProtection="1">
      <alignment horizontal="center" vertical="center" wrapText="1"/>
    </xf>
    <xf numFmtId="0" fontId="66" fillId="15" borderId="113" xfId="90" applyFont="1" applyFill="1" applyBorder="1" applyAlignment="1" applyProtection="1">
      <alignment horizontal="center" vertical="center" wrapText="1"/>
    </xf>
    <xf numFmtId="0" fontId="66" fillId="15" borderId="114" xfId="90" applyFont="1" applyFill="1" applyBorder="1" applyAlignment="1" applyProtection="1">
      <alignment horizontal="center" vertical="center" wrapText="1"/>
    </xf>
    <xf numFmtId="0" fontId="51" fillId="0" borderId="10" xfId="150" applyFont="1" applyBorder="1" applyAlignment="1" applyProtection="1">
      <alignment horizontal="center" wrapText="1"/>
    </xf>
    <xf numFmtId="0" fontId="44" fillId="3" borderId="26" xfId="151" applyFont="1" applyFill="1" applyBorder="1" applyAlignment="1" applyProtection="1">
      <alignment horizontal="left" vertical="center"/>
    </xf>
    <xf numFmtId="0" fontId="44" fillId="3" borderId="0" xfId="151" applyFont="1" applyFill="1" applyBorder="1" applyAlignment="1" applyProtection="1">
      <alignment horizontal="left" vertical="center"/>
    </xf>
    <xf numFmtId="0" fontId="45" fillId="0" borderId="47" xfId="151" quotePrefix="1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 vertical="top"/>
    </xf>
    <xf numFmtId="0" fontId="25" fillId="0" borderId="12" xfId="0" applyFont="1" applyBorder="1" applyAlignment="1" applyProtection="1">
      <alignment horizontal="center" vertical="top"/>
    </xf>
    <xf numFmtId="0" fontId="25" fillId="0" borderId="12" xfId="0" applyFont="1" applyBorder="1" applyAlignment="1" applyProtection="1">
      <alignment horizontal="center" vertical="top"/>
      <protection locked="0"/>
    </xf>
    <xf numFmtId="0" fontId="25" fillId="0" borderId="30" xfId="0" applyFont="1" applyBorder="1" applyAlignment="1" applyProtection="1">
      <alignment horizontal="center" vertical="top"/>
      <protection locked="0"/>
    </xf>
    <xf numFmtId="0" fontId="66" fillId="15" borderId="115" xfId="9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left"/>
    </xf>
    <xf numFmtId="0" fontId="25" fillId="0" borderId="5" xfId="0" applyFont="1" applyFill="1" applyBorder="1" applyAlignment="1" applyProtection="1">
      <alignment horizontal="center" vertical="center"/>
    </xf>
    <xf numFmtId="0" fontId="25" fillId="0" borderId="29" xfId="0" applyFont="1" applyFill="1" applyBorder="1" applyAlignment="1" applyProtection="1">
      <alignment horizontal="center" vertical="center"/>
    </xf>
    <xf numFmtId="0" fontId="8" fillId="4" borderId="27" xfId="0" applyFont="1" applyFill="1" applyBorder="1" applyAlignment="1" applyProtection="1">
      <alignment horizontal="left" vertical="center"/>
    </xf>
    <xf numFmtId="0" fontId="8" fillId="4" borderId="5" xfId="0" applyFont="1" applyFill="1" applyBorder="1" applyAlignment="1" applyProtection="1">
      <alignment horizontal="left" vertical="center"/>
    </xf>
    <xf numFmtId="0" fontId="44" fillId="3" borderId="11" xfId="0" applyFont="1" applyFill="1" applyBorder="1" applyAlignment="1" applyProtection="1">
      <alignment horizontal="left" vertical="center"/>
    </xf>
    <xf numFmtId="0" fontId="44" fillId="3" borderId="12" xfId="0" applyFont="1" applyFill="1" applyBorder="1" applyAlignment="1" applyProtection="1">
      <alignment horizontal="left" vertical="center"/>
    </xf>
    <xf numFmtId="0" fontId="71" fillId="3" borderId="12" xfId="90" applyFont="1" applyFill="1" applyBorder="1" applyAlignment="1" applyProtection="1">
      <alignment horizontal="center" vertical="center" wrapText="1"/>
    </xf>
    <xf numFmtId="0" fontId="71" fillId="3" borderId="30" xfId="90" applyFont="1" applyFill="1" applyBorder="1" applyAlignment="1" applyProtection="1">
      <alignment horizontal="center" vertical="center" wrapText="1"/>
    </xf>
    <xf numFmtId="0" fontId="64" fillId="4" borderId="110" xfId="90" applyFont="1" applyFill="1" applyBorder="1" applyAlignment="1" applyProtection="1">
      <alignment horizontal="center" vertical="center" wrapText="1"/>
    </xf>
    <xf numFmtId="0" fontId="64" fillId="4" borderId="111" xfId="90" applyFont="1" applyFill="1" applyBorder="1" applyAlignment="1" applyProtection="1">
      <alignment horizontal="center" vertical="center" wrapText="1"/>
    </xf>
    <xf numFmtId="0" fontId="8" fillId="4" borderId="81" xfId="0" applyFont="1" applyFill="1" applyBorder="1" applyAlignment="1" applyProtection="1">
      <alignment horizontal="left" vertical="center"/>
    </xf>
    <xf numFmtId="0" fontId="8" fillId="4" borderId="69" xfId="0" applyFont="1" applyFill="1" applyBorder="1" applyAlignment="1" applyProtection="1">
      <alignment horizontal="left" vertical="center"/>
    </xf>
    <xf numFmtId="0" fontId="54" fillId="4" borderId="69" xfId="90" applyFont="1" applyFill="1" applyBorder="1" applyAlignment="1" applyProtection="1">
      <alignment horizontal="center" vertical="center" wrapText="1"/>
    </xf>
    <xf numFmtId="0" fontId="54" fillId="4" borderId="80" xfId="90" applyFont="1" applyFill="1" applyBorder="1" applyAlignment="1" applyProtection="1">
      <alignment horizontal="center" vertical="center" wrapText="1"/>
    </xf>
    <xf numFmtId="0" fontId="64" fillId="4" borderId="81" xfId="90" applyFont="1" applyFill="1" applyBorder="1" applyAlignment="1" applyProtection="1">
      <alignment horizontal="center" vertical="center" wrapText="1"/>
    </xf>
    <xf numFmtId="0" fontId="64" fillId="4" borderId="77" xfId="90" applyFont="1" applyFill="1" applyBorder="1" applyAlignment="1" applyProtection="1">
      <alignment horizontal="center" vertical="center" wrapText="1"/>
    </xf>
    <xf numFmtId="0" fontId="44" fillId="2" borderId="11" xfId="90" applyFont="1" applyFill="1" applyBorder="1" applyAlignment="1" applyProtection="1">
      <alignment horizontal="center" vertical="center" wrapText="1"/>
    </xf>
    <xf numFmtId="0" fontId="44" fillId="2" borderId="12" xfId="90" applyFont="1" applyFill="1" applyBorder="1" applyAlignment="1" applyProtection="1">
      <alignment horizontal="center" vertical="center" wrapText="1"/>
    </xf>
    <xf numFmtId="0" fontId="44" fillId="2" borderId="30" xfId="9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189" fontId="8" fillId="0" borderId="12" xfId="0" applyNumberFormat="1" applyFont="1" applyBorder="1" applyAlignment="1" applyProtection="1">
      <alignment horizontal="left" vertical="center"/>
      <protection locked="0"/>
    </xf>
    <xf numFmtId="189" fontId="8" fillId="0" borderId="30" xfId="0" applyNumberFormat="1" applyFont="1" applyBorder="1" applyAlignment="1" applyProtection="1">
      <alignment horizontal="left" vertical="center"/>
      <protection locked="0"/>
    </xf>
    <xf numFmtId="189" fontId="8" fillId="0" borderId="0" xfId="0" applyNumberFormat="1" applyFont="1" applyBorder="1" applyAlignment="1" applyProtection="1">
      <alignment horizontal="left" vertical="center"/>
      <protection locked="0"/>
    </xf>
    <xf numFmtId="189" fontId="8" fillId="0" borderId="31" xfId="0" applyNumberFormat="1" applyFont="1" applyBorder="1" applyAlignment="1" applyProtection="1">
      <alignment horizontal="left" vertical="center"/>
      <protection locked="0"/>
    </xf>
    <xf numFmtId="0" fontId="8" fillId="0" borderId="42" xfId="0" applyFont="1" applyBorder="1" applyAlignment="1" applyProtection="1">
      <alignment horizontal="left" vertical="center" wrapText="1"/>
      <protection locked="0"/>
    </xf>
    <xf numFmtId="196" fontId="8" fillId="0" borderId="42" xfId="0" applyNumberFormat="1" applyFont="1" applyBorder="1" applyAlignment="1" applyProtection="1">
      <alignment horizontal="left" vertical="center"/>
      <protection locked="0"/>
    </xf>
    <xf numFmtId="196" fontId="8" fillId="0" borderId="43" xfId="0" applyNumberFormat="1" applyFont="1" applyBorder="1" applyAlignment="1" applyProtection="1">
      <alignment horizontal="left" vertical="center"/>
      <protection locked="0"/>
    </xf>
    <xf numFmtId="0" fontId="44" fillId="2" borderId="27" xfId="90" applyFont="1" applyFill="1" applyBorder="1" applyAlignment="1" applyProtection="1">
      <alignment horizontal="center" vertical="center" wrapText="1"/>
    </xf>
    <xf numFmtId="0" fontId="44" fillId="2" borderId="29" xfId="90" applyFont="1" applyFill="1" applyBorder="1" applyAlignment="1" applyProtection="1">
      <alignment horizontal="center" vertical="center" wrapText="1"/>
    </xf>
    <xf numFmtId="0" fontId="71" fillId="2" borderId="3" xfId="90" applyFont="1" applyFill="1" applyBorder="1" applyAlignment="1" applyProtection="1">
      <alignment horizontal="center" vertical="center" textRotation="90" wrapText="1"/>
    </xf>
    <xf numFmtId="0" fontId="71" fillId="2" borderId="4" xfId="90" applyFont="1" applyFill="1" applyBorder="1" applyAlignment="1" applyProtection="1">
      <alignment horizontal="center" vertical="center" textRotation="90" wrapText="1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27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9" fillId="2" borderId="12" xfId="90" applyFont="1" applyFill="1" applyBorder="1" applyAlignment="1" applyProtection="1">
      <alignment horizontal="center" vertical="center" wrapText="1"/>
    </xf>
    <xf numFmtId="0" fontId="9" fillId="2" borderId="5" xfId="90" applyFont="1" applyFill="1" applyBorder="1" applyAlignment="1" applyProtection="1">
      <alignment horizontal="center" vertical="center" wrapText="1"/>
    </xf>
    <xf numFmtId="0" fontId="67" fillId="2" borderId="26" xfId="90" applyFont="1" applyFill="1" applyBorder="1" applyAlignment="1" applyProtection="1">
      <alignment horizontal="center" vertical="center" wrapText="1"/>
    </xf>
    <xf numFmtId="0" fontId="67" fillId="2" borderId="31" xfId="90" applyFont="1" applyFill="1" applyBorder="1" applyAlignment="1" applyProtection="1">
      <alignment horizontal="center" vertical="center" wrapText="1"/>
    </xf>
    <xf numFmtId="0" fontId="44" fillId="3" borderId="26" xfId="0" applyFont="1" applyFill="1" applyBorder="1" applyAlignment="1" applyProtection="1">
      <alignment horizontal="left" vertical="center"/>
    </xf>
    <xf numFmtId="0" fontId="44" fillId="3" borderId="0" xfId="0" applyFont="1" applyFill="1" applyBorder="1" applyAlignment="1" applyProtection="1">
      <alignment horizontal="left" vertical="center"/>
    </xf>
    <xf numFmtId="0" fontId="8" fillId="4" borderId="69" xfId="90" applyFont="1" applyFill="1" applyBorder="1" applyAlignment="1" applyProtection="1">
      <alignment horizontal="right" vertical="center" wrapText="1"/>
    </xf>
    <xf numFmtId="0" fontId="8" fillId="4" borderId="74" xfId="0" applyFont="1" applyFill="1" applyBorder="1" applyAlignment="1" applyProtection="1">
      <alignment horizontal="left" vertical="center"/>
    </xf>
    <xf numFmtId="0" fontId="8" fillId="4" borderId="75" xfId="0" applyFont="1" applyFill="1" applyBorder="1" applyAlignment="1" applyProtection="1">
      <alignment horizontal="left" vertical="center"/>
    </xf>
    <xf numFmtId="0" fontId="54" fillId="4" borderId="70" xfId="90" applyFont="1" applyFill="1" applyBorder="1" applyAlignment="1" applyProtection="1">
      <alignment horizontal="center" vertical="center" wrapText="1"/>
    </xf>
    <xf numFmtId="0" fontId="54" fillId="4" borderId="75" xfId="90" applyFont="1" applyFill="1" applyBorder="1" applyAlignment="1" applyProtection="1">
      <alignment horizontal="center" vertical="center" wrapText="1"/>
    </xf>
    <xf numFmtId="0" fontId="54" fillId="4" borderId="76" xfId="90" applyFont="1" applyFill="1" applyBorder="1" applyAlignment="1" applyProtection="1">
      <alignment horizontal="center" vertical="center" wrapText="1"/>
    </xf>
    <xf numFmtId="1" fontId="73" fillId="0" borderId="46" xfId="0" applyNumberFormat="1" applyFont="1" applyBorder="1" applyAlignment="1" applyProtection="1">
      <alignment horizontal="center" vertical="center" wrapText="1"/>
    </xf>
    <xf numFmtId="1" fontId="73" fillId="0" borderId="63" xfId="0" applyNumberFormat="1" applyFont="1" applyBorder="1" applyAlignment="1" applyProtection="1">
      <alignment horizontal="center" vertical="center" wrapText="1"/>
    </xf>
    <xf numFmtId="10" fontId="72" fillId="4" borderId="110" xfId="0" applyNumberFormat="1" applyFont="1" applyFill="1" applyBorder="1" applyAlignment="1" applyProtection="1">
      <alignment horizontal="left" vertical="center"/>
    </xf>
    <xf numFmtId="10" fontId="72" fillId="4" borderId="59" xfId="0" applyNumberFormat="1" applyFont="1" applyFill="1" applyBorder="1" applyAlignment="1" applyProtection="1">
      <alignment horizontal="left" vertical="center"/>
    </xf>
    <xf numFmtId="10" fontId="70" fillId="4" borderId="110" xfId="0" applyNumberFormat="1" applyFont="1" applyFill="1" applyBorder="1" applyAlignment="1" applyProtection="1">
      <alignment horizontal="left" vertical="center"/>
    </xf>
    <xf numFmtId="10" fontId="70" fillId="4" borderId="59" xfId="0" applyNumberFormat="1" applyFont="1" applyFill="1" applyBorder="1" applyAlignment="1" applyProtection="1">
      <alignment horizontal="left" vertical="center"/>
    </xf>
    <xf numFmtId="0" fontId="8" fillId="4" borderId="110" xfId="0" applyFont="1" applyFill="1" applyBorder="1" applyAlignment="1" applyProtection="1">
      <alignment horizontal="left" vertical="center"/>
    </xf>
    <xf numFmtId="0" fontId="8" fillId="4" borderId="59" xfId="0" applyFont="1" applyFill="1" applyBorder="1" applyAlignment="1" applyProtection="1">
      <alignment horizontal="left" vertical="center"/>
    </xf>
    <xf numFmtId="0" fontId="73" fillId="0" borderId="107" xfId="0" applyFont="1" applyBorder="1" applyAlignment="1" applyProtection="1">
      <alignment horizontal="center" vertical="center" textRotation="90" wrapText="1"/>
    </xf>
    <xf numFmtId="0" fontId="73" fillId="0" borderId="27" xfId="0" applyFont="1" applyBorder="1" applyAlignment="1" applyProtection="1">
      <alignment horizontal="center" vertical="center" textRotation="90" wrapText="1"/>
    </xf>
    <xf numFmtId="170" fontId="54" fillId="4" borderId="74" xfId="0" applyNumberFormat="1" applyFont="1" applyFill="1" applyBorder="1" applyAlignment="1" applyProtection="1">
      <alignment horizontal="center" vertical="center"/>
    </xf>
    <xf numFmtId="170" fontId="54" fillId="4" borderId="75" xfId="0" applyNumberFormat="1" applyFont="1" applyFill="1" applyBorder="1" applyAlignment="1" applyProtection="1">
      <alignment horizontal="center" vertical="center"/>
    </xf>
    <xf numFmtId="170" fontId="54" fillId="4" borderId="76" xfId="0" applyNumberFormat="1" applyFont="1" applyFill="1" applyBorder="1" applyAlignment="1" applyProtection="1">
      <alignment horizontal="center" vertical="center"/>
    </xf>
    <xf numFmtId="170" fontId="8" fillId="3" borderId="0" xfId="0" applyNumberFormat="1" applyFont="1" applyFill="1" applyBorder="1" applyAlignment="1" applyProtection="1">
      <alignment horizontal="center" vertical="center"/>
    </xf>
    <xf numFmtId="170" fontId="8" fillId="3" borderId="31" xfId="0" applyNumberFormat="1" applyFont="1" applyFill="1" applyBorder="1" applyAlignment="1" applyProtection="1">
      <alignment horizontal="center" vertical="center"/>
    </xf>
    <xf numFmtId="0" fontId="66" fillId="4" borderId="120" xfId="90" applyFont="1" applyFill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/>
      <protection locked="0"/>
    </xf>
    <xf numFmtId="0" fontId="24" fillId="0" borderId="5" xfId="0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center"/>
      <protection locked="0"/>
    </xf>
    <xf numFmtId="0" fontId="24" fillId="0" borderId="31" xfId="0" applyFont="1" applyBorder="1" applyAlignment="1" applyProtection="1">
      <alignment horizontal="center"/>
      <protection locked="0"/>
    </xf>
    <xf numFmtId="0" fontId="7" fillId="3" borderId="11" xfId="151" applyFont="1" applyFill="1" applyBorder="1" applyAlignment="1" applyProtection="1">
      <alignment horizontal="center" vertical="center"/>
    </xf>
    <xf numFmtId="0" fontId="7" fillId="3" borderId="12" xfId="151" applyFont="1" applyFill="1" applyBorder="1" applyAlignment="1" applyProtection="1">
      <alignment horizontal="center" vertical="center"/>
    </xf>
    <xf numFmtId="1" fontId="8" fillId="18" borderId="57" xfId="0" applyNumberFormat="1" applyFont="1" applyFill="1" applyBorder="1" applyAlignment="1" applyProtection="1">
      <alignment horizontal="center" vertical="center"/>
    </xf>
    <xf numFmtId="0" fontId="24" fillId="0" borderId="53" xfId="0" applyFont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43" fillId="0" borderId="94" xfId="0" applyFont="1" applyBorder="1" applyAlignment="1" applyProtection="1">
      <alignment horizontal="center" vertical="center" wrapText="1"/>
    </xf>
    <xf numFmtId="0" fontId="43" fillId="0" borderId="96" xfId="0" applyFont="1" applyBorder="1" applyAlignment="1" applyProtection="1">
      <alignment horizontal="center" vertical="center" wrapText="1"/>
    </xf>
    <xf numFmtId="170" fontId="61" fillId="0" borderId="12" xfId="0" applyNumberFormat="1" applyFont="1" applyBorder="1" applyAlignment="1" applyProtection="1">
      <alignment horizontal="center" vertical="center" wrapText="1"/>
    </xf>
    <xf numFmtId="0" fontId="70" fillId="4" borderId="45" xfId="0" applyFont="1" applyFill="1" applyBorder="1" applyAlignment="1" applyProtection="1">
      <alignment horizontal="left" vertical="center"/>
    </xf>
    <xf numFmtId="0" fontId="70" fillId="4" borderId="48" xfId="0" applyFont="1" applyFill="1" applyBorder="1" applyAlignment="1" applyProtection="1">
      <alignment horizontal="left" vertical="center"/>
    </xf>
    <xf numFmtId="0" fontId="79" fillId="0" borderId="104" xfId="151" applyFont="1" applyBorder="1" applyAlignment="1" applyProtection="1">
      <alignment horizontal="center" wrapText="1"/>
    </xf>
    <xf numFmtId="12" fontId="8" fillId="4" borderId="47" xfId="0" applyNumberFormat="1" applyFont="1" applyFill="1" applyBorder="1" applyAlignment="1" applyProtection="1">
      <alignment horizontal="left" vertical="center" wrapText="1"/>
    </xf>
    <xf numFmtId="12" fontId="8" fillId="4" borderId="0" xfId="0" applyNumberFormat="1" applyFont="1" applyFill="1" applyBorder="1" applyAlignment="1" applyProtection="1">
      <alignment horizontal="left" vertical="center" wrapText="1"/>
    </xf>
    <xf numFmtId="0" fontId="43" fillId="0" borderId="31" xfId="0" applyFont="1" applyBorder="1" applyAlignment="1" applyProtection="1">
      <alignment horizontal="center" vertical="top"/>
    </xf>
    <xf numFmtId="0" fontId="69" fillId="4" borderId="5" xfId="0" applyFont="1" applyFill="1" applyBorder="1" applyAlignment="1" applyProtection="1">
      <alignment horizontal="left" vertical="center" wrapText="1"/>
    </xf>
    <xf numFmtId="0" fontId="6" fillId="4" borderId="0" xfId="82" applyFont="1" applyFill="1" applyBorder="1" applyAlignment="1" applyProtection="1">
      <alignment horizontal="left" vertical="top" wrapText="1"/>
    </xf>
    <xf numFmtId="0" fontId="95" fillId="3" borderId="137" xfId="151" applyFont="1" applyFill="1" applyBorder="1" applyAlignment="1" applyProtection="1">
      <alignment horizontal="center" vertical="center"/>
    </xf>
    <xf numFmtId="0" fontId="51" fillId="0" borderId="44" xfId="150" applyFont="1" applyBorder="1" applyAlignment="1" applyProtection="1">
      <alignment horizontal="center" wrapText="1"/>
    </xf>
    <xf numFmtId="0" fontId="51" fillId="0" borderId="0" xfId="152" applyFont="1" applyFill="1" applyBorder="1" applyAlignment="1" applyProtection="1">
      <alignment horizontal="center" vertical="center" wrapText="1"/>
    </xf>
    <xf numFmtId="0" fontId="6" fillId="0" borderId="26" xfId="194" applyBorder="1" applyAlignment="1" applyProtection="1">
      <alignment horizontal="center"/>
    </xf>
    <xf numFmtId="0" fontId="6" fillId="0" borderId="0" xfId="194" applyBorder="1" applyAlignment="1" applyProtection="1">
      <alignment horizontal="center"/>
    </xf>
    <xf numFmtId="0" fontId="44" fillId="3" borderId="9" xfId="194" applyFont="1" applyFill="1" applyBorder="1" applyAlignment="1" applyProtection="1">
      <alignment horizontal="center" vertical="center"/>
    </xf>
    <xf numFmtId="0" fontId="44" fillId="3" borderId="10" xfId="194" applyFont="1" applyFill="1" applyBorder="1" applyAlignment="1" applyProtection="1">
      <alignment horizontal="center" vertical="center"/>
    </xf>
    <xf numFmtId="0" fontId="44" fillId="3" borderId="7" xfId="194" applyFont="1" applyFill="1" applyBorder="1" applyAlignment="1" applyProtection="1">
      <alignment horizontal="center" vertical="center"/>
    </xf>
    <xf numFmtId="0" fontId="45" fillId="4" borderId="26" xfId="82" applyFont="1" applyFill="1" applyBorder="1" applyAlignment="1" applyProtection="1">
      <alignment horizontal="center" vertical="top" wrapText="1"/>
      <protection locked="0"/>
    </xf>
    <xf numFmtId="0" fontId="45" fillId="4" borderId="0" xfId="82" applyFont="1" applyFill="1" applyBorder="1" applyAlignment="1" applyProtection="1">
      <alignment horizontal="center" vertical="top" wrapText="1"/>
      <protection locked="0"/>
    </xf>
    <xf numFmtId="0" fontId="45" fillId="4" borderId="31" xfId="82" applyFont="1" applyFill="1" applyBorder="1" applyAlignment="1" applyProtection="1">
      <alignment horizontal="center" vertical="top" wrapText="1"/>
      <protection locked="0"/>
    </xf>
    <xf numFmtId="170" fontId="45" fillId="4" borderId="27" xfId="108" applyNumberFormat="1" applyFont="1" applyFill="1" applyBorder="1" applyAlignment="1" applyProtection="1">
      <alignment horizontal="center"/>
      <protection locked="0"/>
    </xf>
    <xf numFmtId="170" fontId="45" fillId="4" borderId="5" xfId="108" applyNumberFormat="1" applyFont="1" applyFill="1" applyBorder="1" applyAlignment="1" applyProtection="1">
      <alignment horizontal="center"/>
      <protection locked="0"/>
    </xf>
    <xf numFmtId="170" fontId="45" fillId="4" borderId="29" xfId="108" applyNumberFormat="1" applyFont="1" applyFill="1" applyBorder="1" applyAlignment="1" applyProtection="1">
      <alignment horizontal="center"/>
      <protection locked="0"/>
    </xf>
    <xf numFmtId="0" fontId="45" fillId="4" borderId="26" xfId="194" applyFont="1" applyFill="1" applyBorder="1" applyAlignment="1" applyProtection="1">
      <alignment horizontal="left" vertical="center"/>
    </xf>
    <xf numFmtId="0" fontId="45" fillId="4" borderId="0" xfId="194" applyFont="1" applyFill="1" applyBorder="1" applyAlignment="1" applyProtection="1">
      <alignment horizontal="left" vertical="center"/>
    </xf>
    <xf numFmtId="0" fontId="45" fillId="4" borderId="31" xfId="194" applyFont="1" applyFill="1" applyBorder="1" applyAlignment="1" applyProtection="1">
      <alignment horizontal="left" vertical="center"/>
    </xf>
    <xf numFmtId="0" fontId="45" fillId="4" borderId="27" xfId="194" applyFont="1" applyFill="1" applyBorder="1" applyAlignment="1" applyProtection="1">
      <alignment horizontal="left" vertical="center"/>
    </xf>
    <xf numFmtId="0" fontId="45" fillId="4" borderId="5" xfId="194" applyFont="1" applyFill="1" applyBorder="1" applyAlignment="1" applyProtection="1">
      <alignment horizontal="left" vertical="center"/>
    </xf>
    <xf numFmtId="0" fontId="45" fillId="4" borderId="29" xfId="194" applyFont="1" applyFill="1" applyBorder="1" applyAlignment="1" applyProtection="1">
      <alignment horizontal="left" vertical="center"/>
    </xf>
    <xf numFmtId="0" fontId="7" fillId="4" borderId="12" xfId="82" applyFont="1" applyFill="1" applyBorder="1" applyAlignment="1" applyProtection="1">
      <alignment horizontal="left" vertical="center" wrapText="1"/>
    </xf>
    <xf numFmtId="175" fontId="45" fillId="4" borderId="11" xfId="194" applyNumberFormat="1" applyFont="1" applyFill="1" applyBorder="1" applyAlignment="1" applyProtection="1">
      <alignment horizontal="center" vertical="center"/>
    </xf>
    <xf numFmtId="175" fontId="45" fillId="4" borderId="30" xfId="194" applyNumberFormat="1" applyFont="1" applyFill="1" applyBorder="1" applyAlignment="1" applyProtection="1">
      <alignment horizontal="center" vertical="center"/>
    </xf>
    <xf numFmtId="176" fontId="45" fillId="0" borderId="9" xfId="78" applyNumberFormat="1" applyFont="1" applyBorder="1" applyAlignment="1" applyProtection="1">
      <alignment horizontal="center" vertical="center"/>
    </xf>
    <xf numFmtId="176" fontId="45" fillId="0" borderId="7" xfId="78" applyNumberFormat="1" applyFont="1" applyBorder="1" applyAlignment="1" applyProtection="1">
      <alignment horizontal="center" vertical="center"/>
    </xf>
    <xf numFmtId="175" fontId="45" fillId="4" borderId="9" xfId="194" applyNumberFormat="1" applyFont="1" applyFill="1" applyBorder="1" applyAlignment="1" applyProtection="1">
      <alignment horizontal="center" vertical="center"/>
    </xf>
    <xf numFmtId="175" fontId="45" fillId="4" borderId="7" xfId="194" applyNumberFormat="1" applyFont="1" applyFill="1" applyBorder="1" applyAlignment="1" applyProtection="1">
      <alignment horizontal="center" vertical="center"/>
    </xf>
    <xf numFmtId="0" fontId="9" fillId="2" borderId="11" xfId="194" applyFont="1" applyFill="1" applyBorder="1" applyAlignment="1" applyProtection="1">
      <alignment horizontal="center" vertical="center" wrapText="1"/>
    </xf>
    <xf numFmtId="0" fontId="9" fillId="2" borderId="30" xfId="194" applyFont="1" applyFill="1" applyBorder="1" applyAlignment="1" applyProtection="1">
      <alignment horizontal="center" vertical="center" wrapText="1"/>
    </xf>
    <xf numFmtId="0" fontId="9" fillId="2" borderId="27" xfId="194" applyFont="1" applyFill="1" applyBorder="1" applyAlignment="1" applyProtection="1">
      <alignment horizontal="center" vertical="center" wrapText="1"/>
    </xf>
    <xf numFmtId="0" fontId="9" fillId="2" borderId="29" xfId="194" applyFont="1" applyFill="1" applyBorder="1" applyAlignment="1" applyProtection="1">
      <alignment horizontal="center" vertical="center" wrapText="1"/>
    </xf>
    <xf numFmtId="0" fontId="45" fillId="3" borderId="26" xfId="194" applyFont="1" applyFill="1" applyBorder="1" applyAlignment="1" applyProtection="1"/>
    <xf numFmtId="0" fontId="45" fillId="3" borderId="0" xfId="194" applyFont="1" applyFill="1" applyBorder="1" applyAlignment="1" applyProtection="1"/>
    <xf numFmtId="0" fontId="6" fillId="0" borderId="11" xfId="78" applyBorder="1" applyAlignment="1" applyProtection="1">
      <alignment horizontal="center"/>
    </xf>
    <xf numFmtId="0" fontId="6" fillId="0" borderId="12" xfId="78" applyBorder="1" applyAlignment="1" applyProtection="1">
      <alignment horizontal="center"/>
    </xf>
    <xf numFmtId="0" fontId="6" fillId="0" borderId="30" xfId="78" applyBorder="1" applyAlignment="1" applyProtection="1">
      <alignment horizontal="center"/>
    </xf>
    <xf numFmtId="0" fontId="6" fillId="0" borderId="26" xfId="78" applyBorder="1" applyAlignment="1" applyProtection="1">
      <alignment horizontal="center"/>
    </xf>
    <xf numFmtId="0" fontId="6" fillId="0" borderId="0" xfId="78" applyBorder="1" applyAlignment="1" applyProtection="1">
      <alignment horizontal="center"/>
    </xf>
    <xf numFmtId="0" fontId="6" fillId="0" borderId="31" xfId="78" applyBorder="1" applyAlignment="1" applyProtection="1">
      <alignment horizontal="center"/>
    </xf>
    <xf numFmtId="0" fontId="6" fillId="0" borderId="27" xfId="78" applyBorder="1" applyAlignment="1" applyProtection="1">
      <alignment horizontal="center"/>
    </xf>
    <xf numFmtId="0" fontId="6" fillId="0" borderId="5" xfId="78" applyBorder="1" applyAlignment="1" applyProtection="1">
      <alignment horizontal="center"/>
    </xf>
    <xf numFmtId="0" fontId="6" fillId="0" borderId="29" xfId="78" applyBorder="1" applyAlignment="1" applyProtection="1">
      <alignment horizontal="center"/>
    </xf>
    <xf numFmtId="0" fontId="90" fillId="4" borderId="11" xfId="89" applyFont="1" applyFill="1" applyBorder="1" applyAlignment="1" applyProtection="1">
      <alignment horizontal="left" vertical="center" wrapText="1"/>
    </xf>
    <xf numFmtId="0" fontId="90" fillId="4" borderId="12" xfId="89" applyFont="1" applyFill="1" applyBorder="1" applyAlignment="1" applyProtection="1">
      <alignment horizontal="left" vertical="center" wrapText="1"/>
    </xf>
    <xf numFmtId="0" fontId="90" fillId="4" borderId="30" xfId="89" applyFont="1" applyFill="1" applyBorder="1" applyAlignment="1" applyProtection="1">
      <alignment horizontal="left" vertical="center" wrapText="1"/>
    </xf>
    <xf numFmtId="1" fontId="45" fillId="4" borderId="9" xfId="194" applyNumberFormat="1" applyFont="1" applyFill="1" applyBorder="1" applyAlignment="1" applyProtection="1">
      <alignment horizontal="center" vertical="center"/>
    </xf>
    <xf numFmtId="1" fontId="45" fillId="4" borderId="7" xfId="194" applyNumberFormat="1" applyFont="1" applyFill="1" applyBorder="1" applyAlignment="1" applyProtection="1">
      <alignment horizontal="center" vertical="center"/>
    </xf>
    <xf numFmtId="0" fontId="90" fillId="4" borderId="26" xfId="89" applyFont="1" applyFill="1" applyBorder="1" applyAlignment="1" applyProtection="1">
      <alignment horizontal="left" vertical="center" wrapText="1"/>
    </xf>
    <xf numFmtId="0" fontId="90" fillId="4" borderId="0" xfId="89" applyFont="1" applyFill="1" applyBorder="1" applyAlignment="1" applyProtection="1">
      <alignment horizontal="left" vertical="center" wrapText="1"/>
    </xf>
    <xf numFmtId="0" fontId="90" fillId="4" borderId="31" xfId="89" applyFont="1" applyFill="1" applyBorder="1" applyAlignment="1" applyProtection="1">
      <alignment horizontal="left" vertical="center" wrapText="1"/>
    </xf>
    <xf numFmtId="0" fontId="90" fillId="4" borderId="9" xfId="89" applyFont="1" applyFill="1" applyBorder="1" applyAlignment="1" applyProtection="1">
      <alignment horizontal="left" vertical="center"/>
    </xf>
    <xf numFmtId="0" fontId="90" fillId="4" borderId="10" xfId="89" applyFont="1" applyFill="1" applyBorder="1" applyAlignment="1" applyProtection="1">
      <alignment horizontal="left" vertical="center"/>
    </xf>
    <xf numFmtId="0" fontId="90" fillId="4" borderId="7" xfId="89" applyFont="1" applyFill="1" applyBorder="1" applyAlignment="1" applyProtection="1">
      <alignment horizontal="left" vertical="center"/>
    </xf>
    <xf numFmtId="0" fontId="7" fillId="4" borderId="11" xfId="78" applyFont="1" applyFill="1" applyBorder="1" applyAlignment="1" applyProtection="1">
      <alignment horizontal="center" vertical="center" wrapText="1"/>
    </xf>
    <xf numFmtId="0" fontId="7" fillId="4" borderId="12" xfId="78" applyFont="1" applyFill="1" applyBorder="1" applyAlignment="1" applyProtection="1">
      <alignment horizontal="center" vertical="center" wrapText="1"/>
    </xf>
    <xf numFmtId="0" fontId="7" fillId="4" borderId="30" xfId="78" applyFont="1" applyFill="1" applyBorder="1" applyAlignment="1" applyProtection="1">
      <alignment horizontal="center" vertical="center" wrapText="1"/>
    </xf>
    <xf numFmtId="0" fontId="7" fillId="4" borderId="26" xfId="78" applyFont="1" applyFill="1" applyBorder="1" applyAlignment="1" applyProtection="1">
      <alignment horizontal="center" vertical="center" wrapText="1"/>
    </xf>
    <xf numFmtId="0" fontId="7" fillId="4" borderId="0" xfId="78" applyFont="1" applyFill="1" applyBorder="1" applyAlignment="1" applyProtection="1">
      <alignment horizontal="center" vertical="center" wrapText="1"/>
    </xf>
    <xf numFmtId="0" fontId="7" fillId="4" borderId="31" xfId="78" applyFont="1" applyFill="1" applyBorder="1" applyAlignment="1" applyProtection="1">
      <alignment horizontal="center" vertical="center" wrapText="1"/>
    </xf>
    <xf numFmtId="0" fontId="7" fillId="4" borderId="27" xfId="78" applyFont="1" applyFill="1" applyBorder="1" applyAlignment="1" applyProtection="1">
      <alignment horizontal="center" vertical="center" wrapText="1"/>
    </xf>
    <xf numFmtId="0" fontId="7" fillId="4" borderId="5" xfId="78" applyFont="1" applyFill="1" applyBorder="1" applyAlignment="1" applyProtection="1">
      <alignment horizontal="center" vertical="center" wrapText="1"/>
    </xf>
    <xf numFmtId="0" fontId="7" fillId="4" borderId="29" xfId="78" applyFont="1" applyFill="1" applyBorder="1" applyAlignment="1" applyProtection="1">
      <alignment horizontal="center" vertical="center" wrapText="1"/>
    </xf>
    <xf numFmtId="0" fontId="9" fillId="2" borderId="9" xfId="194" applyFont="1" applyFill="1" applyBorder="1" applyAlignment="1" applyProtection="1">
      <alignment horizontal="center" vertical="center"/>
    </xf>
    <xf numFmtId="0" fontId="9" fillId="2" borderId="10" xfId="194" applyFont="1" applyFill="1" applyBorder="1" applyAlignment="1" applyProtection="1">
      <alignment horizontal="center" vertical="center"/>
    </xf>
    <xf numFmtId="0" fontId="9" fillId="2" borderId="7" xfId="194" applyFont="1" applyFill="1" applyBorder="1" applyAlignment="1" applyProtection="1">
      <alignment horizontal="center" vertical="center"/>
    </xf>
    <xf numFmtId="0" fontId="9" fillId="2" borderId="9" xfId="194" applyFont="1" applyFill="1" applyBorder="1" applyAlignment="1" applyProtection="1">
      <alignment horizontal="center" vertical="center" wrapText="1"/>
    </xf>
    <xf numFmtId="0" fontId="9" fillId="2" borderId="10" xfId="194" applyFont="1" applyFill="1" applyBorder="1" applyAlignment="1" applyProtection="1">
      <alignment horizontal="center" vertical="center" wrapText="1"/>
    </xf>
    <xf numFmtId="0" fontId="9" fillId="2" borderId="7" xfId="194" applyFont="1" applyFill="1" applyBorder="1" applyAlignment="1" applyProtection="1">
      <alignment horizontal="center" vertical="center" wrapText="1"/>
    </xf>
    <xf numFmtId="0" fontId="9" fillId="2" borderId="3" xfId="194" applyFont="1" applyFill="1" applyBorder="1" applyAlignment="1" applyProtection="1">
      <alignment horizontal="center" vertical="center" wrapText="1"/>
    </xf>
    <xf numFmtId="0" fontId="9" fillId="2" borderId="1" xfId="194" applyFont="1" applyFill="1" applyBorder="1" applyAlignment="1" applyProtection="1">
      <alignment horizontal="center" vertical="center" wrapText="1"/>
    </xf>
    <xf numFmtId="0" fontId="9" fillId="2" borderId="4" xfId="194" applyFont="1" applyFill="1" applyBorder="1" applyAlignment="1" applyProtection="1">
      <alignment horizontal="center" vertical="center" wrapText="1"/>
    </xf>
    <xf numFmtId="1" fontId="45" fillId="4" borderId="2" xfId="194" applyNumberFormat="1" applyFont="1" applyFill="1" applyBorder="1" applyAlignment="1" applyProtection="1">
      <alignment horizontal="center" vertical="center"/>
    </xf>
    <xf numFmtId="175" fontId="45" fillId="4" borderId="2" xfId="194" applyNumberFormat="1" applyFont="1" applyFill="1" applyBorder="1" applyAlignment="1" applyProtection="1">
      <alignment horizontal="center" vertical="center"/>
    </xf>
    <xf numFmtId="0" fontId="45" fillId="3" borderId="12" xfId="194" applyFont="1" applyFill="1" applyBorder="1" applyAlignment="1" applyProtection="1">
      <alignment horizontal="right"/>
    </xf>
    <xf numFmtId="0" fontId="45" fillId="3" borderId="30" xfId="194" applyFont="1" applyFill="1" applyBorder="1" applyAlignment="1" applyProtection="1">
      <alignment horizontal="right"/>
    </xf>
    <xf numFmtId="0" fontId="45" fillId="3" borderId="0" xfId="194" applyFont="1" applyFill="1" applyBorder="1" applyAlignment="1" applyProtection="1">
      <alignment horizontal="right"/>
    </xf>
    <xf numFmtId="0" fontId="45" fillId="3" borderId="31" xfId="194" applyFont="1" applyFill="1" applyBorder="1" applyAlignment="1" applyProtection="1">
      <alignment horizontal="right"/>
    </xf>
    <xf numFmtId="0" fontId="45" fillId="3" borderId="11" xfId="194" applyFont="1" applyFill="1" applyBorder="1" applyAlignment="1" applyProtection="1"/>
    <xf numFmtId="0" fontId="45" fillId="3" borderId="12" xfId="194" applyFont="1" applyFill="1" applyBorder="1" applyAlignment="1" applyProtection="1"/>
    <xf numFmtId="0" fontId="45" fillId="3" borderId="27" xfId="194" applyFont="1" applyFill="1" applyBorder="1" applyAlignment="1" applyProtection="1"/>
    <xf numFmtId="0" fontId="45" fillId="3" borderId="5" xfId="194" applyFont="1" applyFill="1" applyBorder="1" applyAlignment="1" applyProtection="1"/>
    <xf numFmtId="175" fontId="45" fillId="0" borderId="9" xfId="194" applyNumberFormat="1" applyFont="1" applyBorder="1" applyAlignment="1" applyProtection="1">
      <alignment horizontal="center"/>
    </xf>
    <xf numFmtId="175" fontId="45" fillId="0" borderId="10" xfId="194" applyNumberFormat="1" applyFont="1" applyBorder="1" applyAlignment="1" applyProtection="1">
      <alignment horizontal="center"/>
    </xf>
    <xf numFmtId="175" fontId="45" fillId="0" borderId="7" xfId="194" applyNumberFormat="1" applyFont="1" applyBorder="1" applyAlignment="1" applyProtection="1">
      <alignment horizontal="center"/>
    </xf>
    <xf numFmtId="175" fontId="45" fillId="4" borderId="3" xfId="194" applyNumberFormat="1" applyFont="1" applyFill="1" applyBorder="1" applyAlignment="1" applyProtection="1">
      <alignment horizontal="center" vertical="center"/>
    </xf>
    <xf numFmtId="0" fontId="45" fillId="3" borderId="5" xfId="194" applyFont="1" applyFill="1" applyBorder="1" applyAlignment="1" applyProtection="1">
      <alignment horizontal="right"/>
    </xf>
    <xf numFmtId="0" fontId="45" fillId="3" borderId="29" xfId="194" applyFont="1" applyFill="1" applyBorder="1" applyAlignment="1" applyProtection="1">
      <alignment horizontal="right"/>
    </xf>
    <xf numFmtId="0" fontId="44" fillId="0" borderId="12" xfId="89" applyFont="1" applyFill="1" applyBorder="1" applyAlignment="1" applyProtection="1">
      <alignment horizontal="center"/>
      <protection locked="0"/>
    </xf>
    <xf numFmtId="0" fontId="44" fillId="0" borderId="30" xfId="89" applyFont="1" applyFill="1" applyBorder="1" applyAlignment="1" applyProtection="1">
      <alignment horizontal="center"/>
      <protection locked="0"/>
    </xf>
    <xf numFmtId="0" fontId="45" fillId="0" borderId="0" xfId="89" applyFont="1" applyFill="1" applyBorder="1" applyAlignment="1" applyProtection="1">
      <protection locked="0"/>
    </xf>
    <xf numFmtId="0" fontId="45" fillId="0" borderId="31" xfId="89" applyFont="1" applyFill="1" applyBorder="1" applyAlignment="1" applyProtection="1">
      <protection locked="0"/>
    </xf>
    <xf numFmtId="0" fontId="6" fillId="4" borderId="0" xfId="89" applyFont="1" applyFill="1" applyBorder="1" applyAlignment="1" applyProtection="1">
      <protection locked="0"/>
    </xf>
    <xf numFmtId="0" fontId="6" fillId="4" borderId="31" xfId="89" applyFont="1" applyFill="1" applyBorder="1" applyAlignment="1" applyProtection="1">
      <protection locked="0"/>
    </xf>
    <xf numFmtId="0" fontId="6" fillId="0" borderId="0" xfId="89" applyFont="1" applyFill="1" applyBorder="1" applyAlignment="1" applyProtection="1">
      <alignment horizontal="left"/>
      <protection locked="0"/>
    </xf>
    <xf numFmtId="0" fontId="6" fillId="0" borderId="31" xfId="89" applyFont="1" applyFill="1" applyBorder="1" applyAlignment="1" applyProtection="1">
      <alignment horizontal="left"/>
      <protection locked="0"/>
    </xf>
    <xf numFmtId="0" fontId="6" fillId="0" borderId="0" xfId="89" applyFont="1" applyFill="1" applyBorder="1" applyAlignment="1" applyProtection="1">
      <alignment horizontal="left" vertical="center"/>
      <protection locked="0"/>
    </xf>
    <xf numFmtId="0" fontId="93" fillId="4" borderId="0" xfId="0" applyFont="1" applyFill="1" applyBorder="1" applyAlignment="1" applyProtection="1">
      <alignment horizontal="right" vertical="center"/>
    </xf>
    <xf numFmtId="0" fontId="92" fillId="4" borderId="0" xfId="196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0" fontId="28" fillId="4" borderId="9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 applyProtection="1">
      <alignment horizontal="center" vertical="center" wrapText="1"/>
    </xf>
    <xf numFmtId="0" fontId="28" fillId="4" borderId="10" xfId="0" applyFont="1" applyFill="1" applyBorder="1" applyAlignment="1" applyProtection="1">
      <alignment horizontal="center" vertical="center" wrapText="1"/>
    </xf>
    <xf numFmtId="0" fontId="28" fillId="4" borderId="31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175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75" fontId="24" fillId="0" borderId="9" xfId="0" applyNumberFormat="1" applyFont="1" applyBorder="1" applyAlignment="1">
      <alignment horizontal="center" vertical="center"/>
    </xf>
    <xf numFmtId="175" fontId="24" fillId="0" borderId="7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170" fontId="25" fillId="0" borderId="9" xfId="0" applyNumberFormat="1" applyFont="1" applyBorder="1" applyAlignment="1">
      <alignment horizontal="center"/>
    </xf>
    <xf numFmtId="170" fontId="25" fillId="0" borderId="10" xfId="0" applyNumberFormat="1" applyFont="1" applyBorder="1" applyAlignment="1">
      <alignment horizontal="center"/>
    </xf>
    <xf numFmtId="170" fontId="25" fillId="0" borderId="7" xfId="0" applyNumberFormat="1" applyFont="1" applyBorder="1" applyAlignment="1">
      <alignment horizontal="center"/>
    </xf>
    <xf numFmtId="0" fontId="24" fillId="0" borderId="0" xfId="104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5" fillId="0" borderId="2" xfId="0" applyFont="1" applyBorder="1" applyAlignment="1">
      <alignment horizontal="center"/>
    </xf>
    <xf numFmtId="0" fontId="24" fillId="0" borderId="10" xfId="104" applyFont="1" applyBorder="1" applyAlignment="1">
      <alignment horizontal="left"/>
    </xf>
    <xf numFmtId="1" fontId="25" fillId="0" borderId="9" xfId="0" applyNumberFormat="1" applyFont="1" applyBorder="1" applyAlignment="1">
      <alignment horizontal="justify" vertical="center" wrapText="1"/>
    </xf>
    <xf numFmtId="1" fontId="25" fillId="0" borderId="7" xfId="0" applyNumberFormat="1" applyFont="1" applyBorder="1" applyAlignment="1">
      <alignment horizontal="justify" vertical="center" wrapText="1"/>
    </xf>
    <xf numFmtId="0" fontId="24" fillId="0" borderId="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4" fillId="0" borderId="9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11" xfId="0" applyFont="1" applyFill="1" applyBorder="1" applyAlignment="1">
      <alignment horizontal="center"/>
    </xf>
    <xf numFmtId="0" fontId="24" fillId="0" borderId="30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24" fillId="0" borderId="31" xfId="0" applyFont="1" applyFill="1" applyBorder="1" applyAlignment="1">
      <alignment horizontal="center"/>
    </xf>
    <xf numFmtId="0" fontId="24" fillId="0" borderId="27" xfId="0" applyFont="1" applyFill="1" applyBorder="1" applyAlignment="1">
      <alignment horizontal="center"/>
    </xf>
    <xf numFmtId="0" fontId="24" fillId="0" borderId="29" xfId="0" applyFont="1" applyFill="1" applyBorder="1" applyAlignment="1">
      <alignment horizontal="center"/>
    </xf>
    <xf numFmtId="0" fontId="24" fillId="0" borderId="3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14" fontId="24" fillId="0" borderId="11" xfId="0" applyNumberFormat="1" applyFont="1" applyBorder="1" applyAlignment="1">
      <alignment horizontal="center" vertical="center" wrapText="1"/>
    </xf>
    <xf numFmtId="14" fontId="24" fillId="0" borderId="30" xfId="0" applyNumberFormat="1" applyFont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vertical="center" wrapText="1"/>
    </xf>
    <xf numFmtId="14" fontId="24" fillId="0" borderId="29" xfId="0" applyNumberFormat="1" applyFont="1" applyBorder="1" applyAlignment="1">
      <alignment horizontal="center" vertical="center" wrapText="1"/>
    </xf>
    <xf numFmtId="189" fontId="27" fillId="0" borderId="10" xfId="0" applyNumberFormat="1" applyFont="1" applyBorder="1" applyAlignment="1">
      <alignment horizontal="center"/>
    </xf>
    <xf numFmtId="170" fontId="25" fillId="0" borderId="2" xfId="0" applyNumberFormat="1" applyFont="1" applyBorder="1" applyAlignment="1">
      <alignment horizontal="center" vertical="center"/>
    </xf>
    <xf numFmtId="170" fontId="24" fillId="0" borderId="2" xfId="0" applyNumberFormat="1" applyFont="1" applyBorder="1" applyAlignment="1">
      <alignment horizontal="center" vertical="center"/>
    </xf>
    <xf numFmtId="0" fontId="6" fillId="0" borderId="0" xfId="73" applyBorder="1" applyAlignment="1">
      <alignment horizontal="right"/>
    </xf>
    <xf numFmtId="0" fontId="23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6" fillId="0" borderId="0" xfId="78" applyBorder="1" applyAlignment="1">
      <alignment horizontal="right"/>
    </xf>
    <xf numFmtId="0" fontId="2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75" fontId="6" fillId="0" borderId="2" xfId="73" applyNumberFormat="1" applyBorder="1" applyAlignment="1">
      <alignment horizontal="center"/>
    </xf>
    <xf numFmtId="0" fontId="23" fillId="2" borderId="9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</cellXfs>
  <cellStyles count="197">
    <cellStyle name="CIENTOS" xfId="1"/>
    <cellStyle name="CIENTOS 2D" xfId="2"/>
    <cellStyle name="CIENTOS 3D" xfId="3"/>
    <cellStyle name="CIENTOS 4D" xfId="4"/>
    <cellStyle name="CIENTOS_Acta 01 Sep15 a Oct 31_07 Rogelio" xfId="5"/>
    <cellStyle name="Comma" xfId="6"/>
    <cellStyle name="Comma0" xfId="7"/>
    <cellStyle name="Comma0 - Modelo5" xfId="8"/>
    <cellStyle name="Comma1 - Modelo1" xfId="9"/>
    <cellStyle name="Curren - Modelo2" xfId="10"/>
    <cellStyle name="Curren - Modelo6" xfId="11"/>
    <cellStyle name="Currency" xfId="12"/>
    <cellStyle name="Currency0" xfId="13"/>
    <cellStyle name="Date" xfId="14"/>
    <cellStyle name="Date - Modelo4" xfId="15"/>
    <cellStyle name="Euro" xfId="16"/>
    <cellStyle name="Euro 2" xfId="17"/>
    <cellStyle name="Euro 3" xfId="18"/>
    <cellStyle name="Euro 4" xfId="19"/>
    <cellStyle name="Euro 5" xfId="20"/>
    <cellStyle name="Euro_ACTAS DE OBRA CONTRATO" xfId="21"/>
    <cellStyle name="F2" xfId="22"/>
    <cellStyle name="F3" xfId="23"/>
    <cellStyle name="F4" xfId="24"/>
    <cellStyle name="F5" xfId="25"/>
    <cellStyle name="F6" xfId="26"/>
    <cellStyle name="F7" xfId="27"/>
    <cellStyle name="F8" xfId="28"/>
    <cellStyle name="Fixed" xfId="29"/>
    <cellStyle name="Heading 1" xfId="30"/>
    <cellStyle name="Heading 2" xfId="31"/>
    <cellStyle name="Heading1" xfId="32"/>
    <cellStyle name="Heading2" xfId="33"/>
    <cellStyle name="MILE DE MILLONES" xfId="34"/>
    <cellStyle name="MILES" xfId="35"/>
    <cellStyle name="Millares [0] 2" xfId="36"/>
    <cellStyle name="Millares [0] 2 2" xfId="37"/>
    <cellStyle name="Millares [0] 2 2 2" xfId="128"/>
    <cellStyle name="Millares [0] 2 2 2 2" xfId="171"/>
    <cellStyle name="Millares [0] 2 3" xfId="38"/>
    <cellStyle name="Millares [0] 2 3 2" xfId="129"/>
    <cellStyle name="Millares [0] 2 3 2 2" xfId="172"/>
    <cellStyle name="Millares [0] 2 4" xfId="39"/>
    <cellStyle name="Millares [0] 2 4 2" xfId="130"/>
    <cellStyle name="Millares [0] 2 4 2 2" xfId="173"/>
    <cellStyle name="Millares [0] 2 5" xfId="40"/>
    <cellStyle name="Millares [0] 2 5 2" xfId="131"/>
    <cellStyle name="Millares [0] 2 5 2 2" xfId="174"/>
    <cellStyle name="Millares [0] 2 6" xfId="127"/>
    <cellStyle name="Millares [0] 2 6 2" xfId="170"/>
    <cellStyle name="Millares 10" xfId="41"/>
    <cellStyle name="Millares 11" xfId="42"/>
    <cellStyle name="Millares 12" xfId="43"/>
    <cellStyle name="Millares 13" xfId="44"/>
    <cellStyle name="Millares 14" xfId="45"/>
    <cellStyle name="Millares 15" xfId="46"/>
    <cellStyle name="Millares 2" xfId="47"/>
    <cellStyle name="Millares 2 2" xfId="125"/>
    <cellStyle name="Millares 2 2 2" xfId="149"/>
    <cellStyle name="Millares 2 2 2 2" xfId="192"/>
    <cellStyle name="Millares 2 2 3" xfId="169"/>
    <cellStyle name="Millares 3" xfId="48"/>
    <cellStyle name="Millares 3 2" xfId="49"/>
    <cellStyle name="Millares 3 2 2" xfId="132"/>
    <cellStyle name="Millares 3 2 2 2" xfId="175"/>
    <cellStyle name="Millares 4" xfId="50"/>
    <cellStyle name="Millares 5" xfId="51"/>
    <cellStyle name="Millares 6" xfId="52"/>
    <cellStyle name="Millares 7" xfId="53"/>
    <cellStyle name="Millares 8" xfId="54"/>
    <cellStyle name="Millares 9" xfId="55"/>
    <cellStyle name="MILLONES" xfId="56"/>
    <cellStyle name="Moneda 10" xfId="57"/>
    <cellStyle name="Moneda 11" xfId="58"/>
    <cellStyle name="Moneda 12" xfId="59"/>
    <cellStyle name="Moneda 13" xfId="60"/>
    <cellStyle name="Moneda 2" xfId="61"/>
    <cellStyle name="Moneda 3" xfId="62"/>
    <cellStyle name="Moneda 4" xfId="63"/>
    <cellStyle name="Moneda 5" xfId="64"/>
    <cellStyle name="Moneda 6" xfId="65"/>
    <cellStyle name="Moneda 7" xfId="66"/>
    <cellStyle name="Moneda 8" xfId="67"/>
    <cellStyle name="Moneda 9" xfId="68"/>
    <cellStyle name="Monetario0" xfId="69"/>
    <cellStyle name="Nïrmal_PROINVER" xfId="70"/>
    <cellStyle name="No. punto" xfId="71"/>
    <cellStyle name="Normal" xfId="0" builtinId="0"/>
    <cellStyle name="Normal 10" xfId="72"/>
    <cellStyle name="Normal 10 2" xfId="133"/>
    <cellStyle name="Normal 10 2 2" xfId="176"/>
    <cellStyle name="Normal 10 3" xfId="73"/>
    <cellStyle name="Normal 10 4" xfId="153"/>
    <cellStyle name="Normal 11" xfId="74"/>
    <cellStyle name="Normal 12" xfId="123"/>
    <cellStyle name="Normal 12 2" xfId="147"/>
    <cellStyle name="Normal 12 2 2" xfId="190"/>
    <cellStyle name="Normal 12 3" xfId="167"/>
    <cellStyle name="Normal 13" xfId="75"/>
    <cellStyle name="Normal 14" xfId="193"/>
    <cellStyle name="Normal 15" xfId="195"/>
    <cellStyle name="Normal 2" xfId="76"/>
    <cellStyle name="Normal 2 10 2" xfId="196"/>
    <cellStyle name="Normal 2 2" xfId="77"/>
    <cellStyle name="Normal 2 2 2" xfId="78"/>
    <cellStyle name="Normal 2 2 3" xfId="79"/>
    <cellStyle name="Normal 2 2 4" xfId="80"/>
    <cellStyle name="Normal 2 2 5" xfId="134"/>
    <cellStyle name="Normal 2 2 5 2" xfId="177"/>
    <cellStyle name="Normal 2 2 6" xfId="154"/>
    <cellStyle name="Normal 2 3" xfId="81"/>
    <cellStyle name="Normal 2 3 3" xfId="151"/>
    <cellStyle name="Normal 2 4" xfId="82"/>
    <cellStyle name="Normal 2 5" xfId="83"/>
    <cellStyle name="Normal 2 6" xfId="84"/>
    <cellStyle name="Normal 2 7" xfId="85"/>
    <cellStyle name="Normal 2 8" xfId="86"/>
    <cellStyle name="Normal 2 8 2" xfId="135"/>
    <cellStyle name="Normal 2 8 2 2" xfId="178"/>
    <cellStyle name="Normal 2 8 3" xfId="155"/>
    <cellStyle name="Normal 2 9" xfId="87"/>
    <cellStyle name="Normal 2 9 2" xfId="136"/>
    <cellStyle name="Normal 2 9 2 2" xfId="179"/>
    <cellStyle name="Normal 2 9 3" xfId="156"/>
    <cellStyle name="Normal 3" xfId="88"/>
    <cellStyle name="Normal 3 2" xfId="89"/>
    <cellStyle name="Normal 3 3" xfId="124"/>
    <cellStyle name="Normal 3 3 2" xfId="148"/>
    <cellStyle name="Normal 3 3 2 2" xfId="191"/>
    <cellStyle name="Normal 3 3 3" xfId="168"/>
    <cellStyle name="Normal 4" xfId="90"/>
    <cellStyle name="Normal 4 2" xfId="137"/>
    <cellStyle name="Normal 4 2 2" xfId="180"/>
    <cellStyle name="Normal 4 3" xfId="157"/>
    <cellStyle name="Normal 5" xfId="91"/>
    <cellStyle name="Normal 5 2" xfId="92"/>
    <cellStyle name="Normal 5 3" xfId="93"/>
    <cellStyle name="Normal 5 4" xfId="94"/>
    <cellStyle name="Normal 5 5" xfId="95"/>
    <cellStyle name="Normal 5 6" xfId="150"/>
    <cellStyle name="Normal 6" xfId="96"/>
    <cellStyle name="Normal 6 2" xfId="97"/>
    <cellStyle name="Normal 6 2 2" xfId="138"/>
    <cellStyle name="Normal 6 2 2 2" xfId="181"/>
    <cellStyle name="Normal 6 2 3" xfId="158"/>
    <cellStyle name="Normal 6 3" xfId="98"/>
    <cellStyle name="Normal 6 3 2" xfId="139"/>
    <cellStyle name="Normal 6 3 2 2" xfId="182"/>
    <cellStyle name="Normal 6 3 3" xfId="159"/>
    <cellStyle name="Normal 6 4" xfId="99"/>
    <cellStyle name="Normal 6 4 2" xfId="140"/>
    <cellStyle name="Normal 6 4 2 2" xfId="183"/>
    <cellStyle name="Normal 6 4 3" xfId="160"/>
    <cellStyle name="Normal 7" xfId="100"/>
    <cellStyle name="Normal 7 2" xfId="141"/>
    <cellStyle name="Normal 7 2 2" xfId="184"/>
    <cellStyle name="Normal 7 3" xfId="161"/>
    <cellStyle name="Normal 8" xfId="101"/>
    <cellStyle name="Normal 8 2" xfId="142"/>
    <cellStyle name="Normal 8 2 2" xfId="185"/>
    <cellStyle name="Normal 8 3" xfId="162"/>
    <cellStyle name="Normal 9" xfId="102"/>
    <cellStyle name="Normal 9 2" xfId="143"/>
    <cellStyle name="Normal 9 2 2" xfId="186"/>
    <cellStyle name="Normal 9 3" xfId="163"/>
    <cellStyle name="Normal_EXTRACCION" xfId="103"/>
    <cellStyle name="Normal_Grad. Lim. Auto 1-4" xfId="152"/>
    <cellStyle name="Normal_GRADACION (2)" xfId="104"/>
    <cellStyle name="Normal_MEZCLAR4  " xfId="105"/>
    <cellStyle name="Normal_TSR-DISEÑO" xfId="194"/>
    <cellStyle name="Percen - Modelo3" xfId="106"/>
    <cellStyle name="Percent" xfId="107"/>
    <cellStyle name="Porcentaje" xfId="126" builtinId="5"/>
    <cellStyle name="Porcentaje 2" xfId="108"/>
    <cellStyle name="Porcentual 2" xfId="109"/>
    <cellStyle name="Porcentual 2 2" xfId="110"/>
    <cellStyle name="Porcentual 2 2 2" xfId="111"/>
    <cellStyle name="Porcentual 2 2 3" xfId="112"/>
    <cellStyle name="Porcentual 2 2 4" xfId="113"/>
    <cellStyle name="Porcentual 2 2 5" xfId="144"/>
    <cellStyle name="Porcentual 2 2 5 2" xfId="187"/>
    <cellStyle name="Porcentual 2 2 6" xfId="164"/>
    <cellStyle name="Porcentual 2 3" xfId="114"/>
    <cellStyle name="Porcentual 2 4" xfId="115"/>
    <cellStyle name="Porcentual 2 5" xfId="116"/>
    <cellStyle name="Porcentual 2 6" xfId="117"/>
    <cellStyle name="Porcentual 2 7" xfId="118"/>
    <cellStyle name="Porcentual 2 8" xfId="119"/>
    <cellStyle name="Porcentual 2 8 2" xfId="145"/>
    <cellStyle name="Porcentual 2 8 2 2" xfId="188"/>
    <cellStyle name="Porcentual 2 8 3" xfId="165"/>
    <cellStyle name="Porcentual 2 9" xfId="120"/>
    <cellStyle name="Porcentual 2 9 2" xfId="146"/>
    <cellStyle name="Porcentual 2 9 2 2" xfId="189"/>
    <cellStyle name="Porcentual 2 9 3" xfId="166"/>
    <cellStyle name="Porcentual 3" xfId="121"/>
    <cellStyle name="resaltado" xfId="122"/>
  </cellStyles>
  <dxfs count="1"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E4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5950182084224E-2"/>
          <c:y val="0.13923097917366475"/>
          <c:w val="0.90794325075982563"/>
          <c:h val="0.7026088606394133"/>
        </c:manualLayout>
      </c:layout>
      <c:scatterChart>
        <c:scatterStyle val="lineMarker"/>
        <c:varyColors val="0"/>
        <c:ser>
          <c:idx val="1"/>
          <c:order val="0"/>
          <c:tx>
            <c:v>Promedio de la granulometría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'MD-12 UMV'!$E$63:$M$63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'MD-12 UMV'!$E$71:$M$71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28-4BC3-AA36-4E04851E7411}"/>
            </c:ext>
          </c:extLst>
        </c:ser>
        <c:ser>
          <c:idx val="2"/>
          <c:order val="1"/>
          <c:tx>
            <c:v>Límite inferior especificación IDU</c:v>
          </c:tx>
          <c:spPr>
            <a:ln w="12700" cap="rnd">
              <a:solidFill>
                <a:srgbClr val="FF0000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'MD-12 UMV'!$E$63:$M$63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'MD-12 UMV'!$E$72:$M$72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028-4BC3-AA36-4E04851E7411}"/>
            </c:ext>
          </c:extLst>
        </c:ser>
        <c:ser>
          <c:idx val="4"/>
          <c:order val="2"/>
          <c:tx>
            <c:v>Límite superior especificación IDU</c:v>
          </c:tx>
          <c:spPr>
            <a:ln w="12700" cap="rnd">
              <a:solidFill>
                <a:srgbClr val="FF0000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'MD-12 UMV'!$E$63:$M$63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'MD-12 UMV'!$E$73:$M$73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28-4BC3-AA36-4E04851E7411}"/>
            </c:ext>
          </c:extLst>
        </c:ser>
        <c:ser>
          <c:idx val="3"/>
          <c:order val="3"/>
          <c:tx>
            <c:v>1"</c:v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127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028-4BC3-AA36-4E04851E741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s-E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28-4BC3-AA36-4E04851E7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25.4</c:v>
              </c:pt>
              <c:pt idx="1">
                <c:v>25.4</c:v>
              </c:pt>
            </c:numLit>
          </c:xVal>
          <c:yVal>
            <c:numLit>
              <c:formatCode>General</c:formatCode>
              <c:ptCount val="2"/>
              <c:pt idx="0">
                <c:v>100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E028-4BC3-AA36-4E04851E7411}"/>
            </c:ext>
          </c:extLst>
        </c:ser>
        <c:ser>
          <c:idx val="6"/>
          <c:order val="4"/>
          <c:tx>
            <c:v>3/4"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s-E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28-4BC3-AA36-4E04851E7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19</c:v>
              </c:pt>
              <c:pt idx="1">
                <c:v>19</c:v>
              </c:pt>
            </c:numLit>
          </c:xVal>
          <c:yVal>
            <c:numLit>
              <c:formatCode>General</c:formatCode>
              <c:ptCount val="2"/>
              <c:pt idx="0">
                <c:v>100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E028-4BC3-AA36-4E04851E7411}"/>
            </c:ext>
          </c:extLst>
        </c:ser>
        <c:ser>
          <c:idx val="7"/>
          <c:order val="5"/>
          <c:tx>
            <c:v>1/2"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s-E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028-4BC3-AA36-4E04851E7411}"/>
                </c:ext>
              </c:extLst>
            </c:dLbl>
            <c:dLbl>
              <c:idx val="1"/>
              <c:layout>
                <c:manualLayout>
                  <c:x val="-3.486463748899956E-2"/>
                  <c:y val="5.712971063802210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28-4BC3-AA36-4E04851E7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12.5</c:v>
              </c:pt>
              <c:pt idx="1">
                <c:v>12.5</c:v>
              </c:pt>
            </c:numLit>
          </c:xVal>
          <c:yVal>
            <c:numLit>
              <c:formatCode>General</c:formatCode>
              <c:ptCount val="2"/>
              <c:pt idx="0">
                <c:v>100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E028-4BC3-AA36-4E04851E7411}"/>
            </c:ext>
          </c:extLst>
        </c:ser>
        <c:ser>
          <c:idx val="8"/>
          <c:order val="6"/>
          <c:tx>
            <c:v>3/8"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s-E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28-4BC3-AA36-4E04851E7411}"/>
                </c:ext>
              </c:extLst>
            </c:dLbl>
            <c:dLbl>
              <c:idx val="1"/>
              <c:layout>
                <c:manualLayout>
                  <c:x val="-1.7139311707342959E-2"/>
                  <c:y val="5.9608934425365523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28-4BC3-AA36-4E04851E7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9.5</c:v>
              </c:pt>
              <c:pt idx="1">
                <c:v>9.5</c:v>
              </c:pt>
            </c:numLit>
          </c:xVal>
          <c:yVal>
            <c:numLit>
              <c:formatCode>General</c:formatCode>
              <c:ptCount val="2"/>
              <c:pt idx="0">
                <c:v>100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E028-4BC3-AA36-4E04851E7411}"/>
            </c:ext>
          </c:extLst>
        </c:ser>
        <c:ser>
          <c:idx val="9"/>
          <c:order val="7"/>
          <c:tx>
            <c:v>No.4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s-E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028-4BC3-AA36-4E04851E7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4.76</c:v>
              </c:pt>
              <c:pt idx="1">
                <c:v>4.76</c:v>
              </c:pt>
            </c:numLit>
          </c:xVal>
          <c:yVal>
            <c:numLit>
              <c:formatCode>General</c:formatCode>
              <c:ptCount val="2"/>
              <c:pt idx="0">
                <c:v>100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0-E028-4BC3-AA36-4E04851E7411}"/>
            </c:ext>
          </c:extLst>
        </c:ser>
        <c:ser>
          <c:idx val="10"/>
          <c:order val="8"/>
          <c:tx>
            <c:v>No.10</c:v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127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E028-4BC3-AA36-4E04851E741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s-E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028-4BC3-AA36-4E04851E7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xVal>
          <c:yVal>
            <c:numLit>
              <c:formatCode>General</c:formatCode>
              <c:ptCount val="2"/>
              <c:pt idx="0">
                <c:v>100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4-E028-4BC3-AA36-4E04851E7411}"/>
            </c:ext>
          </c:extLst>
        </c:ser>
        <c:ser>
          <c:idx val="11"/>
          <c:order val="9"/>
          <c:tx>
            <c:v>No.40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s-E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028-4BC3-AA36-4E04851E7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0.42500000000000032</c:v>
              </c:pt>
              <c:pt idx="1">
                <c:v>0.42500000000000032</c:v>
              </c:pt>
            </c:numLit>
          </c:xVal>
          <c:yVal>
            <c:numLit>
              <c:formatCode>General</c:formatCode>
              <c:ptCount val="2"/>
              <c:pt idx="0">
                <c:v>100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6-E028-4BC3-AA36-4E04851E7411}"/>
            </c:ext>
          </c:extLst>
        </c:ser>
        <c:ser>
          <c:idx val="12"/>
          <c:order val="10"/>
          <c:tx>
            <c:v>No.80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s-E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028-4BC3-AA36-4E04851E7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0.18000000000000019</c:v>
              </c:pt>
              <c:pt idx="1">
                <c:v>0.18000000000000019</c:v>
              </c:pt>
            </c:numLit>
          </c:xVal>
          <c:yVal>
            <c:numLit>
              <c:formatCode>General</c:formatCode>
              <c:ptCount val="2"/>
              <c:pt idx="0">
                <c:v>100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8-E028-4BC3-AA36-4E04851E7411}"/>
            </c:ext>
          </c:extLst>
        </c:ser>
        <c:ser>
          <c:idx val="13"/>
          <c:order val="11"/>
          <c:tx>
            <c:v>No.200</c:v>
          </c:tx>
          <c:spPr>
            <a:ln w="127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7916100300837204E-2"/>
                  <c:y val="6.36279501206927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316744427164331E-2"/>
                      <c:h val="6.83536244716398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E028-4BC3-AA36-4E04851E741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lang="es-ES"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028-4BC3-AA36-4E04851E74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2"/>
              <c:pt idx="0">
                <c:v>7.5000000000000011E-2</c:v>
              </c:pt>
              <c:pt idx="1">
                <c:v>7.5000000000000011E-2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B-E028-4BC3-AA36-4E04851E7411}"/>
            </c:ext>
          </c:extLst>
        </c:ser>
        <c:ser>
          <c:idx val="0"/>
          <c:order val="12"/>
          <c:tx>
            <c:v>Límite inferior fórmula de trabajo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'MD-12 UMV'!$E$63:$M$63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'MD-12 UMV'!$E$75:$M$75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028-4BC3-AA36-4E04851E7411}"/>
            </c:ext>
          </c:extLst>
        </c:ser>
        <c:ser>
          <c:idx val="5"/>
          <c:order val="13"/>
          <c:tx>
            <c:v>Límite superior fórmula de trabajo</c:v>
          </c:tx>
          <c:spPr>
            <a:ln w="127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'MD-12 UMV'!$E$63:$M$63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'MD-12 UMV'!$E$76:$M$76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E028-4BC3-AA36-4E04851E7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325440"/>
        <c:axId val="75327360"/>
      </c:scatterChart>
      <c:valAx>
        <c:axId val="75325440"/>
        <c:scaling>
          <c:logBase val="10"/>
          <c:orientation val="maxMin"/>
          <c:max val="100"/>
          <c:min val="1.0000000000000005E-2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800" b="1">
                    <a:solidFill>
                      <a:sysClr val="windowText" lastClr="000000"/>
                    </a:solidFill>
                  </a:rPr>
                  <a:t>TAMIZ</a:t>
                </a:r>
              </a:p>
            </c:rich>
          </c:tx>
          <c:layout>
            <c:manualLayout>
              <c:xMode val="edge"/>
              <c:yMode val="edge"/>
              <c:x val="0.47360428935681825"/>
              <c:y val="0.93528153017570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327360"/>
        <c:crossesAt val="1.0000000000000005E-2"/>
        <c:crossBetween val="midCat"/>
        <c:majorUnit val="10"/>
      </c:valAx>
      <c:valAx>
        <c:axId val="75327360"/>
        <c:scaling>
          <c:orientation val="minMax"/>
          <c:max val="100"/>
          <c:min val="0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ES"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800" b="1">
                    <a:solidFill>
                      <a:sysClr val="windowText" lastClr="000000"/>
                    </a:solidFill>
                  </a:rPr>
                  <a:t>%  QUE PASAN</a:t>
                </a:r>
              </a:p>
            </c:rich>
          </c:tx>
          <c:layout>
            <c:manualLayout>
              <c:xMode val="edge"/>
              <c:yMode val="edge"/>
              <c:x val="1.1965507878697243E-3"/>
              <c:y val="0.365782625795632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325440"/>
        <c:crossesAt val="100"/>
        <c:crossBetween val="midCat"/>
        <c:majorUnit val="10"/>
        <c:minorUnit val="5"/>
      </c:valAx>
      <c:spPr>
        <a:solidFill>
          <a:sysClr val="window" lastClr="FFFFFF"/>
        </a:solidFill>
        <a:ln>
          <a:solidFill>
            <a:schemeClr val="bg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76995622842353795"/>
          <c:y val="0.10216993960092337"/>
          <c:w val="0.22845843437228119"/>
          <c:h val="0.76140204174070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0"/>
    <c:dispBlanksAs val="span"/>
    <c:showDLblsOverMax val="0"/>
  </c:chart>
  <c:spPr>
    <a:solidFill>
      <a:schemeClr val="bg1"/>
    </a:solidFill>
    <a:ln w="9525" cap="flat" cmpd="sng" algn="ctr">
      <a:noFill/>
      <a:round/>
    </a:ln>
    <a:effectLst>
      <a:glow rad="127000">
        <a:schemeClr val="bg1">
          <a:lumMod val="95000"/>
          <a:alpha val="95000"/>
        </a:schemeClr>
      </a:glow>
      <a:softEdge rad="63500"/>
    </a:effectLst>
    <a:scene3d>
      <a:camera prst="orthographicFront"/>
      <a:lightRig rig="threePt" dir="t"/>
    </a:scene3d>
    <a:sp3d prstMaterial="matte"/>
  </c:spPr>
  <c:txPr>
    <a:bodyPr/>
    <a:lstStyle/>
    <a:p>
      <a:pPr>
        <a:defRPr/>
      </a:pPr>
      <a:endParaRPr lang="es-CO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/>
              <a:t>Deformación (µm) Vs Tiempo (min) </a:t>
            </a:r>
          </a:p>
        </c:rich>
      </c:tx>
      <c:layout>
        <c:manualLayout>
          <c:xMode val="edge"/>
          <c:yMode val="edge"/>
          <c:x val="0.16877363553581312"/>
          <c:y val="3.522005212323756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361547992336484"/>
          <c:y val="0.12282550549193468"/>
          <c:w val="0.85336943335296778"/>
          <c:h val="0.7242019861933194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Pista!$C$11:$G$11</c:f>
              <c:strCache>
                <c:ptCount val="1"/>
                <c:pt idx="0">
                  <c:v>DEFORMACIÓN (µm)</c:v>
                </c:pt>
              </c:strCache>
            </c:strRef>
          </c:tx>
          <c:spPr>
            <a:ln w="19050" cap="flat" cmpd="dbl" algn="ctr">
              <a:solidFill>
                <a:srgbClr val="E46C0A"/>
              </a:solidFill>
              <a:round/>
            </a:ln>
            <a:effectLst/>
          </c:spPr>
          <c:marker>
            <c:symbol val="none"/>
          </c:marker>
          <c:xVal>
            <c:numRef>
              <c:f>Pista!$B$14:$B$30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  <c:pt idx="12">
                  <c:v>60</c:v>
                </c:pt>
                <c:pt idx="13">
                  <c:v>75</c:v>
                </c:pt>
                <c:pt idx="14">
                  <c:v>90</c:v>
                </c:pt>
                <c:pt idx="15">
                  <c:v>105</c:v>
                </c:pt>
                <c:pt idx="16">
                  <c:v>120</c:v>
                </c:pt>
              </c:numCache>
            </c:numRef>
          </c:xVal>
          <c:yVal>
            <c:numRef>
              <c:f>Pista!$F$14:$F$30</c:f>
              <c:numCache>
                <c:formatCode>0.0000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1E-43AF-B60E-4188261BA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646080"/>
        <c:axId val="75648000"/>
      </c:scatterChart>
      <c:valAx>
        <c:axId val="75646080"/>
        <c:scaling>
          <c:orientation val="minMax"/>
          <c:max val="1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baseline="0">
                    <a:effectLst/>
                  </a:rPr>
                  <a:t>Tiempo (min) </a:t>
                </a:r>
                <a:endParaRPr lang="es-CO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648000"/>
        <c:crossesAt val="0"/>
        <c:crossBetween val="midCat"/>
      </c:valAx>
      <c:valAx>
        <c:axId val="75648000"/>
        <c:scaling>
          <c:orientation val="minMax"/>
          <c:max val="2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97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1" i="0" u="none" strike="noStrike" baseline="0">
                    <a:effectLst/>
                  </a:rPr>
                  <a:t>Deformación (µm) </a:t>
                </a:r>
                <a:endParaRPr lang="es-CO"/>
              </a:p>
            </c:rich>
          </c:tx>
          <c:layout/>
          <c:overlay val="0"/>
        </c:title>
        <c:numFmt formatCode="#,##0.0" sourceLinked="0"/>
        <c:majorTickMark val="none"/>
        <c:minorTickMark val="none"/>
        <c:tickLblPos val="nextTo"/>
        <c:spPr>
          <a:noFill/>
          <a:ln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646080"/>
        <c:crossesAt val="0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01423989730207E-2"/>
          <c:y val="0.13923097917366475"/>
          <c:w val="0.87071783537445746"/>
          <c:h val="0.65957446808512465"/>
        </c:manualLayout>
      </c:layout>
      <c:scatterChart>
        <c:scatterStyle val="lineMarker"/>
        <c:varyColors val="0"/>
        <c:ser>
          <c:idx val="1"/>
          <c:order val="0"/>
          <c:tx>
            <c:v>Granulometría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Formato!$C$17:$K$17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Formato!$C$20:$K$20</c:f>
              <c:numCache>
                <c:formatCode>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9C-4779-8F5D-8AC417DD2BCA}"/>
            </c:ext>
          </c:extLst>
        </c:ser>
        <c:ser>
          <c:idx val="2"/>
          <c:order val="1"/>
          <c:tx>
            <c:v>Esp.Inf</c:v>
          </c:tx>
          <c:spPr>
            <a:ln w="15875"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Formato!$C$17:$K$17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Formato!$C$21:$K$21</c:f>
              <c:numCache>
                <c:formatCode>0.0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80</c:v>
                </c:pt>
                <c:pt idx="3">
                  <c:v>71</c:v>
                </c:pt>
                <c:pt idx="4">
                  <c:v>49</c:v>
                </c:pt>
                <c:pt idx="5">
                  <c:v>30</c:v>
                </c:pt>
                <c:pt idx="6">
                  <c:v>14</c:v>
                </c:pt>
                <c:pt idx="7">
                  <c:v>8</c:v>
                </c:pt>
                <c:pt idx="8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9C-4779-8F5D-8AC417DD2BCA}"/>
            </c:ext>
          </c:extLst>
        </c:ser>
        <c:ser>
          <c:idx val="4"/>
          <c:order val="2"/>
          <c:tx>
            <c:v>Esp.Sup</c:v>
          </c:tx>
          <c:spPr>
            <a:ln w="15875"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Formato!$C$17:$K$17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Formato!$C$22:$K$22</c:f>
              <c:numCache>
                <c:formatCode>0.0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87</c:v>
                </c:pt>
                <c:pt idx="4">
                  <c:v>65</c:v>
                </c:pt>
                <c:pt idx="5">
                  <c:v>44</c:v>
                </c:pt>
                <c:pt idx="6">
                  <c:v>22</c:v>
                </c:pt>
                <c:pt idx="7">
                  <c:v>16</c:v>
                </c:pt>
                <c:pt idx="8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9C-4779-8F5D-8AC417DD2BCA}"/>
            </c:ext>
          </c:extLst>
        </c:ser>
        <c:ser>
          <c:idx val="3"/>
          <c:order val="3"/>
          <c:tx>
            <c:v>1"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Formato!$AI$26:$AI$27</c:f>
              <c:numCache>
                <c:formatCode>General</c:formatCode>
                <c:ptCount val="2"/>
                <c:pt idx="0">
                  <c:v>25.4</c:v>
                </c:pt>
                <c:pt idx="1">
                  <c:v>25.4</c:v>
                </c:pt>
              </c:numCache>
            </c:numRef>
          </c:xVal>
          <c:yVal>
            <c:numRef>
              <c:f>Formato!$AJ$26:$AJ$27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79C-4779-8F5D-8AC417DD2BCA}"/>
            </c:ext>
          </c:extLst>
        </c:ser>
        <c:ser>
          <c:idx val="6"/>
          <c:order val="4"/>
          <c:tx>
            <c:v>3/4"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Formato!$AI$28:$AI$29</c:f>
              <c:numCache>
                <c:formatCode>General</c:formatCode>
                <c:ptCount val="2"/>
                <c:pt idx="0">
                  <c:v>19</c:v>
                </c:pt>
                <c:pt idx="1">
                  <c:v>19</c:v>
                </c:pt>
              </c:numCache>
            </c:numRef>
          </c:xVal>
          <c:yVal>
            <c:numRef>
              <c:f>Formato!$AJ$28:$AJ$29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79C-4779-8F5D-8AC417DD2BCA}"/>
            </c:ext>
          </c:extLst>
        </c:ser>
        <c:ser>
          <c:idx val="7"/>
          <c:order val="5"/>
          <c:tx>
            <c:v>1/2"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Formato!$AI$30:$AI$31</c:f>
              <c:numCache>
                <c:formatCode>General</c:formatCode>
                <c:ptCount val="2"/>
                <c:pt idx="0">
                  <c:v>12.5</c:v>
                </c:pt>
                <c:pt idx="1">
                  <c:v>12.5</c:v>
                </c:pt>
              </c:numCache>
            </c:numRef>
          </c:xVal>
          <c:yVal>
            <c:numRef>
              <c:f>Formato!$AJ$30:$AJ$31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79C-4779-8F5D-8AC417DD2BCA}"/>
            </c:ext>
          </c:extLst>
        </c:ser>
        <c:ser>
          <c:idx val="8"/>
          <c:order val="6"/>
          <c:tx>
            <c:v>3/8"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Formato!$AI$32:$AI$33</c:f>
              <c:numCache>
                <c:formatCode>General</c:formatCode>
                <c:ptCount val="2"/>
                <c:pt idx="0">
                  <c:v>9.5</c:v>
                </c:pt>
                <c:pt idx="1">
                  <c:v>9.5</c:v>
                </c:pt>
              </c:numCache>
            </c:numRef>
          </c:xVal>
          <c:yVal>
            <c:numRef>
              <c:f>Formato!$AJ$32:$AJ$33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79C-4779-8F5D-8AC417DD2BCA}"/>
            </c:ext>
          </c:extLst>
        </c:ser>
        <c:ser>
          <c:idx val="9"/>
          <c:order val="7"/>
          <c:tx>
            <c:v>No.4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Formato!$AI$34:$AI$35</c:f>
              <c:numCache>
                <c:formatCode>General</c:formatCode>
                <c:ptCount val="2"/>
                <c:pt idx="0">
                  <c:v>4.76</c:v>
                </c:pt>
                <c:pt idx="1">
                  <c:v>4.76</c:v>
                </c:pt>
              </c:numCache>
            </c:numRef>
          </c:xVal>
          <c:yVal>
            <c:numRef>
              <c:f>Formato!$AJ$34:$AJ$35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79C-4779-8F5D-8AC417DD2BCA}"/>
            </c:ext>
          </c:extLst>
        </c:ser>
        <c:ser>
          <c:idx val="10"/>
          <c:order val="8"/>
          <c:tx>
            <c:v>No.10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Formato!$AI$36:$AI$37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xVal>
          <c:yVal>
            <c:numRef>
              <c:f>Formato!$AJ$36:$AJ$37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79C-4779-8F5D-8AC417DD2BCA}"/>
            </c:ext>
          </c:extLst>
        </c:ser>
        <c:ser>
          <c:idx val="11"/>
          <c:order val="9"/>
          <c:tx>
            <c:v>No.40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Formato!$AI$38:$AI$39</c:f>
              <c:numCache>
                <c:formatCode>General</c:formatCode>
                <c:ptCount val="2"/>
                <c:pt idx="0">
                  <c:v>0.42499999999999999</c:v>
                </c:pt>
                <c:pt idx="1">
                  <c:v>0.42499999999999999</c:v>
                </c:pt>
              </c:numCache>
            </c:numRef>
          </c:xVal>
          <c:yVal>
            <c:numRef>
              <c:f>Formato!$AJ$38:$AJ$39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79C-4779-8F5D-8AC417DD2BCA}"/>
            </c:ext>
          </c:extLst>
        </c:ser>
        <c:ser>
          <c:idx val="12"/>
          <c:order val="10"/>
          <c:tx>
            <c:v>No.80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Formato!$AI$40:$AI$41</c:f>
              <c:numCache>
                <c:formatCode>General</c:formatCode>
                <c:ptCount val="2"/>
                <c:pt idx="0">
                  <c:v>0.18</c:v>
                </c:pt>
                <c:pt idx="1">
                  <c:v>0.18</c:v>
                </c:pt>
              </c:numCache>
            </c:numRef>
          </c:xVal>
          <c:yVal>
            <c:numRef>
              <c:f>Formato!$AJ$40:$AJ$41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79C-4779-8F5D-8AC417DD2BCA}"/>
            </c:ext>
          </c:extLst>
        </c:ser>
        <c:ser>
          <c:idx val="13"/>
          <c:order val="11"/>
          <c:tx>
            <c:v>No.200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"/>
              <c:spPr/>
              <c:txPr>
                <a:bodyPr rot="-5400000" vert="horz"/>
                <a:lstStyle/>
                <a:p>
                  <a:pPr algn="ctr">
                    <a:defRPr lang="es-ES"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CO"/>
                </a:p>
              </c:txPr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79C-4779-8F5D-8AC417DD2BC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Formato!$AI$42:$AI$43</c:f>
              <c:numCache>
                <c:formatCode>General</c:formatCode>
                <c:ptCount val="2"/>
                <c:pt idx="0">
                  <c:v>7.4999999999999997E-2</c:v>
                </c:pt>
                <c:pt idx="1">
                  <c:v>7.4999999999999997E-2</c:v>
                </c:pt>
              </c:numCache>
            </c:numRef>
          </c:xVal>
          <c:yVal>
            <c:numRef>
              <c:f>Formato!$AJ$42:$AJ$43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79C-4779-8F5D-8AC417DD2BCA}"/>
            </c:ext>
          </c:extLst>
        </c:ser>
        <c:ser>
          <c:idx val="0"/>
          <c:order val="12"/>
          <c:tx>
            <c:v>FT.Inf</c:v>
          </c:tx>
          <c:spPr>
            <a:ln w="317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Formato!$C$17:$K$17</c:f>
              <c:numCache>
                <c:formatCode>General</c:formatCode>
                <c:ptCount val="9"/>
                <c:pt idx="0">
                  <c:v>25</c:v>
                </c:pt>
                <c:pt idx="1">
                  <c:v>19</c:v>
                </c:pt>
                <c:pt idx="2">
                  <c:v>12.5</c:v>
                </c:pt>
                <c:pt idx="3">
                  <c:v>9.5</c:v>
                </c:pt>
                <c:pt idx="4">
                  <c:v>4.75</c:v>
                </c:pt>
                <c:pt idx="5">
                  <c:v>2</c:v>
                </c:pt>
                <c:pt idx="6">
                  <c:v>0.42499999999999999</c:v>
                </c:pt>
                <c:pt idx="7">
                  <c:v>0.18</c:v>
                </c:pt>
                <c:pt idx="8">
                  <c:v>7.4999999999999997E-2</c:v>
                </c:pt>
              </c:numCache>
            </c:numRef>
          </c:xVal>
          <c:yVal>
            <c:numRef>
              <c:f>Formato!$C$24:$K$24</c:f>
              <c:numCache>
                <c:formatCode>0.0</c:formatCode>
                <c:ptCount val="9"/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79C-4779-8F5D-8AC417DD2BCA}"/>
            </c:ext>
          </c:extLst>
        </c:ser>
        <c:ser>
          <c:idx val="5"/>
          <c:order val="13"/>
          <c:tx>
            <c:v>FT.Sup</c:v>
          </c:tx>
          <c:spPr>
            <a:ln w="31750">
              <a:solidFill>
                <a:srgbClr val="FF0000"/>
              </a:solidFill>
              <a:prstDash val="sysDot"/>
            </a:ln>
          </c:spPr>
          <c:marker>
            <c:symbol val="none"/>
          </c:marker>
          <c:xVal>
            <c:numRef>
              <c:f>Formato!$D$17:$K$17</c:f>
              <c:numCache>
                <c:formatCode>General</c:formatCode>
                <c:ptCount val="8"/>
                <c:pt idx="0">
                  <c:v>19</c:v>
                </c:pt>
                <c:pt idx="1">
                  <c:v>12.5</c:v>
                </c:pt>
                <c:pt idx="2">
                  <c:v>9.5</c:v>
                </c:pt>
                <c:pt idx="3">
                  <c:v>4.75</c:v>
                </c:pt>
                <c:pt idx="4">
                  <c:v>2</c:v>
                </c:pt>
                <c:pt idx="5">
                  <c:v>0.42499999999999999</c:v>
                </c:pt>
                <c:pt idx="6">
                  <c:v>0.18</c:v>
                </c:pt>
                <c:pt idx="7">
                  <c:v>7.4999999999999997E-2</c:v>
                </c:pt>
              </c:numCache>
            </c:numRef>
          </c:xVal>
          <c:yVal>
            <c:numRef>
              <c:f>Formato!$D$23:$K$23</c:f>
              <c:numCache>
                <c:formatCode>0.0</c:formatCode>
                <c:ptCount val="8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79C-4779-8F5D-8AC417DD2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92768"/>
        <c:axId val="76207232"/>
      </c:scatterChart>
      <c:valAx>
        <c:axId val="76192768"/>
        <c:scaling>
          <c:logBase val="10"/>
          <c:orientation val="maxMin"/>
          <c:max val="100"/>
          <c:min val="1.0000000000000005E-2"/>
        </c:scaling>
        <c:delete val="0"/>
        <c:axPos val="b"/>
        <c:title>
          <c:tx>
            <c:rich>
              <a:bodyPr/>
              <a:lstStyle/>
              <a:p>
                <a:pPr>
                  <a:defRPr lang="es-E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s-CO"/>
                  <a:t>TAMIZ</a:t>
                </a:r>
              </a:p>
            </c:rich>
          </c:tx>
          <c:layout>
            <c:manualLayout>
              <c:xMode val="edge"/>
              <c:yMode val="edge"/>
              <c:x val="0.46884807546266555"/>
              <c:y val="0.914894013882801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es-ES"/>
            </a:pPr>
            <a:endParaRPr lang="es-CO"/>
          </a:p>
        </c:txPr>
        <c:crossAx val="76207232"/>
        <c:crossesAt val="1.0000000000000005E-2"/>
        <c:crossBetween val="midCat"/>
      </c:valAx>
      <c:valAx>
        <c:axId val="76207232"/>
        <c:scaling>
          <c:orientation val="minMax"/>
          <c:max val="100"/>
          <c:min val="0"/>
        </c:scaling>
        <c:delete val="0"/>
        <c:axPos val="r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lang="es-ES"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s-CO"/>
                  <a:t>PORCENTAJES QUE PASAN</a:t>
                </a:r>
              </a:p>
            </c:rich>
          </c:tx>
          <c:layout>
            <c:manualLayout>
              <c:xMode val="edge"/>
              <c:yMode val="edge"/>
              <c:x val="2.1806893427662805E-2"/>
              <c:y val="0.194528691527772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in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CO"/>
          </a:p>
        </c:txPr>
        <c:crossAx val="76192768"/>
        <c:crossesAt val="100"/>
        <c:crossBetween val="midCat"/>
        <c:majorUnit val="10"/>
        <c:minorUnit val="5"/>
      </c:valAx>
      <c:spPr>
        <a:solidFill>
          <a:srgbClr val="FFFFFF"/>
        </a:solidFill>
        <a:ln w="3175">
          <a:solidFill>
            <a:srgbClr val="33333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CO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  <c:userShapes r:id="rId1"/>
</c:chartSpace>
</file>

<file path=xl/ctrlProps/ctrlProp1.xml><?xml version="1.0" encoding="utf-8"?>
<formControlPr xmlns="http://schemas.microsoft.com/office/spreadsheetml/2009/9/main" objectType="Spin" dx="18" fmlaLink="$L$8" max="30000" page="10" val="30000"/>
</file>

<file path=xl/ctrlProps/ctrlProp2.xml><?xml version="1.0" encoding="utf-8"?>
<formControlPr xmlns="http://schemas.microsoft.com/office/spreadsheetml/2009/9/main" objectType="Spin" dx="18" fmlaLink="$L$8" max="30000" page="10" val="30000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6.png"/><Relationship Id="rId18" Type="http://schemas.openxmlformats.org/officeDocument/2006/relationships/image" Target="../media/image21.png"/><Relationship Id="rId26" Type="http://schemas.openxmlformats.org/officeDocument/2006/relationships/image" Target="../media/image29.png"/><Relationship Id="rId3" Type="http://schemas.openxmlformats.org/officeDocument/2006/relationships/image" Target="../media/image9.png"/><Relationship Id="rId21" Type="http://schemas.openxmlformats.org/officeDocument/2006/relationships/image" Target="../media/image24.png"/><Relationship Id="rId7" Type="http://schemas.openxmlformats.org/officeDocument/2006/relationships/image" Target="../media/image11.jpeg"/><Relationship Id="rId12" Type="http://schemas.openxmlformats.org/officeDocument/2006/relationships/image" Target="../media/image15.jpeg"/><Relationship Id="rId17" Type="http://schemas.openxmlformats.org/officeDocument/2006/relationships/image" Target="../media/image20.png"/><Relationship Id="rId25" Type="http://schemas.openxmlformats.org/officeDocument/2006/relationships/image" Target="../media/image28.png"/><Relationship Id="rId2" Type="http://schemas.microsoft.com/office/2007/relationships/hdphoto" Target="../media/hdphoto1.wdp"/><Relationship Id="rId16" Type="http://schemas.openxmlformats.org/officeDocument/2006/relationships/image" Target="../media/image19.png"/><Relationship Id="rId20" Type="http://schemas.openxmlformats.org/officeDocument/2006/relationships/image" Target="../media/image23.png"/><Relationship Id="rId1" Type="http://schemas.openxmlformats.org/officeDocument/2006/relationships/image" Target="../media/image8.png"/><Relationship Id="rId6" Type="http://schemas.microsoft.com/office/2007/relationships/hdphoto" Target="../media/hdphoto3.wdp"/><Relationship Id="rId11" Type="http://schemas.openxmlformats.org/officeDocument/2006/relationships/image" Target="../media/image14.jpeg"/><Relationship Id="rId24" Type="http://schemas.openxmlformats.org/officeDocument/2006/relationships/image" Target="../media/image27.png"/><Relationship Id="rId5" Type="http://schemas.openxmlformats.org/officeDocument/2006/relationships/image" Target="../media/image10.png"/><Relationship Id="rId15" Type="http://schemas.openxmlformats.org/officeDocument/2006/relationships/image" Target="../media/image18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10" Type="http://schemas.openxmlformats.org/officeDocument/2006/relationships/image" Target="../media/image13.jpeg"/><Relationship Id="rId19" Type="http://schemas.openxmlformats.org/officeDocument/2006/relationships/image" Target="../media/image22.png"/><Relationship Id="rId4" Type="http://schemas.microsoft.com/office/2007/relationships/hdphoto" Target="../media/hdphoto2.wdp"/><Relationship Id="rId9" Type="http://schemas.microsoft.com/office/2007/relationships/hdphoto" Target="../media/hdphoto4.wdp"/><Relationship Id="rId14" Type="http://schemas.openxmlformats.org/officeDocument/2006/relationships/image" Target="../media/image17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image" Target="../media/image32.png"/><Relationship Id="rId1" Type="http://schemas.openxmlformats.org/officeDocument/2006/relationships/chart" Target="../charts/chart3.xml"/><Relationship Id="rId4" Type="http://schemas.openxmlformats.org/officeDocument/2006/relationships/image" Target="../media/image3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108</xdr:row>
      <xdr:rowOff>0</xdr:rowOff>
    </xdr:from>
    <xdr:to>
      <xdr:col>13</xdr:col>
      <xdr:colOff>104775</xdr:colOff>
      <xdr:row>108</xdr:row>
      <xdr:rowOff>217714</xdr:rowOff>
    </xdr:to>
    <xdr:sp macro="" textlink="">
      <xdr:nvSpPr>
        <xdr:cNvPr id="12" name="Text Box 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362825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108</xdr:row>
      <xdr:rowOff>0</xdr:rowOff>
    </xdr:from>
    <xdr:to>
      <xdr:col>14</xdr:col>
      <xdr:colOff>104775</xdr:colOff>
      <xdr:row>108</xdr:row>
      <xdr:rowOff>217714</xdr:rowOff>
    </xdr:to>
    <xdr:sp macro="" textlink="">
      <xdr:nvSpPr>
        <xdr:cNvPr id="42" name="Text Box 6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7962900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108</xdr:row>
      <xdr:rowOff>0</xdr:rowOff>
    </xdr:from>
    <xdr:to>
      <xdr:col>13</xdr:col>
      <xdr:colOff>104775</xdr:colOff>
      <xdr:row>108</xdr:row>
      <xdr:rowOff>217714</xdr:rowOff>
    </xdr:to>
    <xdr:sp macro="" textlink="">
      <xdr:nvSpPr>
        <xdr:cNvPr id="43" name="Text Box 6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7362825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108</xdr:row>
      <xdr:rowOff>0</xdr:rowOff>
    </xdr:from>
    <xdr:to>
      <xdr:col>13</xdr:col>
      <xdr:colOff>104775</xdr:colOff>
      <xdr:row>108</xdr:row>
      <xdr:rowOff>217714</xdr:rowOff>
    </xdr:to>
    <xdr:sp macro="" textlink="">
      <xdr:nvSpPr>
        <xdr:cNvPr id="44" name="Text Box 6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7362825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108</xdr:row>
      <xdr:rowOff>0</xdr:rowOff>
    </xdr:from>
    <xdr:to>
      <xdr:col>14</xdr:col>
      <xdr:colOff>104775</xdr:colOff>
      <xdr:row>108</xdr:row>
      <xdr:rowOff>217714</xdr:rowOff>
    </xdr:to>
    <xdr:sp macro="" textlink="">
      <xdr:nvSpPr>
        <xdr:cNvPr id="45" name="Text Box 6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7962900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108</xdr:row>
      <xdr:rowOff>0</xdr:rowOff>
    </xdr:from>
    <xdr:to>
      <xdr:col>14</xdr:col>
      <xdr:colOff>104775</xdr:colOff>
      <xdr:row>108</xdr:row>
      <xdr:rowOff>217714</xdr:rowOff>
    </xdr:to>
    <xdr:sp macro="" textlink="">
      <xdr:nvSpPr>
        <xdr:cNvPr id="46" name="Text Box 6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7962900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108</xdr:row>
      <xdr:rowOff>0</xdr:rowOff>
    </xdr:from>
    <xdr:to>
      <xdr:col>13</xdr:col>
      <xdr:colOff>104775</xdr:colOff>
      <xdr:row>108</xdr:row>
      <xdr:rowOff>217714</xdr:rowOff>
    </xdr:to>
    <xdr:sp macro="" textlink="">
      <xdr:nvSpPr>
        <xdr:cNvPr id="47" name="Text Box 7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7362825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108</xdr:row>
      <xdr:rowOff>0</xdr:rowOff>
    </xdr:from>
    <xdr:to>
      <xdr:col>13</xdr:col>
      <xdr:colOff>104775</xdr:colOff>
      <xdr:row>108</xdr:row>
      <xdr:rowOff>217714</xdr:rowOff>
    </xdr:to>
    <xdr:sp macro="" textlink="">
      <xdr:nvSpPr>
        <xdr:cNvPr id="48" name="Text Box 7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7362825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108</xdr:row>
      <xdr:rowOff>0</xdr:rowOff>
    </xdr:from>
    <xdr:to>
      <xdr:col>14</xdr:col>
      <xdr:colOff>104775</xdr:colOff>
      <xdr:row>108</xdr:row>
      <xdr:rowOff>217714</xdr:rowOff>
    </xdr:to>
    <xdr:sp macro="" textlink="">
      <xdr:nvSpPr>
        <xdr:cNvPr id="49" name="Text Box 7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7962900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108</xdr:row>
      <xdr:rowOff>0</xdr:rowOff>
    </xdr:from>
    <xdr:to>
      <xdr:col>14</xdr:col>
      <xdr:colOff>104775</xdr:colOff>
      <xdr:row>108</xdr:row>
      <xdr:rowOff>217714</xdr:rowOff>
    </xdr:to>
    <xdr:sp macro="" textlink="">
      <xdr:nvSpPr>
        <xdr:cNvPr id="50" name="Text Box 7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7962900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108</xdr:row>
      <xdr:rowOff>0</xdr:rowOff>
    </xdr:from>
    <xdr:to>
      <xdr:col>13</xdr:col>
      <xdr:colOff>104775</xdr:colOff>
      <xdr:row>108</xdr:row>
      <xdr:rowOff>217714</xdr:rowOff>
    </xdr:to>
    <xdr:sp macro="" textlink="">
      <xdr:nvSpPr>
        <xdr:cNvPr id="51" name="Text Box 7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7362825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108</xdr:row>
      <xdr:rowOff>0</xdr:rowOff>
    </xdr:from>
    <xdr:to>
      <xdr:col>13</xdr:col>
      <xdr:colOff>104775</xdr:colOff>
      <xdr:row>108</xdr:row>
      <xdr:rowOff>217714</xdr:rowOff>
    </xdr:to>
    <xdr:sp macro="" textlink="">
      <xdr:nvSpPr>
        <xdr:cNvPr id="52" name="Text Box 7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7362825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108</xdr:row>
      <xdr:rowOff>0</xdr:rowOff>
    </xdr:from>
    <xdr:to>
      <xdr:col>14</xdr:col>
      <xdr:colOff>104775</xdr:colOff>
      <xdr:row>108</xdr:row>
      <xdr:rowOff>217714</xdr:rowOff>
    </xdr:to>
    <xdr:sp macro="" textlink="">
      <xdr:nvSpPr>
        <xdr:cNvPr id="53" name="Text Box 7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7962900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108</xdr:row>
      <xdr:rowOff>0</xdr:rowOff>
    </xdr:from>
    <xdr:to>
      <xdr:col>14</xdr:col>
      <xdr:colOff>104775</xdr:colOff>
      <xdr:row>108</xdr:row>
      <xdr:rowOff>217714</xdr:rowOff>
    </xdr:to>
    <xdr:sp macro="" textlink="">
      <xdr:nvSpPr>
        <xdr:cNvPr id="54" name="Text Box 77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7962900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108</xdr:row>
      <xdr:rowOff>0</xdr:rowOff>
    </xdr:from>
    <xdr:to>
      <xdr:col>13</xdr:col>
      <xdr:colOff>104775</xdr:colOff>
      <xdr:row>108</xdr:row>
      <xdr:rowOff>217714</xdr:rowOff>
    </xdr:to>
    <xdr:sp macro="" textlink="">
      <xdr:nvSpPr>
        <xdr:cNvPr id="55" name="Text Box 7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7362825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108</xdr:row>
      <xdr:rowOff>0</xdr:rowOff>
    </xdr:from>
    <xdr:to>
      <xdr:col>13</xdr:col>
      <xdr:colOff>104775</xdr:colOff>
      <xdr:row>108</xdr:row>
      <xdr:rowOff>217714</xdr:rowOff>
    </xdr:to>
    <xdr:sp macro="" textlink="">
      <xdr:nvSpPr>
        <xdr:cNvPr id="56" name="Text Box 7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7362825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108</xdr:row>
      <xdr:rowOff>0</xdr:rowOff>
    </xdr:from>
    <xdr:to>
      <xdr:col>14</xdr:col>
      <xdr:colOff>104775</xdr:colOff>
      <xdr:row>108</xdr:row>
      <xdr:rowOff>217714</xdr:rowOff>
    </xdr:to>
    <xdr:sp macro="" textlink="">
      <xdr:nvSpPr>
        <xdr:cNvPr id="57" name="Text Box 8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7962900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108</xdr:row>
      <xdr:rowOff>0</xdr:rowOff>
    </xdr:from>
    <xdr:to>
      <xdr:col>14</xdr:col>
      <xdr:colOff>104775</xdr:colOff>
      <xdr:row>108</xdr:row>
      <xdr:rowOff>217714</xdr:rowOff>
    </xdr:to>
    <xdr:sp macro="" textlink="">
      <xdr:nvSpPr>
        <xdr:cNvPr id="58" name="Text Box 8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7962900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108</xdr:row>
      <xdr:rowOff>0</xdr:rowOff>
    </xdr:from>
    <xdr:to>
      <xdr:col>13</xdr:col>
      <xdr:colOff>104775</xdr:colOff>
      <xdr:row>108</xdr:row>
      <xdr:rowOff>217714</xdr:rowOff>
    </xdr:to>
    <xdr:sp macro="" textlink="">
      <xdr:nvSpPr>
        <xdr:cNvPr id="59" name="Text Box 8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7362825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108</xdr:row>
      <xdr:rowOff>0</xdr:rowOff>
    </xdr:from>
    <xdr:to>
      <xdr:col>13</xdr:col>
      <xdr:colOff>104775</xdr:colOff>
      <xdr:row>108</xdr:row>
      <xdr:rowOff>217714</xdr:rowOff>
    </xdr:to>
    <xdr:sp macro="" textlink="">
      <xdr:nvSpPr>
        <xdr:cNvPr id="60" name="Text Box 8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7362825" y="137731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152400</xdr:colOff>
      <xdr:row>76</xdr:row>
      <xdr:rowOff>85725</xdr:rowOff>
    </xdr:from>
    <xdr:to>
      <xdr:col>14</xdr:col>
      <xdr:colOff>228600</xdr:colOff>
      <xdr:row>94</xdr:row>
      <xdr:rowOff>57150</xdr:rowOff>
    </xdr:to>
    <xdr:graphicFrame macro="">
      <xdr:nvGraphicFramePr>
        <xdr:cNvPr id="62" name="Chart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104777</xdr:colOff>
      <xdr:row>37</xdr:row>
      <xdr:rowOff>54430</xdr:rowOff>
    </xdr:from>
    <xdr:to>
      <xdr:col>2</xdr:col>
      <xdr:colOff>342901</xdr:colOff>
      <xdr:row>41</xdr:row>
      <xdr:rowOff>121559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7" y="9788980"/>
          <a:ext cx="1133474" cy="743404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98</xdr:row>
      <xdr:rowOff>28575</xdr:rowOff>
    </xdr:from>
    <xdr:ext cx="1152526" cy="747551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573875"/>
          <a:ext cx="1152526" cy="747551"/>
        </a:xfrm>
        <a:prstGeom prst="rect">
          <a:avLst/>
        </a:prstGeom>
      </xdr:spPr>
    </xdr:pic>
    <xdr:clientData/>
  </xdr:oneCellAnchor>
  <xdr:twoCellAnchor>
    <xdr:from>
      <xdr:col>23</xdr:col>
      <xdr:colOff>514350</xdr:colOff>
      <xdr:row>101</xdr:row>
      <xdr:rowOff>219075</xdr:rowOff>
    </xdr:from>
    <xdr:to>
      <xdr:col>27</xdr:col>
      <xdr:colOff>342902</xdr:colOff>
      <xdr:row>101</xdr:row>
      <xdr:rowOff>228600</xdr:rowOff>
    </xdr:to>
    <xdr:cxnSp macro="">
      <xdr:nvCxnSpPr>
        <xdr:cNvPr id="67" name="66 Conector recto de flecha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 flipH="1" flipV="1">
          <a:off x="514350" y="10439400"/>
          <a:ext cx="1619252" cy="0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117021</xdr:colOff>
      <xdr:row>0</xdr:row>
      <xdr:rowOff>54429</xdr:rowOff>
    </xdr:from>
    <xdr:ext cx="1140279" cy="793296"/>
    <xdr:pic>
      <xdr:nvPicPr>
        <xdr:cNvPr id="72" name="Imagen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21" y="54429"/>
          <a:ext cx="1140279" cy="793296"/>
        </a:xfrm>
        <a:prstGeom prst="rect">
          <a:avLst/>
        </a:prstGeom>
      </xdr:spPr>
    </xdr:pic>
    <xdr:clientData/>
  </xdr:oneCellAnchor>
  <xdr:twoCellAnchor>
    <xdr:from>
      <xdr:col>3</xdr:col>
      <xdr:colOff>104775</xdr:colOff>
      <xdr:row>33</xdr:row>
      <xdr:rowOff>19050</xdr:rowOff>
    </xdr:from>
    <xdr:to>
      <xdr:col>6</xdr:col>
      <xdr:colOff>188302</xdr:colOff>
      <xdr:row>33</xdr:row>
      <xdr:rowOff>19050</xdr:rowOff>
    </xdr:to>
    <xdr:cxnSp macro="">
      <xdr:nvCxnSpPr>
        <xdr:cNvPr id="76" name="Conector recto 1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>
          <a:off x="1400175" y="8715375"/>
          <a:ext cx="1178902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219075</xdr:colOff>
      <xdr:row>33</xdr:row>
      <xdr:rowOff>0</xdr:rowOff>
    </xdr:from>
    <xdr:to>
      <xdr:col>10</xdr:col>
      <xdr:colOff>359752</xdr:colOff>
      <xdr:row>33</xdr:row>
      <xdr:rowOff>0</xdr:rowOff>
    </xdr:to>
    <xdr:cxnSp macro="">
      <xdr:nvCxnSpPr>
        <xdr:cNvPr id="77" name="Conector recto 10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/>
      </xdr:nvCxnSpPr>
      <xdr:spPr>
        <a:xfrm>
          <a:off x="3181350" y="24060150"/>
          <a:ext cx="1378927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238125</xdr:colOff>
      <xdr:row>33</xdr:row>
      <xdr:rowOff>0</xdr:rowOff>
    </xdr:from>
    <xdr:to>
      <xdr:col>14</xdr:col>
      <xdr:colOff>264502</xdr:colOff>
      <xdr:row>33</xdr:row>
      <xdr:rowOff>0</xdr:rowOff>
    </xdr:to>
    <xdr:cxnSp macro="">
      <xdr:nvCxnSpPr>
        <xdr:cNvPr id="78" name="Conector recto 1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/>
      </xdr:nvCxnSpPr>
      <xdr:spPr>
        <a:xfrm>
          <a:off x="4895850" y="24060150"/>
          <a:ext cx="1502752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32</xdr:row>
          <xdr:rowOff>19050</xdr:rowOff>
        </xdr:from>
        <xdr:to>
          <xdr:col>7</xdr:col>
          <xdr:colOff>0</xdr:colOff>
          <xdr:row>32</xdr:row>
          <xdr:rowOff>495300</xdr:rowOff>
        </xdr:to>
        <xdr:pic>
          <xdr:nvPicPr>
            <xdr:cNvPr id="1739" name="Imagen 30">
              <a:extLs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laborofirmas" spid="_x0000_s1886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304925" y="7753350"/>
              <a:ext cx="1419225" cy="476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14</xdr:col>
          <xdr:colOff>381000</xdr:colOff>
          <xdr:row>32</xdr:row>
          <xdr:rowOff>495300</xdr:rowOff>
        </xdr:to>
        <xdr:pic>
          <xdr:nvPicPr>
            <xdr:cNvPr id="1740" name="Imagen 37">
              <a:extLs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aprobofirmas" spid="_x0000_s1887"/>
                </a:ext>
              </a:extLst>
            </xdr:cNvPicPr>
          </xdr:nvPicPr>
          <xdr:blipFill>
            <a:blip xmlns:r="http://schemas.openxmlformats.org/officeDocument/2006/relationships" r:embed="rId4">
              <a:clrChange>
                <a:clrFrom>
                  <a:srgbClr val="FEFEFE"/>
                </a:clrFrom>
                <a:clrTo>
                  <a:srgbClr val="FEFEFE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4619625" y="7743825"/>
              <a:ext cx="1847850" cy="485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32</xdr:row>
          <xdr:rowOff>19050</xdr:rowOff>
        </xdr:from>
        <xdr:to>
          <xdr:col>11</xdr:col>
          <xdr:colOff>0</xdr:colOff>
          <xdr:row>32</xdr:row>
          <xdr:rowOff>495300</xdr:rowOff>
        </xdr:to>
        <xdr:pic>
          <xdr:nvPicPr>
            <xdr:cNvPr id="1741" name="Picture 313">
              <a:extLs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revisofirmas" spid="_x0000_s1888"/>
                </a:ext>
              </a:extLst>
            </xdr:cNvPicPr>
          </xdr:nvPicPr>
          <xdr:blipFill>
            <a:blip xmlns:r="http://schemas.openxmlformats.org/officeDocument/2006/relationships" r:embed="rId5">
              <a:clrChange>
                <a:clrFrom>
                  <a:srgbClr val="FEFEFE"/>
                </a:clrFrom>
                <a:clrTo>
                  <a:srgbClr val="FEFEFE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2733675" y="7753350"/>
              <a:ext cx="1876425" cy="4762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0.0693</cdr:x>
      <cdr:y>0.01588</cdr:y>
    </cdr:from>
    <cdr:to>
      <cdr:x>0.0693</cdr:x>
      <cdr:y>0.03721</cdr:y>
    </cdr:to>
    <cdr:sp macro="" textlink="">
      <cdr:nvSpPr>
        <cdr:cNvPr id="202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633" y="53086"/>
          <a:ext cx="0" cy="67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N°200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53111</xdr:colOff>
      <xdr:row>0</xdr:row>
      <xdr:rowOff>138545</xdr:rowOff>
    </xdr:from>
    <xdr:to>
      <xdr:col>3</xdr:col>
      <xdr:colOff>10827</xdr:colOff>
      <xdr:row>4</xdr:row>
      <xdr:rowOff>96545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236" y="138545"/>
          <a:ext cx="719716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57151</xdr:colOff>
      <xdr:row>9</xdr:row>
      <xdr:rowOff>180975</xdr:rowOff>
    </xdr:from>
    <xdr:to>
      <xdr:col>21</xdr:col>
      <xdr:colOff>0</xdr:colOff>
      <xdr:row>25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3</xdr:row>
      <xdr:rowOff>28574</xdr:rowOff>
    </xdr:from>
    <xdr:to>
      <xdr:col>2</xdr:col>
      <xdr:colOff>1314449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857249"/>
          <a:ext cx="1028699" cy="50482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76200</xdr:colOff>
      <xdr:row>2</xdr:row>
      <xdr:rowOff>19050</xdr:rowOff>
    </xdr:from>
    <xdr:to>
      <xdr:col>2</xdr:col>
      <xdr:colOff>1438275</xdr:colOff>
      <xdr:row>3</xdr:row>
      <xdr:rowOff>25845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71800" y="342900"/>
          <a:ext cx="1362075" cy="5116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86852</xdr:colOff>
      <xdr:row>7</xdr:row>
      <xdr:rowOff>78266</xdr:rowOff>
    </xdr:from>
    <xdr:to>
      <xdr:col>2</xdr:col>
      <xdr:colOff>1387552</xdr:colOff>
      <xdr:row>8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E4E4E4"/>
            </a:clrFrom>
            <a:clrTo>
              <a:srgbClr val="E4E4E4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452" y="2926241"/>
          <a:ext cx="1300700" cy="45513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142875</xdr:colOff>
      <xdr:row>6</xdr:row>
      <xdr:rowOff>19050</xdr:rowOff>
    </xdr:from>
    <xdr:to>
      <xdr:col>2</xdr:col>
      <xdr:colOff>1400175</xdr:colOff>
      <xdr:row>7</xdr:row>
      <xdr:rowOff>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2362200"/>
          <a:ext cx="1257300" cy="48577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47625</xdr:colOff>
      <xdr:row>12</xdr:row>
      <xdr:rowOff>28575</xdr:rowOff>
    </xdr:from>
    <xdr:to>
      <xdr:col>2</xdr:col>
      <xdr:colOff>1466850</xdr:colOff>
      <xdr:row>12</xdr:row>
      <xdr:rowOff>495300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5400675"/>
          <a:ext cx="1419225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209551</xdr:colOff>
      <xdr:row>4</xdr:row>
      <xdr:rowOff>48102</xdr:rowOff>
    </xdr:from>
    <xdr:to>
      <xdr:col>2</xdr:col>
      <xdr:colOff>1247775</xdr:colOff>
      <xdr:row>5</xdr:row>
      <xdr:rowOff>9525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69" t="20349" r="39447" b="15553"/>
        <a:stretch/>
      </xdr:blipFill>
      <xdr:spPr>
        <a:xfrm>
          <a:off x="3105151" y="1381602"/>
          <a:ext cx="1038224" cy="46624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123825</xdr:colOff>
      <xdr:row>8</xdr:row>
      <xdr:rowOff>9526</xdr:rowOff>
    </xdr:from>
    <xdr:to>
      <xdr:col>2</xdr:col>
      <xdr:colOff>1419224</xdr:colOff>
      <xdr:row>8</xdr:row>
      <xdr:rowOff>495300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362326"/>
          <a:ext cx="1295399" cy="485774"/>
        </a:xfrm>
        <a:prstGeom prst="rect">
          <a:avLst/>
        </a:prstGeom>
      </xdr:spPr>
    </xdr:pic>
    <xdr:clientData/>
  </xdr:twoCellAnchor>
  <xdr:twoCellAnchor editAs="oneCell">
    <xdr:from>
      <xdr:col>2</xdr:col>
      <xdr:colOff>416662</xdr:colOff>
      <xdr:row>10</xdr:row>
      <xdr:rowOff>14606</xdr:rowOff>
    </xdr:from>
    <xdr:to>
      <xdr:col>2</xdr:col>
      <xdr:colOff>1171575</xdr:colOff>
      <xdr:row>10</xdr:row>
      <xdr:rowOff>495300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2262" y="4377056"/>
          <a:ext cx="754913" cy="48069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5</xdr:row>
      <xdr:rowOff>28576</xdr:rowOff>
    </xdr:from>
    <xdr:to>
      <xdr:col>2</xdr:col>
      <xdr:colOff>1371600</xdr:colOff>
      <xdr:row>5</xdr:row>
      <xdr:rowOff>476250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028950" y="1866901"/>
          <a:ext cx="123825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9</xdr:row>
      <xdr:rowOff>28575</xdr:rowOff>
    </xdr:from>
    <xdr:to>
      <xdr:col>2</xdr:col>
      <xdr:colOff>1333500</xdr:colOff>
      <xdr:row>9</xdr:row>
      <xdr:rowOff>495301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l="10185" t="6024" r="10185" b="9638"/>
        <a:stretch/>
      </xdr:blipFill>
      <xdr:spPr>
        <a:xfrm>
          <a:off x="3019426" y="3886200"/>
          <a:ext cx="1209674" cy="46672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11</xdr:row>
      <xdr:rowOff>28576</xdr:rowOff>
    </xdr:from>
    <xdr:to>
      <xdr:col>2</xdr:col>
      <xdr:colOff>1295400</xdr:colOff>
      <xdr:row>11</xdr:row>
      <xdr:rowOff>478956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/>
        <a:srcRect l="4762" t="5883" r="11418" b="10283"/>
        <a:stretch/>
      </xdr:blipFill>
      <xdr:spPr>
        <a:xfrm>
          <a:off x="3019425" y="4895851"/>
          <a:ext cx="1171575" cy="45038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25</xdr:row>
      <xdr:rowOff>47626</xdr:rowOff>
    </xdr:from>
    <xdr:to>
      <xdr:col>2</xdr:col>
      <xdr:colOff>1428750</xdr:colOff>
      <xdr:row>26</xdr:row>
      <xdr:rowOff>9525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/>
        <a:srcRect l="8876"/>
        <a:stretch/>
      </xdr:blipFill>
      <xdr:spPr>
        <a:xfrm>
          <a:off x="3038475" y="11982451"/>
          <a:ext cx="1285875" cy="466724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161926</xdr:colOff>
      <xdr:row>14</xdr:row>
      <xdr:rowOff>28576</xdr:rowOff>
    </xdr:from>
    <xdr:to>
      <xdr:col>2</xdr:col>
      <xdr:colOff>1390650</xdr:colOff>
      <xdr:row>14</xdr:row>
      <xdr:rowOff>476250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/>
        <a:srcRect l="16218" t="15816" r="15530" b="14873"/>
        <a:stretch/>
      </xdr:blipFill>
      <xdr:spPr>
        <a:xfrm>
          <a:off x="3057526" y="6410326"/>
          <a:ext cx="1228724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17</xdr:row>
      <xdr:rowOff>28576</xdr:rowOff>
    </xdr:from>
    <xdr:to>
      <xdr:col>2</xdr:col>
      <xdr:colOff>1476375</xdr:colOff>
      <xdr:row>17</xdr:row>
      <xdr:rowOff>476250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/>
        <a:srcRect l="4495" t="11280" r="5044" b="20291"/>
        <a:stretch/>
      </xdr:blipFill>
      <xdr:spPr>
        <a:xfrm>
          <a:off x="2962275" y="7924801"/>
          <a:ext cx="1409700" cy="4476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23</xdr:row>
      <xdr:rowOff>38100</xdr:rowOff>
    </xdr:from>
    <xdr:to>
      <xdr:col>2</xdr:col>
      <xdr:colOff>1400175</xdr:colOff>
      <xdr:row>23</xdr:row>
      <xdr:rowOff>485775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981325" y="10963275"/>
          <a:ext cx="131445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76199</xdr:colOff>
      <xdr:row>15</xdr:row>
      <xdr:rowOff>9525</xdr:rowOff>
    </xdr:from>
    <xdr:to>
      <xdr:col>2</xdr:col>
      <xdr:colOff>1438275</xdr:colOff>
      <xdr:row>15</xdr:row>
      <xdr:rowOff>495300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/>
        <a:srcRect l="9888" r="5637"/>
        <a:stretch/>
      </xdr:blipFill>
      <xdr:spPr>
        <a:xfrm>
          <a:off x="2971799" y="6896100"/>
          <a:ext cx="1362076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21</xdr:row>
      <xdr:rowOff>19052</xdr:rowOff>
    </xdr:from>
    <xdr:to>
      <xdr:col>2</xdr:col>
      <xdr:colOff>1362075</xdr:colOff>
      <xdr:row>21</xdr:row>
      <xdr:rowOff>492410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/>
        <a:srcRect l="4855" t="31347" r="13582" b="17154"/>
        <a:stretch/>
      </xdr:blipFill>
      <xdr:spPr>
        <a:xfrm>
          <a:off x="3009900" y="9934577"/>
          <a:ext cx="1247775" cy="473358"/>
        </a:xfrm>
        <a:prstGeom prst="rect">
          <a:avLst/>
        </a:prstGeom>
      </xdr:spPr>
    </xdr:pic>
    <xdr:clientData/>
  </xdr:twoCellAnchor>
  <xdr:twoCellAnchor editAs="oneCell">
    <xdr:from>
      <xdr:col>2</xdr:col>
      <xdr:colOff>85724</xdr:colOff>
      <xdr:row>13</xdr:row>
      <xdr:rowOff>38100</xdr:rowOff>
    </xdr:from>
    <xdr:to>
      <xdr:col>2</xdr:col>
      <xdr:colOff>1419225</xdr:colOff>
      <xdr:row>13</xdr:row>
      <xdr:rowOff>466725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/>
        <a:srcRect l="13910" t="26171" r="17208" b="35506"/>
        <a:stretch/>
      </xdr:blipFill>
      <xdr:spPr>
        <a:xfrm>
          <a:off x="2981324" y="5915025"/>
          <a:ext cx="1333501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20</xdr:row>
      <xdr:rowOff>19051</xdr:rowOff>
    </xdr:from>
    <xdr:to>
      <xdr:col>2</xdr:col>
      <xdr:colOff>1384968</xdr:colOff>
      <xdr:row>20</xdr:row>
      <xdr:rowOff>495300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/>
        <a:srcRect l="13137" t="26490" r="8887" b="14584"/>
        <a:stretch/>
      </xdr:blipFill>
      <xdr:spPr>
        <a:xfrm>
          <a:off x="3076575" y="9429751"/>
          <a:ext cx="1203993" cy="47624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26</xdr:row>
      <xdr:rowOff>9525</xdr:rowOff>
    </xdr:from>
    <xdr:to>
      <xdr:col>2</xdr:col>
      <xdr:colOff>1314450</xdr:colOff>
      <xdr:row>26</xdr:row>
      <xdr:rowOff>485775</xdr:rowOff>
    </xdr:to>
    <xdr:pic>
      <xdr:nvPicPr>
        <xdr:cNvPr id="1278978" name="Picture 2">
          <a:extLst>
            <a:ext uri="{FF2B5EF4-FFF2-40B4-BE49-F238E27FC236}">
              <a16:creationId xmlns:a16="http://schemas.microsoft.com/office/drawing/2014/main" id="{00000000-0008-0000-0200-00000284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981325" y="12449175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38100</xdr:colOff>
      <xdr:row>30</xdr:row>
      <xdr:rowOff>57150</xdr:rowOff>
    </xdr:from>
    <xdr:to>
      <xdr:col>2</xdr:col>
      <xdr:colOff>1266825</xdr:colOff>
      <xdr:row>31</xdr:row>
      <xdr:rowOff>28575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933700" y="15020925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76200</xdr:colOff>
      <xdr:row>33</xdr:row>
      <xdr:rowOff>28575</xdr:rowOff>
    </xdr:from>
    <xdr:to>
      <xdr:col>2</xdr:col>
      <xdr:colOff>1304925</xdr:colOff>
      <xdr:row>34</xdr:row>
      <xdr:rowOff>0</xdr:rowOff>
    </xdr:to>
    <xdr:pic>
      <xdr:nvPicPr>
        <xdr:cNvPr id="28" name="Picture 2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971800" y="16506825"/>
          <a:ext cx="12287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180976</xdr:colOff>
      <xdr:row>22</xdr:row>
      <xdr:rowOff>19051</xdr:rowOff>
    </xdr:from>
    <xdr:to>
      <xdr:col>2</xdr:col>
      <xdr:colOff>1225142</xdr:colOff>
      <xdr:row>22</xdr:row>
      <xdr:rowOff>495300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6" y="10439401"/>
          <a:ext cx="1044166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228601</xdr:colOff>
      <xdr:row>33</xdr:row>
      <xdr:rowOff>28576</xdr:rowOff>
    </xdr:from>
    <xdr:to>
      <xdr:col>2</xdr:col>
      <xdr:colOff>1257301</xdr:colOff>
      <xdr:row>33</xdr:row>
      <xdr:rowOff>476127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124201" y="16002001"/>
          <a:ext cx="1028700" cy="447551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32</xdr:row>
      <xdr:rowOff>9525</xdr:rowOff>
    </xdr:from>
    <xdr:to>
      <xdr:col>2</xdr:col>
      <xdr:colOff>1190625</xdr:colOff>
      <xdr:row>32</xdr:row>
      <xdr:rowOff>438150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03FD31-1D1D-46E3-A953-F144E6434BA2}"/>
            </a:ext>
          </a:extLst>
        </xdr:cNvPr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15478125"/>
          <a:ext cx="101917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114300</xdr:colOff>
      <xdr:row>28</xdr:row>
      <xdr:rowOff>0</xdr:rowOff>
    </xdr:from>
    <xdr:ext cx="1419225" cy="466725"/>
    <xdr:pic>
      <xdr:nvPicPr>
        <xdr:cNvPr id="33" name="Imagen 32">
          <a:extLst>
            <a:ext uri="{FF2B5EF4-FFF2-40B4-BE49-F238E27FC236}">
              <a16:creationId xmlns:a16="http://schemas.microsoft.com/office/drawing/2014/main" id="{37CBFBA6-281B-4D09-8D09-DB2D11AF5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13449300"/>
          <a:ext cx="1419225" cy="466725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2</xdr:col>
      <xdr:colOff>47625</xdr:colOff>
      <xdr:row>29</xdr:row>
      <xdr:rowOff>47625</xdr:rowOff>
    </xdr:from>
    <xdr:to>
      <xdr:col>2</xdr:col>
      <xdr:colOff>1476196</xdr:colOff>
      <xdr:row>29</xdr:row>
      <xdr:rowOff>409530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943225" y="14001750"/>
          <a:ext cx="1428571" cy="361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22</xdr:row>
      <xdr:rowOff>45495</xdr:rowOff>
    </xdr:from>
    <xdr:to>
      <xdr:col>11</xdr:col>
      <xdr:colOff>647700</xdr:colOff>
      <xdr:row>40</xdr:row>
      <xdr:rowOff>143230</xdr:rowOff>
    </xdr:to>
    <xdr:graphicFrame macro="">
      <xdr:nvGraphicFramePr>
        <xdr:cNvPr id="3937733" name="Chart 1">
          <a:extLst>
            <a:ext uri="{FF2B5EF4-FFF2-40B4-BE49-F238E27FC236}">
              <a16:creationId xmlns:a16="http://schemas.microsoft.com/office/drawing/2014/main" id="{00000000-0008-0000-0400-0000C5153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48</xdr:col>
      <xdr:colOff>66675</xdr:colOff>
      <xdr:row>49</xdr:row>
      <xdr:rowOff>9525</xdr:rowOff>
    </xdr:from>
    <xdr:to>
      <xdr:col>55</xdr:col>
      <xdr:colOff>381000</xdr:colOff>
      <xdr:row>57</xdr:row>
      <xdr:rowOff>0</xdr:rowOff>
    </xdr:to>
    <xdr:pic>
      <xdr:nvPicPr>
        <xdr:cNvPr id="3937735" name="5 Imagen">
          <a:extLst>
            <a:ext uri="{FF2B5EF4-FFF2-40B4-BE49-F238E27FC236}">
              <a16:creationId xmlns:a16="http://schemas.microsoft.com/office/drawing/2014/main" id="{00000000-0008-0000-0400-0000C715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1725" y="9391650"/>
          <a:ext cx="56483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61411</xdr:colOff>
      <xdr:row>64</xdr:row>
      <xdr:rowOff>42031</xdr:rowOff>
    </xdr:from>
    <xdr:ext cx="1552236" cy="410369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4920411" y="7652506"/>
          <a:ext cx="1552236" cy="410369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100" b="0" i="0">
              <a:latin typeface="Cambria Math"/>
            </a:rPr>
            <a:t>𝐴𝐺</a:t>
          </a:r>
          <a:r>
            <a:rPr lang="es-CO" sz="1100" i="0">
              <a:latin typeface="Cambria Math"/>
            </a:rPr>
            <a:t>=(</a:t>
          </a:r>
          <a:r>
            <a:rPr lang="es-ES" sz="1100" b="0" i="0">
              <a:latin typeface="Cambria Math"/>
            </a:rPr>
            <a:t>𝑇𝑀−𝑇𝐶𝑃</a:t>
          </a:r>
          <a:r>
            <a:rPr lang="es-CO" sz="1100" b="0" i="0">
              <a:latin typeface="Cambria Math"/>
            </a:rPr>
            <a:t>)/(</a:t>
          </a:r>
          <a:r>
            <a:rPr lang="es-ES" sz="1100" b="0" i="0">
              <a:latin typeface="Cambria Math"/>
            </a:rPr>
            <a:t>100−𝑇𝑀</a:t>
          </a:r>
          <a:r>
            <a:rPr lang="es-CO" sz="1100" b="0" i="0">
              <a:latin typeface="Cambria Math"/>
            </a:rPr>
            <a:t>)</a:t>
          </a:r>
          <a:endParaRPr lang="es-CO" sz="1100"/>
        </a:p>
      </xdr:txBody>
    </xdr:sp>
    <xdr:clientData/>
  </xdr:oneCellAnchor>
  <xdr:oneCellAnchor>
    <xdr:from>
      <xdr:col>27</xdr:col>
      <xdr:colOff>313763</xdr:colOff>
      <xdr:row>67</xdr:row>
      <xdr:rowOff>1</xdr:rowOff>
    </xdr:from>
    <xdr:ext cx="1030941" cy="410369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5172763" y="8124826"/>
          <a:ext cx="1030941" cy="410369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100" b="0" i="0">
              <a:latin typeface="Cambria Math"/>
            </a:rPr>
            <a:t>𝐺𝐴𝐹</a:t>
          </a:r>
          <a:r>
            <a:rPr lang="es-CO" sz="1100" i="0">
              <a:latin typeface="Cambria Math"/>
            </a:rPr>
            <a:t>=</a:t>
          </a:r>
          <a:r>
            <a:rPr lang="es-ES" sz="1100" b="0" i="0">
              <a:latin typeface="Cambria Math"/>
            </a:rPr>
            <a:t>𝑇𝐶𝑆</a:t>
          </a:r>
          <a:r>
            <a:rPr lang="es-CO" sz="1100" b="0" i="0">
              <a:latin typeface="Cambria Math"/>
            </a:rPr>
            <a:t>/</a:t>
          </a:r>
          <a:r>
            <a:rPr lang="es-ES" sz="1100" b="0" i="0">
              <a:latin typeface="Cambria Math"/>
            </a:rPr>
            <a:t>𝑇𝐶𝑃</a:t>
          </a:r>
          <a:endParaRPr lang="es-CO" sz="1100"/>
        </a:p>
      </xdr:txBody>
    </xdr:sp>
    <xdr:clientData/>
  </xdr:oneCellAnchor>
  <xdr:oneCellAnchor>
    <xdr:from>
      <xdr:col>28</xdr:col>
      <xdr:colOff>179295</xdr:colOff>
      <xdr:row>69</xdr:row>
      <xdr:rowOff>100854</xdr:rowOff>
    </xdr:from>
    <xdr:ext cx="806824" cy="336175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5352620" y="8606679"/>
          <a:ext cx="806824" cy="336175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r>
            <a:rPr lang="es-CO" sz="1100" b="0" i="1">
              <a:solidFill>
                <a:schemeClr val="tx1"/>
              </a:solidFill>
              <a:latin typeface="Cambria Math"/>
              <a:ea typeface="+mn-ea"/>
              <a:cs typeface="+mn-cs"/>
            </a:rPr>
            <a:t>FAF</a:t>
          </a:r>
          <a:r>
            <a:rPr lang="es-CO" sz="1100" b="0" i="0">
              <a:solidFill>
                <a:schemeClr val="tx1"/>
              </a:solidFill>
              <a:latin typeface="Cambria Math"/>
              <a:ea typeface="+mn-ea"/>
              <a:cs typeface="+mn-cs"/>
            </a:rPr>
            <a:t>=</a:t>
          </a:r>
          <a:r>
            <a:rPr lang="es-ES" sz="1100" b="0" i="0">
              <a:solidFill>
                <a:schemeClr val="tx1"/>
              </a:solidFill>
              <a:latin typeface="Cambria Math"/>
              <a:ea typeface="+mn-ea"/>
              <a:cs typeface="+mn-cs"/>
            </a:rPr>
            <a:t>𝑇𝐶𝑇</a:t>
          </a:r>
          <a:r>
            <a:rPr lang="es-CO" sz="1100" b="0" i="0">
              <a:solidFill>
                <a:schemeClr val="tx1"/>
              </a:solidFill>
              <a:latin typeface="Cambria Math"/>
              <a:ea typeface="+mn-ea"/>
              <a:cs typeface="+mn-cs"/>
            </a:rPr>
            <a:t>/</a:t>
          </a:r>
          <a:r>
            <a:rPr lang="es-ES" sz="1100" b="0" i="0">
              <a:solidFill>
                <a:schemeClr val="tx1"/>
              </a:solidFill>
              <a:latin typeface="Cambria Math"/>
              <a:ea typeface="+mn-ea"/>
              <a:cs typeface="+mn-cs"/>
            </a:rPr>
            <a:t>𝑇𝐶𝑆</a:t>
          </a:r>
          <a:endParaRPr lang="es-CO" sz="1100" b="0" i="1">
            <a:solidFill>
              <a:schemeClr val="tx1"/>
            </a:solidFill>
            <a:latin typeface="Cambria Math"/>
            <a:ea typeface="+mn-ea"/>
            <a:cs typeface="+mn-cs"/>
          </a:endParaRPr>
        </a:p>
      </xdr:txBody>
    </xdr:sp>
    <xdr:clientData/>
  </xdr:oneCellAnchor>
  <xdr:twoCellAnchor editAs="oneCell">
    <xdr:from>
      <xdr:col>8</xdr:col>
      <xdr:colOff>911088</xdr:colOff>
      <xdr:row>55</xdr:row>
      <xdr:rowOff>33130</xdr:rowOff>
    </xdr:from>
    <xdr:to>
      <xdr:col>11</xdr:col>
      <xdr:colOff>390244</xdr:colOff>
      <xdr:row>57</xdr:row>
      <xdr:rowOff>114482</xdr:rowOff>
    </xdr:to>
    <xdr:pic>
      <xdr:nvPicPr>
        <xdr:cNvPr id="10" name="9 Imagen" descr="MERCY045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5665305" y="9997108"/>
          <a:ext cx="2017776" cy="469392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55</xdr:row>
      <xdr:rowOff>19050</xdr:rowOff>
    </xdr:from>
    <xdr:to>
      <xdr:col>4</xdr:col>
      <xdr:colOff>22649</xdr:colOff>
      <xdr:row>57</xdr:row>
      <xdr:rowOff>180975</xdr:rowOff>
    </xdr:to>
    <xdr:pic>
      <xdr:nvPicPr>
        <xdr:cNvPr id="13" name="12 Imagen" descr="Pablo Vargas.JP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62076" y="9991725"/>
          <a:ext cx="114659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6</xdr:row>
          <xdr:rowOff>9525</xdr:rowOff>
        </xdr:from>
        <xdr:to>
          <xdr:col>13</xdr:col>
          <xdr:colOff>409575</xdr:colOff>
          <xdr:row>9</xdr:row>
          <xdr:rowOff>57150</xdr:rowOff>
        </xdr:to>
        <xdr:sp macro="" textlink="">
          <xdr:nvSpPr>
            <xdr:cNvPr id="1278233" name="Spinner 2329" hidden="1">
              <a:extLst>
                <a:ext uri="{63B3BB69-23CF-44E3-9099-C40C66FF867C}">
                  <a14:compatExt spid="_x0000_s1278233"/>
                </a:ext>
                <a:ext uri="{FF2B5EF4-FFF2-40B4-BE49-F238E27FC236}">
                  <a16:creationId xmlns:a16="http://schemas.microsoft.com/office/drawing/2014/main" id="{00000000-0008-0000-0400-00001981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30</xdr:row>
          <xdr:rowOff>123825</xdr:rowOff>
        </xdr:from>
        <xdr:to>
          <xdr:col>13</xdr:col>
          <xdr:colOff>400050</xdr:colOff>
          <xdr:row>33</xdr:row>
          <xdr:rowOff>200025</xdr:rowOff>
        </xdr:to>
        <xdr:sp macro="" textlink="">
          <xdr:nvSpPr>
            <xdr:cNvPr id="1278784" name="Spinner 2880" hidden="1">
              <a:extLst>
                <a:ext uri="{63B3BB69-23CF-44E3-9099-C40C66FF867C}">
                  <a14:compatExt spid="_x0000_s1278784"/>
                </a:ext>
                <a:ext uri="{FF2B5EF4-FFF2-40B4-BE49-F238E27FC236}">
                  <a16:creationId xmlns:a16="http://schemas.microsoft.com/office/drawing/2014/main" id="{00000000-0008-0000-0400-00004083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161925</xdr:colOff>
          <xdr:row>10</xdr:row>
          <xdr:rowOff>104775</xdr:rowOff>
        </xdr:from>
        <xdr:to>
          <xdr:col>16</xdr:col>
          <xdr:colOff>190500</xdr:colOff>
          <xdr:row>13</xdr:row>
          <xdr:rowOff>19050</xdr:rowOff>
        </xdr:to>
        <xdr:sp macro="" textlink="">
          <xdr:nvSpPr>
            <xdr:cNvPr id="1278785" name="Button 2881" hidden="1">
              <a:extLst>
                <a:ext uri="{63B3BB69-23CF-44E3-9099-C40C66FF867C}">
                  <a14:compatExt spid="_x0000_s1278785"/>
                </a:ext>
                <a:ext uri="{FF2B5EF4-FFF2-40B4-BE49-F238E27FC236}">
                  <a16:creationId xmlns:a16="http://schemas.microsoft.com/office/drawing/2014/main" id="{00000000-0008-0000-0400-00004183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Botón 4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0.0693</cdr:x>
      <cdr:y>0.01588</cdr:y>
    </cdr:from>
    <cdr:to>
      <cdr:x>0.0693</cdr:x>
      <cdr:y>0.03721</cdr:y>
    </cdr:to>
    <cdr:sp macro="" textlink="">
      <cdr:nvSpPr>
        <cdr:cNvPr id="202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633" y="53086"/>
          <a:ext cx="0" cy="67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6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N°200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Ensayos\Equivalen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ANMIN\PLANES\PLANSEM\2001\Trimes02\Sem17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CSERVER1\TECNICO\PLANMIN\PLANES\PLANSEM\2000\TRIMES02\SEM25-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dad\Junio\Documents%20and%20Settings\Adriana.Gallego.ADRIANAG\Configuraci&#243;n%20local\Archivos%20temporales%20de%20Internet\OLK2B\CALC%20PRODUCCION%20EQUIPOS%20AND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dad\Junio\Documents%20and%20Settings\Adriana.Gallego.ADRIANAG\Configuraci&#243;n%20local\Archivos%20temporales%20de%20Internet\OLK2B\PROPUESTA\glencore\CALC%20PRODUCCION%20CCC-GLENCOR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09\Concretos\ARENA--CONCRET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BASE\BASE-INV.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\Mezcla-%20MDC%20-1\Laboratorio\BaseA2\GRADACIONA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PRINCIPAL\Licitaciones\Licitaciones%202000\05-2000%20IDU%20LP%20GPTN%20002-2000\Anexo2PU%20y%20AIU-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\MEZL-ASFALTICA\MDC-1\Arena-sucia-MDC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Ensayos\CLASIFICACINE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Ensayos\Part&#237;culas-deleznabl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%202001\LABORATORIO\ESTUDIOS\LIMIT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MEZCLA%20-ASFALTICA\MDC-2\INMERSI&#211;N-Compresi&#243;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aboratorio\ARCHIVO\MEZCLA\Caras%20fract%20C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\Mezcla-%20MDC%20-1\Frac%20Alarg.%20Aplan%20MDC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Documents%20and%20Settings\DIANA%20PAO\Configuraci&#243;n%20local\Archivos%20temporales%20de%20Internet\Content.IE5\S1MFOXQ3\DATOS\Equipos\COSTO%20DE%20PROPIEDA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CNSG\Para%20revision\Para%20revision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\Datos\1%20Obra%20Dabeiba%20-%20Santa%20Fe\Mezcla%20Asfaltica\Control%20MDC\Datos\1%20Obra%20Dabeiba%20-%20Santa%20Fe\Mezcla%20Asfaltica\Datos\LABORATORIO-SAN-JAVIER-10\MEZCLA%20-ASFALTICA\MDC-2\MDC-2-SAN-JAVIER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os\Laboratorio\BaseB2\PART.ALARGAD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CSERVER1\TECNICO\PLANMIN\PLANES\PLANSEM\2000\TRIMES02\SEM23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ormato"/>
      <sheetName val="Hoja3"/>
    </sheet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EQUIPOS"/>
      <sheetName val="PRODUCC"/>
      <sheetName val="Grono-Pala"/>
      <sheetName val="CALIDAD"/>
      <sheetName val="BD_831"/>
      <sheetName val="BD_OREG1"/>
      <sheetName val="BD_OREG2"/>
      <sheetName val="BD100-45"/>
      <sheetName val="BD100_4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PRODUCCION"/>
      <sheetName val="Prod. x Nivel"/>
      <sheetName val="CRONOG."/>
      <sheetName val="CIVILES"/>
      <sheetName val="BD-831"/>
      <sheetName val="BD100-45-P1"/>
      <sheetName val="ANEXO"/>
      <sheetName val="BD100_45_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UDA"/>
      <sheetName val="CAL PRODUC"/>
      <sheetName val="ListEquipos"/>
      <sheetName val="CALC PROD MENSUAL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 CCC"/>
      <sheetName val="DATOS ENTRADA"/>
      <sheetName val="CAL PRODUC"/>
      <sheetName val="CALC PROD MENSUAL"/>
      <sheetName val="Glencore 1mill- PITAB"/>
      <sheetName val="Glencore 4mill- PITAB"/>
      <sheetName val="Glencore 10mill-PITAB"/>
      <sheetName val="Glencore total-PITAB 365"/>
      <sheetName val="Glencore total-PITAB 365 alter"/>
      <sheetName val="Glencore total-PITAB O&amp;K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NV"/>
      <sheetName val="ASJ"/>
      <sheetName val="Cemex"/>
      <sheetName val="INV (2)"/>
      <sheetName val="CALIDAD-ASJ"/>
      <sheetName val="CALIDAD-ASJ (5)"/>
      <sheetName val="Valle Aburrá"/>
      <sheetName val="for"/>
      <sheetName val="Hoja1"/>
      <sheetName val="GRIS"/>
      <sheetName val="ROJA"/>
      <sheetName val="CALIDAD-ASJ (6)"/>
    </sheetNames>
    <sheetDataSet>
      <sheetData sheetId="0">
        <row r="3">
          <cell r="L3">
            <v>356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RAFICO"/>
      <sheetName val="Valle Aburrá"/>
      <sheetName val="Estadis."/>
      <sheetName val="calculos"/>
      <sheetName val="INV"/>
      <sheetName val="FORM"/>
      <sheetName val="calculos (2)"/>
    </sheetNames>
    <sheetDataSet>
      <sheetData sheetId="0">
        <row r="3">
          <cell r="B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5">
          <cell r="I5">
            <v>2</v>
          </cell>
        </row>
      </sheetData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>
        <row r="3">
          <cell r="B3" t="str">
            <v>Muestra base asfáltica tomada en planta depositada en el K15+315 al 14+600 LD.</v>
          </cell>
        </row>
        <row r="4">
          <cell r="B4" t="str">
            <v>Muestra base asfáltica tomada en planta depositada en el K15+315 al 14+540 L.I.</v>
          </cell>
        </row>
        <row r="5">
          <cell r="B5" t="str">
            <v>Muestra base asfáltica tomada en planta depositada en el K14+600 al 14+320 LD.</v>
          </cell>
        </row>
        <row r="6">
          <cell r="B6" t="str">
            <v>Muestra base asfáltica tomada en planta depositada en el K14+420 al K13+980 LD.</v>
          </cell>
        </row>
        <row r="7">
          <cell r="B7" t="str">
            <v>Muestra base asfáltica tomada en planta depositada en el K14+420 al K13+980 LD.</v>
          </cell>
        </row>
        <row r="8">
          <cell r="B8" t="str">
            <v>Muestra base asfáltica tomada en planta depositada en el K14+324 .K13+920 L.l</v>
          </cell>
        </row>
        <row r="9">
          <cell r="B9" t="str">
            <v>Muestra base asfáltica tomada en planta depositada en el K13+890 K13+418 L.l</v>
          </cell>
        </row>
        <row r="10">
          <cell r="B10" t="str">
            <v>Muestra base asfáltica tomada en planta depositada entre el K13+200  al K13+420 L.l</v>
          </cell>
        </row>
        <row r="11">
          <cell r="B11" t="str">
            <v>Muestra base asfáltica tomada en planta depositada entre el K13+320 al K13+550 L.D.</v>
          </cell>
        </row>
        <row r="12">
          <cell r="B12" t="str">
            <v>Muestra base asfáltica tomada en planta depositada en el K14+490 K14+360 L.D.</v>
          </cell>
        </row>
        <row r="13">
          <cell r="B13" t="str">
            <v>Muestra base asfáltica tomada en planta depositada entre el K14+410 al  K14+360 L.I.</v>
          </cell>
        </row>
        <row r="16">
          <cell r="B16" t="str">
            <v>Muestra base asfáltica tomada en planta depositada entre el K13+150 y el  K13+000 L.D.</v>
          </cell>
        </row>
        <row r="17">
          <cell r="B17" t="str">
            <v>Muestra base asfáltica tomada en la via entre el K13+000 y el K12+920 L.D.</v>
          </cell>
        </row>
        <row r="18">
          <cell r="B18" t="str">
            <v>Muestra base asfáltica tomada en planta depositada en el K12+920 K12+820 L.D.</v>
          </cell>
        </row>
        <row r="19">
          <cell r="B19" t="str">
            <v>Muestra base asfáltica tomada en planta depositada entre el K13+200 y el  K13+000 L.I.</v>
          </cell>
        </row>
        <row r="20">
          <cell r="B20" t="str">
            <v>Muestra base asfáltica tomada de la volqueta VD 19 depositada entre el K13+000 y el  K12+970 L.I.</v>
          </cell>
        </row>
        <row r="21">
          <cell r="B21" t="str">
            <v>Muestra base asfáltica tomada de la planta depositada entre el K12+850 y el  K12+715L.I.</v>
          </cell>
        </row>
        <row r="22">
          <cell r="B22" t="str">
            <v>Muestra base asfáltica tomada de la planta depositada entre el K12+850 y el  K12+715L.I.</v>
          </cell>
        </row>
        <row r="23">
          <cell r="B23" t="str">
            <v>Muestra base asfáltica tomada de la planta depositada entre el K12+715 y el  K12+680L.I.</v>
          </cell>
        </row>
        <row r="24">
          <cell r="B24" t="str">
            <v>Muestra base asfáltica tomada de la planta depositada entre el K12+680 y el  K12+640L.I.</v>
          </cell>
        </row>
        <row r="25">
          <cell r="B25" t="str">
            <v>Muestra base asfáltica tomada de la via entre el K12+640 y el  K12+610L.I.</v>
          </cell>
        </row>
        <row r="26">
          <cell r="B26" t="str">
            <v>base asfáltica de 1 ½" tomada de la planta depositada entre el K13+820 y el  K13+100.</v>
          </cell>
        </row>
        <row r="27">
          <cell r="B27" t="str">
            <v>Base asfáltica 1 ½" tomada de la volqueta VD 19 depositada entre el K13+100 y el  K13+070.</v>
          </cell>
        </row>
        <row r="28">
          <cell r="B28" t="str">
            <v>Base asfáltica 1 ½" tomada de la planta depositada entre el K13+070 y el  K12+050.</v>
          </cell>
        </row>
        <row r="29">
          <cell r="B29" t="str">
            <v>Muestra base asfáltica tomada de la planta depositada entre el K12+050 y el  K11+850.</v>
          </cell>
        </row>
        <row r="30">
          <cell r="B30" t="str">
            <v>Muestra base asfáltica tomada de la planta depositada entre el K12+610 y el  K12+480.</v>
          </cell>
        </row>
        <row r="31">
          <cell r="B31" t="str">
            <v>Muestra base asfáltica tomada en la via en el  K12+550 L.D.</v>
          </cell>
        </row>
        <row r="32">
          <cell r="B32" t="str">
            <v>Muestra base asfáltica tomada en la via en el  K12+480 L.I.</v>
          </cell>
        </row>
        <row r="33">
          <cell r="B33" t="str">
            <v>Muestra base asfáltica tomada en la via en el  K12+600 L.I.</v>
          </cell>
        </row>
        <row r="34">
          <cell r="B34" t="str">
            <v>Muestra base asfáltica tomada en la via en el  K12+040 L.D.</v>
          </cell>
        </row>
        <row r="35">
          <cell r="B35" t="str">
            <v>Muestra base asfáltica tomada en la via en el  K12+530 EJE.</v>
          </cell>
        </row>
        <row r="36">
          <cell r="B36" t="str">
            <v>Muestra base asfáltica tomada en la via en el  K12+030 L.D.</v>
          </cell>
        </row>
        <row r="37">
          <cell r="B37" t="str">
            <v>Muestra base asfáltica tomada de la planta depositada entre el K13+890 y el  K13+920 L.I.</v>
          </cell>
        </row>
        <row r="38">
          <cell r="B38" t="str">
            <v>Muestra base asfáltica tomada de la planta depositada entre el K15+315 y el  K15+325 L.i.y l. D.</v>
          </cell>
        </row>
        <row r="39">
          <cell r="B39" t="str">
            <v>Muestra base asfáltica tomada de la planta depositada entre el K12+170 y el  K11+380 Lado izquierdo</v>
          </cell>
        </row>
        <row r="40">
          <cell r="B40" t="str">
            <v>Muestra base asfáltica tomada de la planta depositada entre el K12+170 y el  K11+380 Lado izquierdo</v>
          </cell>
        </row>
        <row r="41">
          <cell r="B41" t="str">
            <v>Muestra base asfáltica tomada en la via en el  K9+825 L.D.</v>
          </cell>
        </row>
        <row r="42">
          <cell r="B42" t="str">
            <v>Muestra base asfáltica tomada en la via en el  K9+320 L.D.</v>
          </cell>
        </row>
        <row r="43">
          <cell r="B43" t="str">
            <v>Muestra base asfáltica tomada de la planta depositada entre el K11+040 y el  K11+850 derecho.</v>
          </cell>
        </row>
        <row r="44">
          <cell r="B44" t="str">
            <v>Muestra base asfáltica tomada de la planta depositada entre el K11+040 y el  K11+850 derecho.</v>
          </cell>
        </row>
        <row r="45">
          <cell r="B45" t="str">
            <v>Muestra base asfáltica tomada de la planta depositada entre el K11+040 y el  K11+850 derecho.</v>
          </cell>
        </row>
        <row r="46">
          <cell r="B46" t="str">
            <v>Muestra base asfáltica tomada en la via en el  K11+170 Margen derecha lado derecho.</v>
          </cell>
        </row>
        <row r="47">
          <cell r="B47" t="str">
            <v>Muestra base asfáltica tomada en la via en el  K11+170 Margen derecha eje</v>
          </cell>
        </row>
        <row r="48">
          <cell r="B48" t="str">
            <v>Muestra base asfáltica tomada en la via en el  K11+170 Margen derecha lado izquierdo.</v>
          </cell>
        </row>
        <row r="49">
          <cell r="B49" t="str">
            <v>Muestra base asfáltica tomada de la planta depositada entre el K11+380 y el   10+540 izquierda.</v>
          </cell>
        </row>
        <row r="50">
          <cell r="B50" t="str">
            <v>Muestra base asfáltica tomada de la planta depositada entre el K11+380 y el   10+540 izquierda.</v>
          </cell>
        </row>
        <row r="51">
          <cell r="B51" t="str">
            <v>Muestra base asfáltica tomada de la planta depositada entre el K11+380 y el   10+540 izquierda.</v>
          </cell>
        </row>
        <row r="52">
          <cell r="B52" t="str">
            <v>Muestra base asfáltica tomada en la via en el  K11+770 Margen izquierda lado derecho.</v>
          </cell>
        </row>
        <row r="53">
          <cell r="B53" t="str">
            <v>Muestra base asfáltica tomada en la via en el  K11+770 Margen izquierda lado izquierdo.</v>
          </cell>
        </row>
        <row r="54">
          <cell r="B54" t="str">
            <v>Muestra base asfáltica tomada de la planta depositada entre el K11+040 y el   10+190derecha.</v>
          </cell>
        </row>
        <row r="55">
          <cell r="B55" t="str">
            <v>Muestra base asfáltica tomada de la planta depositada entre el K11+040 y el   10+190derecha.</v>
          </cell>
        </row>
        <row r="56">
          <cell r="B56" t="str">
            <v>Muestra base asfáltica tomada de la planta depositada entre el K11+040 y el   10+190derecha.</v>
          </cell>
        </row>
        <row r="57">
          <cell r="B57" t="str">
            <v>Muestra base asfáltica tomada en la via en el  K10+660 lado derecho (derecha).</v>
          </cell>
        </row>
        <row r="58">
          <cell r="B58" t="str">
            <v>Muestra base asfáltica tomada en la via en el  K10+600 lado derecho (eje).</v>
          </cell>
        </row>
        <row r="59">
          <cell r="B59" t="str">
            <v>Muestra base asfáltica tomada en la via en el  K10+600 lado derecho (izquierdo).</v>
          </cell>
        </row>
        <row r="60">
          <cell r="B60" t="str">
            <v xml:space="preserve">Muestra base asfáltica tomada de la planta </v>
          </cell>
        </row>
        <row r="61">
          <cell r="B61" t="str">
            <v xml:space="preserve">Muestra base asfáltica tomada de la planta </v>
          </cell>
        </row>
        <row r="62">
          <cell r="B62" t="str">
            <v>Muestra base asfáltica tomada en la via en el  K10+318 lado izquierdo (derecho).</v>
          </cell>
        </row>
        <row r="63">
          <cell r="B63" t="str">
            <v xml:space="preserve">Muestra base asfáltica tomada de la planta </v>
          </cell>
        </row>
        <row r="64">
          <cell r="B64" t="str">
            <v>Muestra base asfáltica tomada en la via en el  K10+318 lado izquierdo (izquierda).</v>
          </cell>
        </row>
        <row r="65">
          <cell r="B65" t="str">
            <v>Muestra base asfáltica tomada de la planta depositada entre el K8+870 y el   K 8+640 izquierdo.</v>
          </cell>
        </row>
        <row r="66">
          <cell r="B66" t="str">
            <v>Muestra base asfáltica tomada de la planta depositada entre el K8+870 y el   K 8+640 izquierdo.</v>
          </cell>
        </row>
        <row r="67">
          <cell r="B67" t="str">
            <v>Muestra base asfáltica tomada de la planta depositada entre el K8+870 y el   K 8+640 izquierdo.</v>
          </cell>
        </row>
        <row r="68">
          <cell r="B68" t="str">
            <v>Muestra base asfáltica tomada en la via en el  K8+760 lado izquierdo (eje).</v>
          </cell>
        </row>
        <row r="69">
          <cell r="B69" t="str">
            <v>Muestra base asfáltica tomada en la via en el  K8+760 lado izquierdo (izquierdo).</v>
          </cell>
        </row>
        <row r="70">
          <cell r="B70" t="str">
            <v>Muestra base asfáltica tomada en la via en el  K8+760 lado izquierdo (derecho).</v>
          </cell>
        </row>
        <row r="71">
          <cell r="B71" t="str">
            <v>Muestra base asfáltica tomada de la planta depositada entre el K8+870 y el   K 8+640 izquierdo.</v>
          </cell>
        </row>
        <row r="72">
          <cell r="B72" t="str">
            <v>Muestra base asfáltica tomada de la planta depositada entre el K8+870 y el   K 8+700 izquierdo.</v>
          </cell>
        </row>
        <row r="73">
          <cell r="B73" t="str">
            <v>Muestra base asfáltica tomada de la planta depositada entre el K8+870 y el   K 8+700 izquierdo.</v>
          </cell>
        </row>
        <row r="74">
          <cell r="B74" t="str">
            <v>Muestra base asfáltica tomada de la planta depositada entre el K43+545 y el   K 43+565 derecho.</v>
          </cell>
        </row>
        <row r="75">
          <cell r="B75" t="str">
            <v>Muestra base asfáltica tomada de la planta depositada entre el K43+740 y el   K 43+775 derecho.</v>
          </cell>
        </row>
        <row r="76">
          <cell r="B76" t="str">
            <v>Muestra base asfáltica tomada de la planta depositada entre el K43+935 y el   K 43+995 derecho.</v>
          </cell>
        </row>
        <row r="77">
          <cell r="B77" t="str">
            <v>Muestra base asfáltica tomada de la planta depositada entre el K44+155 y el   K 44+175 derecho.</v>
          </cell>
        </row>
        <row r="78">
          <cell r="B78" t="str">
            <v>Muestra base asfáltica tomada en la via en el  K44+965 lado derecho (eje).</v>
          </cell>
        </row>
        <row r="79">
          <cell r="B79" t="str">
            <v>Muestra base asfáltica tomada en la via en el  K44+965 lado derecho (derecho).</v>
          </cell>
        </row>
        <row r="80">
          <cell r="B80" t="str">
            <v>Muestra base asfáltica tomada en la via en el  K44+965 lado derecho (izquierdo).</v>
          </cell>
        </row>
        <row r="81">
          <cell r="B81" t="str">
            <v>Muestra base asfáltica tomada de la planta depositada entre el K44+480 y el   K 44+500 derecho.</v>
          </cell>
        </row>
        <row r="82">
          <cell r="B82" t="str">
            <v>Muestra base asfáltica tomada de la planta depositada entre el K44+910 y el   K 44+930 derecho.</v>
          </cell>
        </row>
        <row r="83">
          <cell r="B83" t="str">
            <v>Muestra base asfáltica tomada de la planta depositada entre el K45+130 y el   K 45+150 derecho.</v>
          </cell>
        </row>
        <row r="84">
          <cell r="B84" t="str">
            <v>Muestra base asfáltica tomada de la planta depositada entre el K45+210 y el   K 45+235 derecho.</v>
          </cell>
        </row>
        <row r="85">
          <cell r="B85" t="str">
            <v>Muestra base asfáltica tomada en la via en el  K44+620 lado derecho (eje).</v>
          </cell>
        </row>
        <row r="86">
          <cell r="B86" t="str">
            <v>Muestra base asfáltica tomada en la via en el  K44+620 lado derecho (derecho).</v>
          </cell>
        </row>
        <row r="87">
          <cell r="B87" t="str">
            <v>Muestra base asfáltica tomada en la via en el  K44+620 lado derecho (izquierdo).</v>
          </cell>
        </row>
        <row r="88">
          <cell r="B88" t="str">
            <v>Muestra base asfáltica tomada de la planta depositada entre el K13+200 y el   K 12+910 izquierdo.</v>
          </cell>
        </row>
        <row r="89">
          <cell r="B89" t="str">
            <v>Muestra base asfáltica tomada de la planta depositada entre el K13+200 y el   K 12+910 izquierdo.</v>
          </cell>
        </row>
        <row r="90">
          <cell r="B90" t="str">
            <v>Muestra base asfáltica tomada en la via en el  K45+360 margen derecha lado derecho.</v>
          </cell>
        </row>
        <row r="91">
          <cell r="B91" t="str">
            <v>Muestra base asfáltica tomada en la via en el  K45+360 margen derecha eje.</v>
          </cell>
        </row>
        <row r="92">
          <cell r="B92" t="str">
            <v>Muestra base asfáltica tomada en la via en el  K45+360 margen derecha lado izquierdo.</v>
          </cell>
        </row>
        <row r="93">
          <cell r="B93" t="str">
            <v>Muestra base asfáltica tomada de la planta depositada entre el K45+930 y el   K 46+100 izquierdo.</v>
          </cell>
        </row>
        <row r="94">
          <cell r="B94" t="str">
            <v>Muestra base asfáltica tomada de la planta depositada entre el K46+100 y el   K 46+285 derecha.</v>
          </cell>
        </row>
        <row r="95">
          <cell r="B95" t="str">
            <v>Muestra base asfáltica tomada en la via en la berma del  K45+950  lado derecho.</v>
          </cell>
        </row>
        <row r="96">
          <cell r="B96" t="str">
            <v>Muestra base asfáltica tomada en la via en la berma del  K46+000  lado derecho.</v>
          </cell>
        </row>
        <row r="97">
          <cell r="B97" t="str">
            <v>Muestra base asfáltica tomada en la via en la berma del  K46+020  lado derecho.</v>
          </cell>
        </row>
        <row r="98">
          <cell r="B98" t="str">
            <v>Muestra base asfáltica tomada de la planta depositada entre el K42+760 y el   K 43+340 izquierda.</v>
          </cell>
        </row>
        <row r="99">
          <cell r="B99" t="str">
            <v>Muestra base asfáltica tomada de la planta depositada entre el K8+650 y el   K 43+180 izquierda.</v>
          </cell>
        </row>
        <row r="100">
          <cell r="B100" t="str">
            <v>Muestra base asfáltica tomada en la via en el  K8+440  Margen izquierda lado izquierdo.</v>
          </cell>
        </row>
        <row r="101">
          <cell r="B101" t="str">
            <v>Muestra base asfáltica tomada en la via en el  K8+440  Margen izquierda lado derecho.</v>
          </cell>
        </row>
        <row r="102">
          <cell r="B102" t="str">
            <v>Muestra base asfáltica tomada en la via en el  K8+440  Margen izquierda eje.</v>
          </cell>
        </row>
        <row r="103">
          <cell r="B103" t="str">
            <v>Muestra base asfáltica tomada de la planta depositada entre el K8+700 y el   K 8+680 izquierda.</v>
          </cell>
        </row>
        <row r="104">
          <cell r="B104" t="str">
            <v>Muestra base asfáltica tomada de la planta depositada entre el K8+380 y el   K 43+320 izquierda.</v>
          </cell>
        </row>
        <row r="105">
          <cell r="B105" t="str">
            <v>Muestra base asfáltica tomada de la planta depositada entre el K43+340 y el   K 43+360 izquierda.</v>
          </cell>
        </row>
        <row r="106">
          <cell r="B106" t="str">
            <v>Muestra base asfáltica tomada de la planta depositada entre el K44+040 y el   K 44+070 izquierda.</v>
          </cell>
        </row>
        <row r="107">
          <cell r="B107" t="str">
            <v>Muestra base asfáltica tomada en la via en la berma del K43+880  lado izquierdo.</v>
          </cell>
        </row>
        <row r="108">
          <cell r="B108" t="str">
            <v>Muestra base asfáltica tomada en la via en la berma del K43+440  lado izquierdo.</v>
          </cell>
        </row>
        <row r="109">
          <cell r="B109" t="str">
            <v>Muestra base asfáltica tomada en la via en la berma del K43+450  lado izquierdo.</v>
          </cell>
        </row>
        <row r="110">
          <cell r="B110" t="str">
            <v>Muestra base asfáltica tomada de la planta depositada entre el K8+320 y el   K 8+035 derecha.</v>
          </cell>
        </row>
        <row r="111">
          <cell r="B111" t="str">
            <v>Muestra base asfáltica tomada de la planta depositada entre el K8+180 y el   K 7+870 izquierda.</v>
          </cell>
        </row>
        <row r="112">
          <cell r="B112" t="str">
            <v>Muestra base asfáltica tomada de la planta depositada entre el K44+070 y el   K 44+100 izquierdo.</v>
          </cell>
        </row>
        <row r="113">
          <cell r="B113" t="str">
            <v>Muestra base asfáltica tomada de la planta depositada entre el K44+220 y el   K 44+250 izquierdo.</v>
          </cell>
        </row>
        <row r="114">
          <cell r="B114" t="str">
            <v>Muestra base asfáltica tomada de la planta depositada entre el K44+480 y el   K 44+510 izquierdo.</v>
          </cell>
        </row>
        <row r="115">
          <cell r="B115" t="str">
            <v>Muestra base asfáltica tomada de la planta depositada entre el K44+680 y el   K 44+710 izquierdo.</v>
          </cell>
        </row>
        <row r="116">
          <cell r="B116" t="str">
            <v>Muestra base asfáltica tomada en la via en el  K7+830  Margen izquierda lado derecho.</v>
          </cell>
        </row>
        <row r="117">
          <cell r="B117" t="str">
            <v>Muestra base asfáltica tomada en la via en el  K7+830  Margen izquierda lado izquierdo.</v>
          </cell>
        </row>
        <row r="118">
          <cell r="B118" t="str">
            <v>Muestra base asfáltica tomada en la via en el  K7+830  Margen izquierda eje.</v>
          </cell>
        </row>
        <row r="119">
          <cell r="B119" t="str">
            <v>Muestra base asfáltica tomada de la planta depositada entre el K44+715 y el   K 44+745 izquierdo.</v>
          </cell>
        </row>
        <row r="120">
          <cell r="B120" t="str">
            <v>Muestra base asfáltica tomada de la planta depositada entre el K44+900 y el   K 44+930 izquierdo.</v>
          </cell>
        </row>
        <row r="121">
          <cell r="B121" t="str">
            <v>Muestra base asfáltica tomada de la planta depositada entre el K45+830 y el   K 45+860 izquierdo.</v>
          </cell>
        </row>
        <row r="122">
          <cell r="B122" t="str">
            <v>Muestra base asfáltica tomada en la via en la berma del K45+040  lado izquierdo.</v>
          </cell>
        </row>
        <row r="123">
          <cell r="B123" t="str">
            <v>Muestra base asfáltica tomada en la via en la berma del K45+060  lado izquierdo.</v>
          </cell>
        </row>
        <row r="124">
          <cell r="B124" t="str">
            <v>Muestra base asfáltica tomada en la via en la berma del K45+100  lado izquierdo.</v>
          </cell>
        </row>
        <row r="125">
          <cell r="B125" t="str">
            <v>Muestra base asfáltica tomada de la planta depositada entre el K42+730 y el   K 42+760 izquierdo.</v>
          </cell>
        </row>
        <row r="126">
          <cell r="B126" t="str">
            <v>Muestra base asfáltica tomada de la planta depositada entre el K43+250 y el   K 43+280 izquierdo.</v>
          </cell>
        </row>
        <row r="127">
          <cell r="B127" t="str">
            <v>Muestra base asfáltica tomada de la planta depositada entre el K43+670 y el K 43+700 izquierdo.</v>
          </cell>
        </row>
        <row r="128">
          <cell r="B128" t="str">
            <v>Muestra base asfáltica tomada en la via en la berma del K42+830  lado izquierdo.</v>
          </cell>
        </row>
        <row r="129">
          <cell r="B129" t="str">
            <v>Muestra base asfáltica tomada de la planta depositada entre el K7+3900 y el   K 7+140 derecha.</v>
          </cell>
        </row>
        <row r="130">
          <cell r="B130" t="str">
            <v>Muestra base asfáltica tomada de la planta depositada entre el K43+710 y el   K 43+740 izquierdo.</v>
          </cell>
        </row>
        <row r="131">
          <cell r="B131" t="str">
            <v>Muestra base asfáltica tomada de la planta depositada entre el K44+330 y el   K 44+365 izquierdo.</v>
          </cell>
        </row>
        <row r="132">
          <cell r="B132" t="str">
            <v>Muestra base asfáltica tomada de la planta depositada entre el K44+840 y el   K 44+880 izquierdo.</v>
          </cell>
        </row>
        <row r="133">
          <cell r="B133" t="str">
            <v>Muestra base asfáltica tomada en la via en la berma del K43+840  lado izquierdo.</v>
          </cell>
        </row>
        <row r="134">
          <cell r="B134" t="str">
            <v>Muestra base asfáltica tomada en la via en la berma del K43+870  lado izquierdo.</v>
          </cell>
        </row>
        <row r="135">
          <cell r="B135" t="str">
            <v>Muestra base asfáltica tomada en la via en la berma del K43+900  lado izquierdo.</v>
          </cell>
        </row>
        <row r="136">
          <cell r="B136" t="str">
            <v>Muestra base asfáltica tomada de la planta depositada entre el K43+130 y el   K 43+165 derecha.</v>
          </cell>
        </row>
        <row r="137">
          <cell r="B137" t="str">
            <v>Muestra base asfáltica tomada de la planta depositada entre el K43+740 y el   K 43+785 derecha.</v>
          </cell>
        </row>
        <row r="138">
          <cell r="B138" t="str">
            <v>Muestra base asfáltica tomada de la planta depositada entre el K44+000 y el   K 44+040 derecha.</v>
          </cell>
        </row>
        <row r="139">
          <cell r="B139" t="str">
            <v>Muestra base asfáltica tomada de la planta depositada entre el K44+330 y el   K 44+360 derecha.</v>
          </cell>
        </row>
        <row r="140">
          <cell r="B140" t="str">
            <v>Muestra base asfáltica tomada en la via en el  K7+430  Margen izquierda fínisher.</v>
          </cell>
        </row>
        <row r="141">
          <cell r="B141" t="str">
            <v>Muestra base asfáltica tomada en la via en el  K7+430  Margen izquierda lado derecho.</v>
          </cell>
        </row>
        <row r="142">
          <cell r="B142" t="str">
            <v>Muestra base asfáltica tomada en la via en el  K7+440  Margen izquierda fínisher.</v>
          </cell>
        </row>
        <row r="143">
          <cell r="B143" t="str">
            <v>Muestra base asfáltica tomada de la planta depositada entre el K44+360 y el   K 44+380 izquierda.</v>
          </cell>
        </row>
        <row r="144">
          <cell r="B144" t="str">
            <v>Muestra base asfáltica tomada de la planta depositada entre el K44+930 y el   K 44+960 izquierda.</v>
          </cell>
        </row>
        <row r="145">
          <cell r="B145" t="str">
            <v>Muestra base asfáltica tomada de la planta depositada entre el K45+210 y el   K 45+240 izquierda.</v>
          </cell>
        </row>
        <row r="146">
          <cell r="B146" t="str">
            <v>Muestra base asfáltica tomada de la planta depositada entre el K45+840 y el   K 45+860 izquierda.</v>
          </cell>
        </row>
        <row r="147">
          <cell r="B147" t="str">
            <v>Muestra base asfáltica tomada en la via en la berma del K44+900  lado izquierdo.</v>
          </cell>
        </row>
        <row r="148">
          <cell r="B148" t="str">
            <v>Muestra base asfáltica tomada en la via en la berma del K44+930  lado izquierdo.</v>
          </cell>
        </row>
        <row r="149">
          <cell r="B149" t="str">
            <v>Muestra base asfáltica tomada en la via en la berma del K44+990  lado izquierdo.</v>
          </cell>
        </row>
        <row r="150">
          <cell r="B150" t="str">
            <v>Muestra base asfáltica tomada de la planta depositada entre el K44+840 y el   K 44+880 derecha.</v>
          </cell>
        </row>
        <row r="151">
          <cell r="B151" t="str">
            <v>Muestra base asfáltica tomada de la planta depositada entre el K45+510 y el   K 45+545 derecha.</v>
          </cell>
        </row>
        <row r="152">
          <cell r="B152" t="str">
            <v>Muestra base asfáltica tomada de la planta depositada entre el K45+800 y el   K 45+820derecha.</v>
          </cell>
        </row>
        <row r="153">
          <cell r="B153" t="str">
            <v>Muestra base asfáltica tomada de la planta depositada entre el K46+300 y el   K 46+320 derecha.</v>
          </cell>
        </row>
        <row r="154">
          <cell r="B154" t="str">
            <v>Muestra base asfáltica tomada en la via en la berma del K45+980  lado derecho.</v>
          </cell>
        </row>
        <row r="155">
          <cell r="B155" t="str">
            <v>Muestra base asfáltica tomada en la via en la berma del K46+000  lado derecho.</v>
          </cell>
        </row>
        <row r="156">
          <cell r="B156" t="str">
            <v>Muestra base asfáltica tomada en la via en la berma del K46+020  lado derecho.</v>
          </cell>
        </row>
        <row r="160">
          <cell r="B160" t="str">
            <v>Muestra base asfáltica tomada en la via en la berma del K46+680  lado derecho.</v>
          </cell>
        </row>
        <row r="161">
          <cell r="B161" t="str">
            <v>Muestra base asfáltica tomada en la via en la berma del K46+685  lado derecho.</v>
          </cell>
        </row>
        <row r="162">
          <cell r="B162" t="str">
            <v>Muestra base asfáltica tomada en la via en la berma del K46+690  lado derecho.</v>
          </cell>
        </row>
        <row r="164">
          <cell r="B164" t="str">
            <v>Muestra base asfáltica tomada en la via en la berma del K46+090  lado derecho.</v>
          </cell>
        </row>
        <row r="165">
          <cell r="B165" t="str">
            <v>Muestra base asfáltica tomada en la via en la berma del K46+090  lado derecho.</v>
          </cell>
        </row>
        <row r="166">
          <cell r="B166" t="str">
            <v>Muestra base asfáltica tomada de la planta depositada entre el K46+160 y el   K 46+180 izquierda.</v>
          </cell>
        </row>
        <row r="167">
          <cell r="B167" t="str">
            <v>Muestra base asfáltica tomada de la planta depositada entre el K46+420 y el   K 46+440 izquierda.</v>
          </cell>
        </row>
        <row r="168">
          <cell r="B168" t="str">
            <v>Muestra base asfáltica tomada de la planta depositada entre el K46+680 y el   K 46+705 izquierda.</v>
          </cell>
        </row>
        <row r="169">
          <cell r="B169" t="str">
            <v>Muestra base asfáltica tomada en la via en el  K46+300  Margen izquierda lado derecho.</v>
          </cell>
        </row>
        <row r="170">
          <cell r="B170" t="str">
            <v>Muestra base asfáltica tomada en la via en el  K46+300  Margen izquierda lado izquierdo.</v>
          </cell>
        </row>
        <row r="171">
          <cell r="B171" t="str">
            <v>Muestra base asfáltica tomada de la planta depositada entre el K46+705 y el   K 46+720 izquierda.</v>
          </cell>
        </row>
        <row r="172">
          <cell r="B172" t="str">
            <v>Muestra base asfáltica tomada de la planta depositada entre el K46+945 y el   K 46+970 izquierda.</v>
          </cell>
        </row>
        <row r="173">
          <cell r="B173" t="str">
            <v>Muestra base asfáltica tomada de la planta depositada entre el K47+140 y el   K 47+155 izquierda.</v>
          </cell>
        </row>
        <row r="174">
          <cell r="B174" t="str">
            <v>Muestra base asfáltica tomada en la via en el  K46+850  Margen izquierda lado derecho.</v>
          </cell>
        </row>
        <row r="175">
          <cell r="B175" t="str">
            <v>Muestra base asfáltica tomada en la via en el  K46+850  Margen izquierda lado izquierdo.</v>
          </cell>
        </row>
        <row r="176">
          <cell r="B176" t="str">
            <v>Muestra base asfáltica tomada de la planta depositada entre el K47+145 y el   K 47+165 derecha.</v>
          </cell>
        </row>
        <row r="177">
          <cell r="B177" t="str">
            <v>Muestra base asfáltica tomada de la planta depositada entre el K47+340 y el   K 47+360 derecha.</v>
          </cell>
        </row>
        <row r="178">
          <cell r="B178" t="str">
            <v>Muestra base asfáltica tomada de la planta depositada entre el K47+495 y el   K 47+505 derecha.</v>
          </cell>
        </row>
        <row r="179">
          <cell r="B179" t="str">
            <v>Muestra base asfáltica tomada de la planta depositada entre el K47+540 y el   K 47+550 derecha.</v>
          </cell>
        </row>
        <row r="180">
          <cell r="B180" t="str">
            <v>Muestra base asfáltica tomada de la planta depositada entre el K47+585 y el   K 47+600 derecha.</v>
          </cell>
        </row>
        <row r="181">
          <cell r="B181" t="str">
            <v>Muestra base asfáltica tomada de la planta depositada entre el K47+620 y el   K 47+635 derecha.</v>
          </cell>
        </row>
        <row r="182">
          <cell r="B182" t="str">
            <v>Muestra base asfáltica tomada en la via en el  K47+190 Margen izquierda lado izquierdo.</v>
          </cell>
        </row>
        <row r="183">
          <cell r="B183" t="str">
            <v>Muestra base asfáltica tomada en la via en el  K47+190 Margen izquierda eje.</v>
          </cell>
        </row>
        <row r="184">
          <cell r="B184" t="str">
            <v>Muestra base asfáltica tomada en la via en el  K47+190 Margen izquierda lado derecha.</v>
          </cell>
        </row>
        <row r="185">
          <cell r="B185" t="str">
            <v>Muestra base asfáltica tomada de la planta depositada entre el K46+880 y el   K 46+895 derecha.</v>
          </cell>
        </row>
        <row r="186">
          <cell r="B186" t="str">
            <v>Muestra base asfáltica tomada de la planta depositada entre el K47+070 y el   K 47+100 izquierda.</v>
          </cell>
        </row>
        <row r="187">
          <cell r="B187" t="str">
            <v>Muestra base asfáltica tomada de la planta depositada entre el K47+200 y el   K 47+220 izquierda.</v>
          </cell>
        </row>
        <row r="188">
          <cell r="B188" t="str">
            <v>Muestra base asfáltica tomada de la planta depositada entre el K47+400 y el   K 47+425 izquierda.</v>
          </cell>
        </row>
        <row r="189">
          <cell r="B189" t="str">
            <v>Muestra base asfáltica tomada en la via en el  K46+920 Margen izquierda lado izquierdo.</v>
          </cell>
        </row>
        <row r="190">
          <cell r="B190" t="str">
            <v>Muestra base asfáltica tomada en la via en el  K46+920 Margen izquierda eje.</v>
          </cell>
        </row>
        <row r="191">
          <cell r="B191" t="str">
            <v>Muestra base asfáltica tomada en la via en el  K46+920 Margen izquierda lado derecha.</v>
          </cell>
        </row>
        <row r="201">
          <cell r="B201" t="str">
            <v>Muestra base asfáltica tomada de la planta depositada entre el K48+255 y el   K 48+340 izquierda.</v>
          </cell>
        </row>
        <row r="202">
          <cell r="B202" t="str">
            <v>Muestra base asfaltica tipo A2 no representativa de la produccion posiblemente mal tomada.</v>
          </cell>
        </row>
        <row r="203">
          <cell r="B203" t="str">
            <v>Muestra base asfáltica tomada de la planta depositada entre el K48+375 y el   K 48+600 izquierda.</v>
          </cell>
        </row>
        <row r="204">
          <cell r="B204" t="str">
            <v>Muestra base asfáltica tomada en la via en el  K48+330 Margen izquierda lado izquierdo.</v>
          </cell>
        </row>
        <row r="205">
          <cell r="B205" t="str">
            <v>Muestra base asfáltica tomada en la via en el  K48+330 Margen izquierda lado derecho.</v>
          </cell>
        </row>
        <row r="206">
          <cell r="B206" t="str">
            <v>Muestra base asfáltica tomada de la planta depositada entre el K48+560 y el   K 48+725 izquierda.</v>
          </cell>
        </row>
        <row r="207">
          <cell r="B207" t="str">
            <v>Muestra base asfáltica tomada de la planta depositada entre el K48+725 y el   K 48+830 izquierda.</v>
          </cell>
        </row>
        <row r="208">
          <cell r="B208" t="str">
            <v>Muestra base asfáltica tomada de la planta depositada entre el K48+830 y el   K 48+920 izquierda.</v>
          </cell>
        </row>
        <row r="209">
          <cell r="B209" t="str">
            <v xml:space="preserve">Muestra base asfáltica tomada en la via en el  K48+680 Margen izquierda </v>
          </cell>
        </row>
        <row r="210">
          <cell r="B210" t="str">
            <v xml:space="preserve">Muestra base asfáltica tomada en la via en el  K48+680 Margen izquierda </v>
          </cell>
        </row>
        <row r="211">
          <cell r="B211" t="str">
            <v xml:space="preserve">Muestra base asfáltica tomada en la via en el  K48+680 Margen izquierda </v>
          </cell>
        </row>
        <row r="212">
          <cell r="B212" t="str">
            <v>Muestra base asfáltica tomada de la planta depositada entre el K48+550 y el   K 48+600 derecha.</v>
          </cell>
        </row>
        <row r="213">
          <cell r="B213" t="str">
            <v>Muestra base asfáltica tomada de la planta depositada entre el K48+160 y el   K 48+360 derecha.</v>
          </cell>
        </row>
        <row r="214">
          <cell r="B214" t="str">
            <v>Muestra base asfáltica tomada de la planta depositada entre el K47+640 y el   K 47+800 derecha.</v>
          </cell>
        </row>
        <row r="215">
          <cell r="B215" t="str">
            <v>Muestra base asfáltica tomada de la planta depositada entre el K47+900 y el   K 48+160 derecha.</v>
          </cell>
        </row>
        <row r="216">
          <cell r="B216" t="str">
            <v xml:space="preserve">Muestra base asfáltica tomada en la via en el  K6+200 Margen izquierda lado derecho </v>
          </cell>
        </row>
        <row r="217">
          <cell r="B217" t="str">
            <v xml:space="preserve">Muestra base asfáltica tomada en la via en el  K6+200 Margen izquierda lado izquierdo </v>
          </cell>
        </row>
        <row r="218">
          <cell r="B218" t="str">
            <v>Muestra base asfáltica tomada en la via en el  K6+200 Margen izquierda eje</v>
          </cell>
        </row>
        <row r="219">
          <cell r="B219" t="str">
            <v>Muestra base asfáltica tomada de la planta depositada entre el K49+010 y el   K 49+135 izquierda.</v>
          </cell>
        </row>
        <row r="220">
          <cell r="B220" t="str">
            <v>Muestra base asfáltica tomada de la planta depositada entre el K49+135 y el   K 49+350 izquierda.</v>
          </cell>
        </row>
        <row r="221">
          <cell r="B221" t="str">
            <v>Muestra base asfáltica tomada en la via en el  K49+175 Margen izquierda eje</v>
          </cell>
        </row>
        <row r="222">
          <cell r="B222" t="str">
            <v xml:space="preserve">Muestra base asfáltica tomada en la via en el  K49+175 Margen izquierda lado izquierdo </v>
          </cell>
        </row>
        <row r="223">
          <cell r="B223" t="str">
            <v xml:space="preserve">Muestra base asfáltica tomada en la via en el  K49+175  Margen izquierda lado derecho </v>
          </cell>
        </row>
        <row r="224">
          <cell r="B224" t="str">
            <v>Muestra base asfáltica tomada de la planta depositada entre el K49+430 y el   K 49+580 izquierda.</v>
          </cell>
        </row>
        <row r="225">
          <cell r="B225" t="str">
            <v>Muestra base asfáltica tomada de la planta depositada entre el K49+580 y el   K 49+840 izquierda.</v>
          </cell>
        </row>
        <row r="226">
          <cell r="B226" t="str">
            <v xml:space="preserve">Muestra base asfáltica tomada en la via en el  K49+650 Margen izquierda lado izquierdo </v>
          </cell>
        </row>
        <row r="227">
          <cell r="B227" t="str">
            <v xml:space="preserve">Muestra base asfáltica tomada en la via en el  K49+650  Margen izquierda lado derecho </v>
          </cell>
        </row>
        <row r="228">
          <cell r="B228" t="str">
            <v>Muestra base asfáltica tomada de la planta depositada entre el K49+045 y el   K 49+180 derecha.</v>
          </cell>
        </row>
        <row r="229">
          <cell r="B229" t="str">
            <v>Muestra base asfáltica tomada de la planta depositada entre el K49+180 y el   K 49+225 derecha.</v>
          </cell>
        </row>
        <row r="230">
          <cell r="B230" t="str">
            <v>Muestra base asfáltica tomada en la via en el  K49+280 Margen derecha eje</v>
          </cell>
        </row>
        <row r="231">
          <cell r="B231" t="str">
            <v xml:space="preserve">Muestra base asfáltica tomada en la via en el  K49+280 Margen derecha lado izquierdo </v>
          </cell>
        </row>
        <row r="232">
          <cell r="B232" t="str">
            <v xml:space="preserve">Muestra base asfáltica tomada en la via en el  K49+280  Margen derecha lado derecho </v>
          </cell>
        </row>
        <row r="233">
          <cell r="B233" t="str">
            <v>Muestra base asfáltica tomada de la planta depositada entre el K49+500 y el   K 49+690 derecha.</v>
          </cell>
        </row>
        <row r="234">
          <cell r="B234" t="str">
            <v>Muestra base asfáltica tomada de la planta depositada entre el K49+690 y el   K 49+870 derecha.</v>
          </cell>
        </row>
        <row r="235">
          <cell r="B235" t="str">
            <v>Muestra base asfáltica tomada de la planta depositada entre el K49+870 y el   K 49+990 derecha.</v>
          </cell>
        </row>
        <row r="236">
          <cell r="B236" t="str">
            <v>Muestra base asfáltica tomada de la planta depositada entre el K49+990 y el   K 50+220 derecha.</v>
          </cell>
        </row>
        <row r="237">
          <cell r="B237" t="str">
            <v>Muestra base asfáltica tomada en la via en el  K49+950 Margen derecha eje</v>
          </cell>
        </row>
        <row r="238">
          <cell r="B238" t="str">
            <v xml:space="preserve">Muestra base asfáltica tomada en la via en el  K49+950 Margen derecha lado izquierdo </v>
          </cell>
        </row>
        <row r="239">
          <cell r="B239" t="str">
            <v xml:space="preserve">Muestra base asfáltica tomada en la via en el  K49+950  Margen derecha lado derecho </v>
          </cell>
        </row>
        <row r="240">
          <cell r="B240" t="str">
            <v>Muestra base asfáltica tomada de la planta depositada entre el K50+320 y el   K 50+500 derecha.</v>
          </cell>
        </row>
        <row r="241">
          <cell r="B241" t="str">
            <v>Muestra base asfáltica tomada de la planta depositada entre el K50+500 y el   K 50+810 derecha.</v>
          </cell>
        </row>
        <row r="242">
          <cell r="B242" t="str">
            <v>Muestra base asfáltica tomada en la via en el  K50+400 Margen derecha eje</v>
          </cell>
        </row>
        <row r="243">
          <cell r="B243" t="str">
            <v xml:space="preserve">Muestra base asfáltica tomada en la via en el  K50+400 Margen derecha lado izquierdo </v>
          </cell>
        </row>
        <row r="244">
          <cell r="B244" t="str">
            <v xml:space="preserve">Muestra base asfáltica tomada en la via en el  K50+400  Margen derecha lado derecho </v>
          </cell>
        </row>
        <row r="245">
          <cell r="B245" t="str">
            <v>Muestra base asfaltica tipo A2 no representativa de la produccion posiblemente mal tomada.</v>
          </cell>
        </row>
        <row r="246">
          <cell r="B246" t="str">
            <v>Muestra base asfáltica tomada de la planta depositada entre el K49+440 y el   K 50+980 derecha.</v>
          </cell>
        </row>
        <row r="247">
          <cell r="B247" t="str">
            <v>Muestra base asfáltica tomada de la planta depositada entre el K49+990 y el   K 50+295 izquierda.</v>
          </cell>
        </row>
        <row r="248">
          <cell r="B248" t="str">
            <v>Muestra base asfáltica tomada en la via en el  K50+050 Margen derecha eje</v>
          </cell>
        </row>
        <row r="249">
          <cell r="B249" t="str">
            <v xml:space="preserve">Muestra base asfáltica tomada en la via en el  K50+050 Margen derecha lado izquierdo </v>
          </cell>
        </row>
        <row r="250">
          <cell r="B250" t="str">
            <v>Muestra base asfáltica tomada de la planta depositada entre el K5+990 y el   K 5+780 derecha.</v>
          </cell>
        </row>
        <row r="251">
          <cell r="B251" t="str">
            <v>Muestra base asfáltica tomada de la planta depositada entre el K5+780 y el   K 5+805 derecha.</v>
          </cell>
        </row>
        <row r="252">
          <cell r="B252" t="str">
            <v>Muestra base asfáltica tomada en la via en el  K5+720 Margen derecha eje</v>
          </cell>
        </row>
        <row r="253">
          <cell r="B253" t="str">
            <v xml:space="preserve">Muestra base asfáltica tomada en la via en el  K5+720 Margen derecha lado izquierdo </v>
          </cell>
        </row>
        <row r="254">
          <cell r="B254" t="str">
            <v>Muestra base asfáltica tomada en la via en el  K5+720 Margen derecha derecha</v>
          </cell>
        </row>
        <row r="255">
          <cell r="B255" t="str">
            <v>Muestra base asfáltica tomada de la planta depositada entre el K50+525 y el   K 50+680 izquierdo.</v>
          </cell>
        </row>
        <row r="256">
          <cell r="B256" t="str">
            <v>Muestra base asfáltica tomada de la planta depositada entre el K50+680 y el   K 50+850 izquierdo.</v>
          </cell>
        </row>
        <row r="257">
          <cell r="B257" t="str">
            <v>Muestra base asfáltica tomada de la planta depositada entre el K50+680 y el   K 50+850 izquierdo.</v>
          </cell>
        </row>
        <row r="258">
          <cell r="B258" t="str">
            <v xml:space="preserve">Muestra base asfáltica tomada en la via en el  K50+800 Margen  izquierdo </v>
          </cell>
        </row>
        <row r="259">
          <cell r="B259" t="str">
            <v xml:space="preserve">Muestra base asfáltica tomada en la via en el  K50+800 Margen  izquierdo </v>
          </cell>
        </row>
        <row r="260">
          <cell r="B260" t="str">
            <v>Muestra base asfáltica tomada de la planta depositada entre el K10+280 entrada a pelaya.</v>
          </cell>
        </row>
        <row r="261">
          <cell r="B261" t="str">
            <v>Muestra base asfáltica tomada de la planta depositada entre el K50+800 y el   K 51+020 derecha.</v>
          </cell>
        </row>
        <row r="262">
          <cell r="B262" t="str">
            <v>Muestra base asfáltica tomada de la planta depositada entre el K51+020 y el   K 51+200 derecha.</v>
          </cell>
        </row>
        <row r="263">
          <cell r="B263" t="str">
            <v>Muestra base asfáltica tomada de la planta depositada entre el K51+200 y el   K 51+340 derecha.</v>
          </cell>
        </row>
        <row r="264">
          <cell r="B264" t="str">
            <v>Muestra base asfáltica tomada de la planta depositada entre el K50+850 y el   K 51+100 izquierda.</v>
          </cell>
        </row>
        <row r="265">
          <cell r="B265" t="str">
            <v>Muestra base asfáltica tomada de la planta depositada entre el K51+100 y el   K 51+215 izquierda.</v>
          </cell>
        </row>
        <row r="266">
          <cell r="B266" t="str">
            <v>Muestra base asfáltica tomada de la planta depositada entre el K51+215 y el   K 51+500 izquierda.</v>
          </cell>
        </row>
        <row r="267">
          <cell r="B267" t="str">
            <v>Muestra base asfáltica tomada de la planta depositada entre el K50+970 y el   K 51+375 derecha.</v>
          </cell>
        </row>
        <row r="268">
          <cell r="B268" t="str">
            <v>Muestra base asfáltica tomada de la planta depositada entre el K51+375 y el   K 51+520 derecha.</v>
          </cell>
        </row>
        <row r="269">
          <cell r="B269" t="str">
            <v>Muestra base asfáltica tomada de la planta depositada entre el K51+520 y el   K 51+670 derecha.</v>
          </cell>
        </row>
        <row r="270">
          <cell r="B270" t="str">
            <v>Muestra base asfáltica tomada de la planta depositada entre el K46+820 y el   K 47+240 izquierdo.</v>
          </cell>
        </row>
        <row r="271">
          <cell r="B271" t="str">
            <v>Muestra base asfáltica tomada de la planta depositada entre el K47+240 y el   K 47+610 izquierdo.</v>
          </cell>
        </row>
        <row r="272">
          <cell r="B272" t="str">
            <v>Muestra base asfáltica tomada en la via en el  K47+035 Margen izquierda eje</v>
          </cell>
        </row>
        <row r="273">
          <cell r="B273" t="str">
            <v>Muestra base asfáltica tomada en la via en el  K47+035 Margen izquierda derecha</v>
          </cell>
        </row>
        <row r="274">
          <cell r="B274" t="str">
            <v>Muestra base asfáltica tomada en la via en el  K47+035 Margen izquierda izquierda</v>
          </cell>
        </row>
        <row r="275">
          <cell r="B275" t="str">
            <v>Muestra base asfáltica tomada de la planta depositada entre el K52+350 y el   K 52+510 derecha.</v>
          </cell>
        </row>
        <row r="276">
          <cell r="B276" t="str">
            <v>Muestra base asfáltica tomada de la planta depositada entre el K53+510 y el   K 52+100 derecha.</v>
          </cell>
        </row>
        <row r="277">
          <cell r="B277" t="str">
            <v>Muestra base asfáltica tomada de la planta depositada entre el K52+100 y el   K 52+330 derecha.</v>
          </cell>
        </row>
        <row r="278">
          <cell r="B278" t="str">
            <v>Muestra base asfáltica tomada en la via en el  K52+030 Margen derecha lado derecho</v>
          </cell>
        </row>
        <row r="279">
          <cell r="B279" t="str">
            <v>Muestra base asfáltica tomada en la via en el  K52+030 Margen derecha lado izquierdo</v>
          </cell>
        </row>
        <row r="280">
          <cell r="B280" t="str">
            <v>Muestra base asfáltica tomada en la via en el  K52+030 Margen derecha eje</v>
          </cell>
        </row>
        <row r="281">
          <cell r="B281" t="str">
            <v>Muestra base asfáltica tomada de la planta depositada entre el K51+504 y el   K 47+570 izquierdo.</v>
          </cell>
        </row>
        <row r="282">
          <cell r="B282" t="str">
            <v>Muestra base asfáltica tomada de la planta depositada entre el K51+570 y el   K 51+700 izquierdo.</v>
          </cell>
        </row>
        <row r="283">
          <cell r="B283" t="str">
            <v>Muestra base asfáltica tomada de la planta depositada entre el K51+700 y el   K 51+860 izquierdo.</v>
          </cell>
        </row>
        <row r="284">
          <cell r="B284" t="str">
            <v>Muestra base asfáltica tomada de la planta depositada entre el K51+860 y el   K 51+930 izquierdo.</v>
          </cell>
        </row>
        <row r="285">
          <cell r="B285" t="str">
            <v>Muestra base asfáltica tomada en la via en el  K51+652 Margen izquierda eje</v>
          </cell>
        </row>
        <row r="286">
          <cell r="B286" t="str">
            <v>Muestra base asfáltica tomada en la via en el  K51+652 Margen izquierda derecha</v>
          </cell>
        </row>
        <row r="287">
          <cell r="B287" t="str">
            <v>Muestra base asfáltica tomada en la via en el  K51+652 Margen izquierda izquierda</v>
          </cell>
        </row>
        <row r="288">
          <cell r="B288" t="str">
            <v>Muestra base asfáltica tomada de la planta depositada entre el K51+970 y el   K 52+040 izquierdo.</v>
          </cell>
        </row>
        <row r="289">
          <cell r="B289" t="str">
            <v>Muestra base asfáltica tomada de la planta depositada entre el K52+040 y el   K 52+110 izquierdo.</v>
          </cell>
        </row>
        <row r="290">
          <cell r="B290" t="str">
            <v>Muestra base asfáltica tomada de la planta depositada entre el K52+110 y el   K 52+180 izquierdo.</v>
          </cell>
        </row>
        <row r="291">
          <cell r="B291" t="str">
            <v>Muestra base asfáltica tomada de la planta depositada entre el K52+180 y el   K 52+260 izquierdo.</v>
          </cell>
        </row>
        <row r="292">
          <cell r="B292" t="str">
            <v>Muestra base asfáltica tomada en la via en el  K52+080 Margen izquierda .</v>
          </cell>
        </row>
        <row r="293">
          <cell r="B293" t="str">
            <v>Muestra base asfáltica tomada de la planta depositada entre el K52+330 y el   K 52+420 izquierdo.</v>
          </cell>
        </row>
        <row r="294">
          <cell r="B294" t="str">
            <v>Muestra base asfáltica tomada de la planta depositada entre el K52+420 y el   K 52+470 izquierdo.</v>
          </cell>
        </row>
        <row r="295">
          <cell r="B295" t="str">
            <v>Muestra base asfáltica tomada de la planta depositada entre el K52+470 y el   K 52+520 izquierdo.</v>
          </cell>
        </row>
        <row r="296">
          <cell r="B296" t="str">
            <v>Muestra base asfáltica tomada de la planta depositada entre el K52+520 y el   K 52+625 izquierdo.</v>
          </cell>
        </row>
        <row r="297">
          <cell r="B297" t="str">
            <v>Muestra base asfáltica tomada en la via en el  K52+600 Margen izquierda eje</v>
          </cell>
        </row>
        <row r="298">
          <cell r="B298" t="str">
            <v>Muestra base asfáltica tomada en la via en el  K52+600 Margen izquierda derecha</v>
          </cell>
        </row>
        <row r="299">
          <cell r="B299" t="str">
            <v>Muestra base asfáltica tomada en la via en el  K52+600 Margen izquierda izquierda</v>
          </cell>
        </row>
        <row r="300">
          <cell r="B300" t="str">
            <v>Muestra base asfáltica tomada de la planta depositada entre el K52+515 y el   K 52+550 izquierdo contenido de asfalto alto posible error de pesaje.</v>
          </cell>
        </row>
        <row r="301">
          <cell r="B301" t="str">
            <v>Muestra base asfáltica tomada de la planta depositada entre el K52+550 y el   K 52+685 izquierdo.</v>
          </cell>
        </row>
        <row r="302">
          <cell r="B302" t="str">
            <v>Muestra base asfáltica tomada en la via en el  K52+520 Margen derecha eje</v>
          </cell>
        </row>
        <row r="303">
          <cell r="B303" t="str">
            <v>Muestra base asfáltica tomada en la via en el  K52+520 Margen derecha derecha</v>
          </cell>
        </row>
        <row r="304">
          <cell r="B304" t="str">
            <v>Muestra base asfáltica tomada en la via en el  K52+520 Margen derecha izquierda</v>
          </cell>
        </row>
        <row r="305">
          <cell r="B305" t="str">
            <v>Muestra base asfáltica tomada de la planta depositada entre el K52+685 y el   K 52+715 izquierdo.</v>
          </cell>
        </row>
        <row r="306">
          <cell r="B306" t="str">
            <v>Muestra base asfáltica tomada de la planta depositada entre el K52+715 y el   K 52+771 izquierdo.</v>
          </cell>
        </row>
        <row r="307">
          <cell r="B307" t="str">
            <v>Muestra base asfáltica tomada de la planta depositada entre el K52+771 y el   K 52+826 izquierdo.</v>
          </cell>
        </row>
        <row r="308">
          <cell r="B308" t="str">
            <v>Muestra base asfáltica tomada de la planta depositada entre el K52+826 y el   K 52+855 izquierdo.</v>
          </cell>
        </row>
        <row r="309">
          <cell r="B309" t="str">
            <v>Muestra base asfáltica tomada en la via en el  K52+760 Margen izquierda derecha</v>
          </cell>
        </row>
        <row r="310">
          <cell r="B310" t="str">
            <v>Muestra base asfáltica tomada en la via en el  K52+760 Margen izquierda izquierda</v>
          </cell>
        </row>
        <row r="311">
          <cell r="B311" t="str">
            <v>Muestra base asfáltica tomada en la via en el  K52+760 Margen izquierda eje</v>
          </cell>
        </row>
        <row r="312">
          <cell r="B312" t="str">
            <v>Muestra base asfáltica tomada en planta depositada en el K52+860 al K52+980 derecha.</v>
          </cell>
        </row>
        <row r="313">
          <cell r="B313" t="str">
            <v>Muestra base asfáltica tomada en planta depositada en el K52+980 al K53+000 derecha.</v>
          </cell>
        </row>
        <row r="314">
          <cell r="B314" t="str">
            <v>Muestra base asfáltica tomada en la via en el  K52+900 Margen derecha eje</v>
          </cell>
        </row>
        <row r="315">
          <cell r="B315" t="str">
            <v>Muestra base asfáltica tomada en la via en el  K52+900 Margen derecha derecha.</v>
          </cell>
        </row>
        <row r="316">
          <cell r="B316" t="str">
            <v>Muestra base asfáltica tomada en la via en el  K52+900 Margen derecha izquierda.</v>
          </cell>
        </row>
        <row r="317">
          <cell r="B317" t="str">
            <v>Muestra base asfáltica tomada en planta depositada en el K52+750 al K52+860 izquierda.</v>
          </cell>
        </row>
        <row r="318">
          <cell r="B318" t="str">
            <v>Muestra base asfáltica tomada en planta depositada en el K52+860 al K52+980 izquierda.</v>
          </cell>
        </row>
        <row r="319">
          <cell r="B319" t="str">
            <v>Muestra base asfáltica tomada en la via en el  K52+760 Margen izquierda derecha.</v>
          </cell>
        </row>
        <row r="320">
          <cell r="B320" t="str">
            <v>Muestra base asfáltica tomada en la via en el  K52+760 Margen izquierda eje.</v>
          </cell>
        </row>
        <row r="321">
          <cell r="B321" t="str">
            <v>Muestra base asfáltica tomada en la via en el  K52+760 Margen izquierda derecha.</v>
          </cell>
        </row>
        <row r="322">
          <cell r="B322" t="str">
            <v>Muestra base asfáltica tomada en planta depositada en el K52+980 al K53+230 izquierda.</v>
          </cell>
        </row>
        <row r="323">
          <cell r="B323" t="str">
            <v>Muestra base asfáltica tomada en planta depositada en el K52+230 al K53+500 izquierda.</v>
          </cell>
        </row>
        <row r="324">
          <cell r="B324" t="str">
            <v>Muestra base asfáltica tomada en planta depositada en el K53+050 al K53+660 eje.</v>
          </cell>
        </row>
        <row r="325">
          <cell r="B325" t="str">
            <v>Muestra base asfáltica tomada en planta depositada en el K53+160 al K53+410 derecha.</v>
          </cell>
        </row>
        <row r="326">
          <cell r="B326" t="str">
            <v>Muestra base asfáltica tomada en planta depositada en el K53+500 al K53+670 izquierda.</v>
          </cell>
        </row>
        <row r="327">
          <cell r="B327" t="str">
            <v>Muestra base asfáltica tomada en planta depositada en el K53+670 al K53+530 .</v>
          </cell>
        </row>
        <row r="328">
          <cell r="B328" t="str">
            <v>Muestra base asfáltica tomada en planta depositada en el K53+660 al K53+776 derecha.</v>
          </cell>
        </row>
        <row r="329">
          <cell r="B329" t="str">
            <v>Muestra base asfáltica tomada en planta depositada en el K53+776 al K53+860 derecha.</v>
          </cell>
        </row>
        <row r="330">
          <cell r="B330" t="str">
            <v>Muestra base asfáltica tomada en planta depositada en el K53+860 al K54+010 derecha.</v>
          </cell>
        </row>
        <row r="331">
          <cell r="B331" t="str">
            <v>Muestra base asfáltica tomada en planta depositada en el K53+850 al K53+905 izquierda.</v>
          </cell>
        </row>
        <row r="332">
          <cell r="B332" t="str">
            <v>Muestra base asfáltica tomada en planta depositada en el K53+905 al K53+938 izquierda.</v>
          </cell>
        </row>
        <row r="333">
          <cell r="B333" t="str">
            <v>Muestra base asfáltica tomada en planta depositada en el K53+938 al K54+150 izquierda.</v>
          </cell>
        </row>
        <row r="334">
          <cell r="B334" t="str">
            <v>Muestra base asfáltica tomada en planta depositada en el K54+150 al K54+380 izquierda.</v>
          </cell>
        </row>
        <row r="335">
          <cell r="B335" t="str">
            <v>Muestra base asfáltica tomada en planta depositada en el K54+020 al K54+160 derecha.</v>
          </cell>
        </row>
        <row r="336">
          <cell r="B336" t="str">
            <v>Muestra base asfáltica tomada en planta depositada en el K54+160 al K54+340 derecha.</v>
          </cell>
        </row>
        <row r="337">
          <cell r="B337" t="str">
            <v>Muestra base asfáltica tomada en planta depositada en el K54+340 al K54+610 derecha.</v>
          </cell>
        </row>
        <row r="338">
          <cell r="B338" t="str">
            <v>Muestra base asfáltica tomada en planta depositada en el K54+610 al K54+820 derecha.</v>
          </cell>
        </row>
        <row r="339">
          <cell r="B339" t="str">
            <v>Muestra base asfáltica tomada en planta depositada en el K54+820 al K55+210 derecha.</v>
          </cell>
        </row>
        <row r="340">
          <cell r="B340" t="str">
            <v>Muestra base asfáltica tomada en planta depositada en el K54+640 al K54+970 izquierda.</v>
          </cell>
        </row>
        <row r="341">
          <cell r="B341" t="str">
            <v>Muestra base asfáltica tomada en planta depositada en el K54+970 al K55+260 izquierda.</v>
          </cell>
        </row>
        <row r="342">
          <cell r="B342" t="str">
            <v>Muestra base asfáltica tomada en planta depositada en el K55+260 al K55+400 izquierda.</v>
          </cell>
        </row>
        <row r="343">
          <cell r="B343" t="str">
            <v>Muestra base asfáltica tomada en planta depositada en el K55+400 al K55+550 izquierda.</v>
          </cell>
        </row>
        <row r="344">
          <cell r="B344" t="str">
            <v>Muestra base asfáltica tomada en planta depositada en el K55+315 al K55+600 derecha.</v>
          </cell>
        </row>
        <row r="345">
          <cell r="B345" t="str">
            <v>Muestra base asfáltica tomada en planta depositada en el K55+600 al K55+770 derecha.</v>
          </cell>
        </row>
        <row r="346">
          <cell r="B346" t="str">
            <v>Muestra base asfáltica tomada en planta depositada en el K55+526 al K55+940 Izquierda.</v>
          </cell>
        </row>
        <row r="347">
          <cell r="B347" t="str">
            <v>Muestra base asfáltica tomada en planta depositada en el K55+940 al K56+130 Izquierda.</v>
          </cell>
        </row>
        <row r="348">
          <cell r="B348" t="str">
            <v>Muestra base asfáltica tomada en planta depositada en el K56+130 al K56+425 Izquierda.</v>
          </cell>
        </row>
        <row r="349">
          <cell r="B349" t="str">
            <v>Muestra base asfáltica tomada en planta depositada en el K55+770 al K56+360 Derecha.</v>
          </cell>
        </row>
        <row r="350">
          <cell r="B350" t="str">
            <v>Muestra base asfáltica tomada en planta depositada en el K56+360 al K56+940 Derecha.</v>
          </cell>
        </row>
        <row r="351">
          <cell r="B351" t="str">
            <v>Muestra base asfáltica tomada en planta depositada en el K56+420 al K56+940 Izquierda.</v>
          </cell>
        </row>
        <row r="352">
          <cell r="B352" t="str">
            <v>Muestra base asfáltica tomada en planta depositada en el K56+940 al K57+050 Izquierda.</v>
          </cell>
        </row>
        <row r="353">
          <cell r="B353" t="str">
            <v>Muestra base asfáltica tomada en planta depositada en el K57+050 al K57+320 Izquierda.</v>
          </cell>
        </row>
        <row r="354">
          <cell r="B354" t="str">
            <v>Muestra base asfáltica tomada en planta depositada en el K57+320 al K57+560 Izquierda.</v>
          </cell>
        </row>
        <row r="355">
          <cell r="B355" t="str">
            <v>Muestra base asfáltica tomada en planta depositada en el K56+930 al K57+260 Derecha.</v>
          </cell>
        </row>
        <row r="356">
          <cell r="B356" t="str">
            <v>Muestra base asfáltica tomada en planta depositada en el K57+260 al K57+560 Derecha.</v>
          </cell>
        </row>
        <row r="357">
          <cell r="B357" t="str">
            <v>Muestra base asfáltica tomada en planta depositada en el K57+560 al K57+735 Derecha.</v>
          </cell>
        </row>
        <row r="359">
          <cell r="B359" t="str">
            <v>Muestra base asfáltica tomada en planta depositada en el K57+560 al K57+740 Izquierda.</v>
          </cell>
        </row>
        <row r="360">
          <cell r="B360" t="str">
            <v>Muestra base asfáltica tomada en planta depositada en el K57+740 al K57+950 Izquierda.</v>
          </cell>
        </row>
        <row r="361">
          <cell r="B361" t="str">
            <v>Muestra base asfáltica tomada en planta depositada en el K57+950 al K58+210 Izquierda.</v>
          </cell>
        </row>
        <row r="362">
          <cell r="B362" t="str">
            <v>Muestra base asfáltica tomada en planta depositada en el K58+210 al K58+390 Izquierda.</v>
          </cell>
        </row>
        <row r="363">
          <cell r="B363" t="str">
            <v>Muestra base asfáltica tomada en planta depositada en el K58+390 al K58+525 Izquierda.</v>
          </cell>
        </row>
        <row r="364">
          <cell r="B364" t="str">
            <v>Muestra base asfáltica tomada en planta depositada en el K57+840 al K58+230 Derecha.</v>
          </cell>
        </row>
        <row r="365">
          <cell r="B365" t="str">
            <v>Muestra base asfáltica tomada en planta depositada en el K58+230 al K58+360 Derecha.</v>
          </cell>
        </row>
        <row r="366">
          <cell r="B366" t="str">
            <v>Muestra base asfáltica tomada en planta depositada en el K58+360 al K58+708 Derecha.</v>
          </cell>
        </row>
        <row r="367">
          <cell r="B367" t="str">
            <v>Muestra base asfáltica tomada en planta depositada en el K58+525 al K58+745 Izquierda.</v>
          </cell>
        </row>
        <row r="368">
          <cell r="B368" t="str">
            <v>Muestra base asfáltica tomada en planta depositada en el K58+745 al K59+030 Izquierda.</v>
          </cell>
        </row>
        <row r="369">
          <cell r="B369" t="str">
            <v>Muestra base asfáltica tomada en planta depositada en el K59+030 al K59+265 Izquierda.</v>
          </cell>
        </row>
        <row r="370">
          <cell r="B370" t="str">
            <v>Muestra base asfáltica tomada en planta depositada en el K58+690 al K58+840 Derecha.</v>
          </cell>
        </row>
        <row r="371">
          <cell r="B371" t="str">
            <v>Muestra base asfáltica tomada en planta depositada en el K58+840 al K58+990 Derecha.</v>
          </cell>
        </row>
        <row r="372">
          <cell r="B372" t="str">
            <v>Muestra base asfáltica tomada en planta depositada en el K58+990 al K59+130 Derecha.</v>
          </cell>
        </row>
        <row r="373">
          <cell r="B373" t="str">
            <v>Muestra base asfáltica tomada en planta depositada en el K59+130 al K59+260 Derecha.</v>
          </cell>
        </row>
        <row r="374">
          <cell r="B374" t="str">
            <v>Muestra base asfáltica tomada en planta depositada en el K59+260 al K59+415 Derecha.</v>
          </cell>
        </row>
        <row r="375">
          <cell r="B375" t="str">
            <v>Muestra base asfáltica tomada en planta depositada en el K59+415 al K59+590 Derecha.</v>
          </cell>
        </row>
        <row r="376">
          <cell r="B376" t="str">
            <v>Muestra base asfáltica tomada en planta depositada en el K59+260 al K59+480 Izquierda.</v>
          </cell>
        </row>
        <row r="377">
          <cell r="B377" t="str">
            <v>Muestra base asfáltica tomada en planta depositada en el K59+480 al K59+660 Izquierda.</v>
          </cell>
        </row>
        <row r="378">
          <cell r="B378" t="str">
            <v>Muestra base asfáltica tomada en planta depositada en el K59+660 al K60+030 Izquierda.</v>
          </cell>
        </row>
        <row r="379">
          <cell r="B379" t="str">
            <v>Muestra base asfáltica tomada en planta depositada en el K59+590 al K59+865 Derecha.</v>
          </cell>
        </row>
        <row r="380">
          <cell r="B380" t="str">
            <v>Muestra base asfáltica tomada en planta depositada en el K59+865 al K60+110 Derecha.</v>
          </cell>
        </row>
        <row r="381">
          <cell r="B381" t="str">
            <v>Muestra base asfáltica tomada en planta depositada en el K60+110 al K60+210 Derecha.</v>
          </cell>
        </row>
        <row r="382">
          <cell r="B382" t="str">
            <v>Muestra base asfáltica tomada en planta depositada en el K60+210 al K60+450 Derecha.</v>
          </cell>
        </row>
        <row r="383">
          <cell r="B383" t="str">
            <v>Muestra base asfáltica tomada en planta depositada en el K60+450 al K60+590 Derecha.</v>
          </cell>
        </row>
        <row r="384">
          <cell r="B384" t="str">
            <v>Muestra base asfáltica tomada en planta depositada en el K60+120 al K60+510 Izquierda.</v>
          </cell>
        </row>
        <row r="385">
          <cell r="B385" t="str">
            <v>Muestra base asfáltica tomada en planta depositada en el K60+220 al K60+360 Izquierda.</v>
          </cell>
        </row>
        <row r="386">
          <cell r="B386" t="str">
            <v>Muestra base asfáltica tomada en planta depositada en el K60+360 al K60+595 Izquierda.</v>
          </cell>
        </row>
        <row r="387">
          <cell r="B387" t="str">
            <v>Muestra base asfáltica tomada en planta depositada en el K60+595 al K60+758 Izquierda.</v>
          </cell>
        </row>
        <row r="388">
          <cell r="B388" t="str">
            <v>Muestra base asfáltica tomada en planta depositada en el K60+758 al K60+860 Izquierda.</v>
          </cell>
        </row>
        <row r="389">
          <cell r="B389" t="str">
            <v>Muestra base asfáltica tomada en planta depositada en el K60+860 al K61+000 Izquierda.</v>
          </cell>
        </row>
        <row r="390">
          <cell r="B390" t="str">
            <v>Muestra base asfáltica tomada en planta depositada en el K60+570 al K60+740 derecha.</v>
          </cell>
        </row>
        <row r="391">
          <cell r="B391" t="str">
            <v>Muestra base asfáltica tomada en planta depositada en el K60+735 al K60+960 derecha.</v>
          </cell>
        </row>
        <row r="392">
          <cell r="B392" t="str">
            <v>Muestra base asfáltica tomada en planta depositada en el K60+960 al K61+120 derecha.</v>
          </cell>
        </row>
        <row r="393">
          <cell r="B393" t="str">
            <v>Muestra base asfáltica tomada en planta depositada en el K61+120 al K61+230 derecha.</v>
          </cell>
        </row>
        <row r="394">
          <cell r="B394" t="str">
            <v xml:space="preserve">El alto contenido de asfalto reportado en este formato se debe a un error de pesaje tal como se verifico en la contra muetra No393 cuyo valor dio 2.9 % </v>
          </cell>
        </row>
        <row r="395">
          <cell r="B395" t="str">
            <v>Muestra base asfáltica tomada en planta depositada en el K61+230 al K61+335 derecha.</v>
          </cell>
        </row>
        <row r="396">
          <cell r="B396" t="str">
            <v>Muestra base asfáltica tomada en planta depositada en el K61+335 al K61+440 derecha.</v>
          </cell>
        </row>
        <row r="397">
          <cell r="B397" t="str">
            <v>Muestra base asfáltica tomada en planta depositada en el K61+440 al K61+500derecha.</v>
          </cell>
        </row>
        <row r="398">
          <cell r="B398" t="str">
            <v>Muestra base asfáltica tomada en planta depositada en el K61+090 al K61+318 izquierda.</v>
          </cell>
        </row>
        <row r="399">
          <cell r="B399" t="str">
            <v>Muestra base asfáltica tomada en planta depositada en el K61+000 al K61+100 izquierda.</v>
          </cell>
        </row>
        <row r="400">
          <cell r="B400" t="str">
            <v>Muestra base asfáltica tomada en planta depositada en el K61+100 al K61+200 izquierda.</v>
          </cell>
        </row>
        <row r="401">
          <cell r="B401" t="str">
            <v>Muestra base asfáltica tomada en planta depositada en el K61+200 al K61+300 izquierda.</v>
          </cell>
        </row>
        <row r="402">
          <cell r="B402" t="str">
            <v>Muestra base asfáltica tomada en planta depositada en el K61+280 al K61+350 izquierda.</v>
          </cell>
        </row>
        <row r="403">
          <cell r="B403" t="str">
            <v>Muestra base asfáltica tomada en planta depositada en el K61+350 al K61+400 izquierda.</v>
          </cell>
        </row>
        <row r="404">
          <cell r="B404" t="str">
            <v>Muestra base asfáltica tomada en planta depositada en el K61+400 al K61+460 izquierda.</v>
          </cell>
        </row>
        <row r="405">
          <cell r="B405" t="str">
            <v>Material utilizado en parcheo  entre el K 42+720  y el K 42+880 izquierdo.</v>
          </cell>
        </row>
        <row r="406">
          <cell r="B406" t="str">
            <v>Material utilizado en parcheo  entre el K 42+880  y el K 42+930 izquierdo.</v>
          </cell>
        </row>
        <row r="407">
          <cell r="B407" t="str">
            <v>Material utilizado en parcheo  entre el K 42+930  y el K 42+980 izquierdo.</v>
          </cell>
        </row>
        <row r="408">
          <cell r="B408" t="str">
            <v>Material utilizado en parcheo  entre el K 42+980  y el K 42+996 izquierdo.</v>
          </cell>
        </row>
        <row r="409">
          <cell r="B409" t="str">
            <v>Material utilizado en parcheo  entre el K 43+000  y el K 43+096 izquierdo.</v>
          </cell>
        </row>
        <row r="410">
          <cell r="B410" t="str">
            <v>Material utilizado en parcheo  entre el K 43+096  y el K 43+210 izquierdo.</v>
          </cell>
        </row>
        <row r="411">
          <cell r="B411" t="str">
            <v>Material utilizado en parcheo  entre el K 43+210  y el K 43+330 izquierdo.</v>
          </cell>
        </row>
        <row r="412">
          <cell r="B412" t="str">
            <v>Material utilizado en parcheo  entre el K 43+350  y el K 43+500 izquierdo.</v>
          </cell>
        </row>
        <row r="413">
          <cell r="B413" t="str">
            <v>Material utilizado en parcheo  entre el K 43+500  y el K 43+550 izquierdo.</v>
          </cell>
        </row>
        <row r="414">
          <cell r="B414" t="str">
            <v>Material utilizado en parcheo  entre el K 43+550  y el K 43+700 izquierdo.</v>
          </cell>
        </row>
        <row r="415">
          <cell r="B415" t="str">
            <v>Material utilizado en parcheo  entre el K 43+700  y el K 43+780 izquierdo.</v>
          </cell>
        </row>
        <row r="416">
          <cell r="B416" t="str">
            <v>Material utilizado en parcheo  entre el K 43+730  y el K 43+990 izquierdo.</v>
          </cell>
        </row>
        <row r="417">
          <cell r="B417" t="str">
            <v>Material utilizado en parcheo  entre el K 44+011  y el K 44+078 izquierdo.</v>
          </cell>
        </row>
        <row r="418">
          <cell r="B418" t="str">
            <v>Muestra base asfáltica tomada en planta depositada en el K61+455 al K61+560 izquierda.</v>
          </cell>
        </row>
        <row r="419">
          <cell r="B419" t="str">
            <v>Muestra base asfáltica tomada en planta depositada en el K61+560 al K61+630 izquierda.</v>
          </cell>
        </row>
        <row r="420">
          <cell r="B420" t="str">
            <v>Muestra base asfáltica tomada en planta depositada en el K61+630 al K61+705 izquierda.</v>
          </cell>
        </row>
        <row r="421">
          <cell r="B421" t="str">
            <v xml:space="preserve">Material utilizado en parcheo  </v>
          </cell>
        </row>
        <row r="422">
          <cell r="B422" t="str">
            <v>Material utilizado en parcheo  entre el K 44+120  y el K 44+300 izquierdo.</v>
          </cell>
        </row>
        <row r="423">
          <cell r="B423" t="str">
            <v>Material utilizado en parcheo  entre el K 44+300  y el K 44+468 izquierdo.</v>
          </cell>
        </row>
        <row r="424">
          <cell r="B424" t="str">
            <v>Material utilizado en parcheo  entre el K 44+460  y el K 44+528 izquierdo.</v>
          </cell>
        </row>
        <row r="425">
          <cell r="B425" t="str">
            <v>Material utilizado en parcheo  entre el K 44+528  y el K 44+955 izquierdo.</v>
          </cell>
        </row>
        <row r="426">
          <cell r="B426" t="str">
            <v>Muestra base asfáltica tomada en planta depositada en el K61+490 al K61+560 derecha.</v>
          </cell>
        </row>
        <row r="427">
          <cell r="B427" t="str">
            <v>Muestra base asfáltica tomada en planta depositada en el K61+560 al K61+626 derecha.</v>
          </cell>
        </row>
        <row r="428">
          <cell r="B428" t="str">
            <v>Muestra base asfáltica tomada en planta depositada en el K61+626 al K61+710 derecha.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2"/>
      <sheetName val="ACARREO"/>
      <sheetName val="AIU-IDU "/>
      <sheetName val="AIU"/>
      <sheetName val="puente"/>
      <sheetName val="1 AL 8"/>
      <sheetName val="cuadrilla"/>
      <sheetName val="EQUIPOS"/>
      <sheetName val="MATERIALES"/>
      <sheetName val="Módulo1"/>
      <sheetName val="Módulo2"/>
      <sheetName val="Módulo3"/>
      <sheetName val="DICO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025 a base"/>
      <sheetName val="Hoja1"/>
      <sheetName val="for"/>
      <sheetName val="form"/>
    </sheetNames>
    <sheetDataSet>
      <sheetData sheetId="0">
        <row r="3">
          <cell r="C3" t="str">
            <v>La Unión</v>
          </cell>
          <cell r="P3" t="str">
            <v>Acopio trituradora</v>
          </cell>
          <cell r="Q3" t="str">
            <v>-</v>
          </cell>
        </row>
        <row r="4">
          <cell r="C4" t="str">
            <v>La Unión</v>
          </cell>
          <cell r="P4" t="str">
            <v>Acopio trituradora</v>
          </cell>
          <cell r="Q4" t="str">
            <v>-</v>
          </cell>
        </row>
        <row r="5">
          <cell r="C5" t="str">
            <v>La Unión</v>
          </cell>
          <cell r="P5" t="str">
            <v>Acopio trituradora</v>
          </cell>
          <cell r="Q5" t="str">
            <v>-</v>
          </cell>
        </row>
        <row r="6">
          <cell r="C6" t="str">
            <v>La Unión</v>
          </cell>
          <cell r="P6" t="str">
            <v>Acopio trituradora</v>
          </cell>
          <cell r="Q6" t="str">
            <v>-</v>
          </cell>
        </row>
        <row r="7">
          <cell r="C7" t="str">
            <v>La Unión</v>
          </cell>
          <cell r="P7" t="str">
            <v>Acopio trituradora</v>
          </cell>
          <cell r="Q7" t="str">
            <v>-</v>
          </cell>
        </row>
        <row r="8">
          <cell r="C8" t="str">
            <v>La Unión</v>
          </cell>
          <cell r="P8" t="str">
            <v>Acopio trituradora</v>
          </cell>
          <cell r="Q8" t="str">
            <v>-</v>
          </cell>
        </row>
        <row r="9">
          <cell r="C9" t="str">
            <v>La Unión</v>
          </cell>
          <cell r="P9" t="str">
            <v>Acopio trituradora</v>
          </cell>
          <cell r="Q9" t="str">
            <v>-</v>
          </cell>
        </row>
        <row r="10">
          <cell r="C10" t="str">
            <v>La Unión</v>
          </cell>
          <cell r="P10" t="str">
            <v>Acopio trituradora</v>
          </cell>
          <cell r="Q10" t="str">
            <v>-</v>
          </cell>
        </row>
        <row r="11">
          <cell r="C11" t="str">
            <v>La Unión</v>
          </cell>
          <cell r="P11" t="str">
            <v>Acopio trituradora</v>
          </cell>
          <cell r="Q11" t="str">
            <v>-</v>
          </cell>
        </row>
        <row r="12">
          <cell r="C12" t="str">
            <v>La Unión</v>
          </cell>
          <cell r="P12" t="str">
            <v>Acopio trituradora</v>
          </cell>
          <cell r="Q12" t="str">
            <v>-</v>
          </cell>
        </row>
        <row r="13">
          <cell r="C13" t="str">
            <v>La Unión</v>
          </cell>
          <cell r="P13" t="str">
            <v>Acopio trituradora</v>
          </cell>
          <cell r="Q13" t="str">
            <v>Equivalente de arena = 49%</v>
          </cell>
        </row>
        <row r="14">
          <cell r="C14" t="str">
            <v>La Unión</v>
          </cell>
          <cell r="P14" t="str">
            <v>Acopio trituradora</v>
          </cell>
          <cell r="Q14" t="str">
            <v>-</v>
          </cell>
        </row>
        <row r="15">
          <cell r="C15" t="str">
            <v>La Unión</v>
          </cell>
          <cell r="P15" t="str">
            <v>Acopio trituradora</v>
          </cell>
          <cell r="Q15" t="str">
            <v>Equivalente de arena = 53%</v>
          </cell>
        </row>
        <row r="16">
          <cell r="C16" t="str">
            <v>La Unión</v>
          </cell>
          <cell r="P16" t="str">
            <v>Acopio trituradora</v>
          </cell>
          <cell r="Q16" t="str">
            <v>Equivalente de arena = 31%</v>
          </cell>
        </row>
        <row r="17">
          <cell r="C17" t="str">
            <v>La Unión</v>
          </cell>
          <cell r="P17" t="str">
            <v>Acopio trituradora</v>
          </cell>
          <cell r="Q17" t="str">
            <v>Equivalente de arena = 28%</v>
          </cell>
        </row>
        <row r="18">
          <cell r="C18" t="str">
            <v>La Unión</v>
          </cell>
          <cell r="P18" t="str">
            <v>Acopio trituradora</v>
          </cell>
          <cell r="Q18" t="str">
            <v>-</v>
          </cell>
        </row>
        <row r="19">
          <cell r="C19" t="str">
            <v>La Unión</v>
          </cell>
          <cell r="P19" t="str">
            <v>Acopio trituradora</v>
          </cell>
          <cell r="Q19" t="str">
            <v>-</v>
          </cell>
        </row>
        <row r="20">
          <cell r="C20" t="str">
            <v>Grupo I</v>
          </cell>
          <cell r="P20" t="str">
            <v>-</v>
          </cell>
          <cell r="Q20" t="str">
            <v>-</v>
          </cell>
        </row>
        <row r="21">
          <cell r="C21" t="str">
            <v>Grupo I 3*1</v>
          </cell>
          <cell r="P21" t="str">
            <v>-</v>
          </cell>
          <cell r="Q21" t="str">
            <v>-</v>
          </cell>
        </row>
        <row r="22">
          <cell r="C22" t="str">
            <v>Grupo I</v>
          </cell>
          <cell r="P22" t="str">
            <v>-</v>
          </cell>
          <cell r="Q22" t="str">
            <v>-</v>
          </cell>
        </row>
        <row r="23">
          <cell r="C23" t="str">
            <v>Grupo I</v>
          </cell>
          <cell r="P23" t="str">
            <v>-</v>
          </cell>
          <cell r="Q23" t="str">
            <v>-</v>
          </cell>
        </row>
        <row r="24">
          <cell r="C24" t="str">
            <v>Grupo I</v>
          </cell>
          <cell r="Q24" t="str">
            <v>Equivalente de arena = 51 %</v>
          </cell>
        </row>
        <row r="25">
          <cell r="C25" t="str">
            <v>La Unión</v>
          </cell>
          <cell r="P25" t="str">
            <v>Muestra en frio</v>
          </cell>
          <cell r="Q25" t="str">
            <v>Equivalente de arena = 64 %</v>
          </cell>
        </row>
        <row r="26">
          <cell r="C26" t="str">
            <v>Grupo I</v>
          </cell>
          <cell r="P26" t="str">
            <v>-</v>
          </cell>
          <cell r="Q26" t="str">
            <v>-</v>
          </cell>
        </row>
        <row r="27">
          <cell r="C27" t="str">
            <v>La Unión</v>
          </cell>
          <cell r="P27" t="str">
            <v>Muestra en frio</v>
          </cell>
          <cell r="Q27" t="str">
            <v>Equivalente de arena = 58 %</v>
          </cell>
        </row>
      </sheetData>
      <sheetData sheetId="1">
        <row r="6">
          <cell r="F6">
            <v>25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(2)"/>
      <sheetName val="LA43 (2)"/>
      <sheetName val="DATOS"/>
      <sheetName val="Clasificaciones"/>
      <sheetName val="Clasificacion normal"/>
      <sheetName val="NP"/>
      <sheetName val="AASHTO"/>
      <sheetName val="UN-PUNTO"/>
      <sheetName val="Clasificacion normal Modif"/>
      <sheetName val="NP (3)"/>
      <sheetName val="UN-PUNTO (2)"/>
      <sheetName val="NP (2)"/>
      <sheetName val="USCS"/>
      <sheetName val="LA43"/>
      <sheetName val="form"/>
      <sheetName val="PERFIL"/>
      <sheetName val="Clasificacion"/>
      <sheetName val="Mtras"/>
      <sheetName val="CarSuel"/>
      <sheetName val="CaSuel "/>
      <sheetName val="ClaUSCS"/>
    </sheetNames>
    <sheetDataSet>
      <sheetData sheetId="0" refreshError="1"/>
      <sheetData sheetId="1" refreshError="1"/>
      <sheetData sheetId="2" refreshError="1"/>
      <sheetData sheetId="3">
        <row r="5">
          <cell r="H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finos"/>
      <sheetName val="GRUESOS 34"/>
      <sheetName val="GRUESOS1"/>
      <sheetName val="GRUESOS (2)"/>
      <sheetName val="Hoja3"/>
    </sheetNames>
    <sheetDataSet>
      <sheetData sheetId="0">
        <row r="3">
          <cell r="B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RAFICO"/>
      <sheetName val="LIMITES (3)"/>
      <sheetName val="Hoja1"/>
      <sheetName val="RESUMEN"/>
    </sheetNames>
    <sheetDataSet>
      <sheetData sheetId="0">
        <row r="5">
          <cell r="A5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Inmersión"/>
      <sheetName val="Inmersión (4)"/>
      <sheetName val="Inmersión (2)"/>
      <sheetName val="Inmersión (3)"/>
      <sheetName val="PROCE-INV-738-2002"/>
      <sheetName val="Hoja2"/>
      <sheetName val="INMERSION COMPRESION"/>
      <sheetName val="densidades"/>
      <sheetName val="datos (2)"/>
      <sheetName val="Hoja1"/>
    </sheetNames>
    <sheetDataSet>
      <sheetData sheetId="0">
        <row r="3">
          <cell r="I3">
            <v>1998.6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>
        <row r="3">
          <cell r="A3">
            <v>1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27">
          <cell r="G227">
            <v>0</v>
          </cell>
        </row>
        <row r="228">
          <cell r="G228">
            <v>0</v>
          </cell>
        </row>
        <row r="229">
          <cell r="G229">
            <v>0</v>
          </cell>
        </row>
        <row r="230">
          <cell r="G230">
            <v>0</v>
          </cell>
        </row>
        <row r="231">
          <cell r="G231">
            <v>0</v>
          </cell>
        </row>
        <row r="232">
          <cell r="G232">
            <v>0</v>
          </cell>
        </row>
        <row r="233">
          <cell r="G233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>
            <v>0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4">
          <cell r="G244">
            <v>0</v>
          </cell>
        </row>
        <row r="245">
          <cell r="G245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>
            <v>0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6">
          <cell r="G256">
            <v>0</v>
          </cell>
        </row>
        <row r="257">
          <cell r="G257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>
            <v>0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68">
          <cell r="G268">
            <v>0</v>
          </cell>
        </row>
        <row r="269">
          <cell r="G269">
            <v>0</v>
          </cell>
        </row>
        <row r="270">
          <cell r="G270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5">
          <cell r="G275">
            <v>0</v>
          </cell>
        </row>
        <row r="276">
          <cell r="G276">
            <v>0</v>
          </cell>
        </row>
        <row r="277">
          <cell r="G277">
            <v>0</v>
          </cell>
        </row>
        <row r="278">
          <cell r="G278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3">
          <cell r="G283">
            <v>0</v>
          </cell>
        </row>
        <row r="284">
          <cell r="G284">
            <v>0</v>
          </cell>
        </row>
        <row r="285">
          <cell r="G285">
            <v>0</v>
          </cell>
        </row>
        <row r="286">
          <cell r="G286">
            <v>0</v>
          </cell>
        </row>
        <row r="287">
          <cell r="G287">
            <v>0</v>
          </cell>
        </row>
        <row r="288">
          <cell r="G288">
            <v>0</v>
          </cell>
        </row>
        <row r="289">
          <cell r="G289">
            <v>0</v>
          </cell>
        </row>
        <row r="290">
          <cell r="G290">
            <v>0</v>
          </cell>
        </row>
        <row r="291">
          <cell r="G291">
            <v>0</v>
          </cell>
        </row>
        <row r="292">
          <cell r="G292">
            <v>0</v>
          </cell>
        </row>
        <row r="293">
          <cell r="G293">
            <v>0</v>
          </cell>
        </row>
        <row r="294">
          <cell r="G29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 RICE-ok"/>
      <sheetName val="DIS RICE-ok (2)"/>
      <sheetName val="Corrección"/>
      <sheetName val="Corrección (2)"/>
      <sheetName val="DATOS"/>
      <sheetName val="GRADACIÓN"/>
      <sheetName val="sin-briq"/>
      <sheetName val="CALIDAD-ASJ (5)"/>
      <sheetName val="Metro"/>
      <sheetName val="Hoja1"/>
      <sheetName val="Hoja2"/>
      <sheetName val="ASJ"/>
      <sheetName val="CALIDAD"/>
      <sheetName val="Formato"/>
      <sheetName val="Rice-EAFIT"/>
    </sheetNames>
    <sheetDataSet>
      <sheetData sheetId="0"/>
      <sheetData sheetId="1"/>
      <sheetData sheetId="2"/>
      <sheetData sheetId="3"/>
      <sheetData sheetId="4">
        <row r="3">
          <cell r="A3">
            <v>1</v>
          </cell>
          <cell r="B3">
            <v>40152</v>
          </cell>
          <cell r="D3">
            <v>1501</v>
          </cell>
          <cell r="E3">
            <v>1430.6</v>
          </cell>
          <cell r="G3" t="str">
            <v>Tramo de prueba</v>
          </cell>
          <cell r="H3" t="str">
            <v>1/4</v>
          </cell>
          <cell r="I3">
            <v>0</v>
          </cell>
          <cell r="J3">
            <v>222.5</v>
          </cell>
          <cell r="K3">
            <v>114.2</v>
          </cell>
          <cell r="L3">
            <v>239.6</v>
          </cell>
          <cell r="M3">
            <v>294</v>
          </cell>
          <cell r="N3">
            <v>280.39999999999998</v>
          </cell>
          <cell r="O3">
            <v>93.4</v>
          </cell>
          <cell r="P3">
            <v>82.9</v>
          </cell>
          <cell r="Q3">
            <v>103.6</v>
          </cell>
          <cell r="S3">
            <v>25</v>
          </cell>
          <cell r="T3" t="str">
            <v>1</v>
          </cell>
          <cell r="AK3">
            <v>0</v>
          </cell>
          <cell r="AM3">
            <v>0</v>
          </cell>
          <cell r="AO3">
            <v>0</v>
          </cell>
          <cell r="AP3" t="str">
            <v>Muestra tomada en el elevador</v>
          </cell>
          <cell r="AQ3" t="str">
            <v>-</v>
          </cell>
          <cell r="AR3">
            <v>0</v>
          </cell>
          <cell r="AS3">
            <v>0</v>
          </cell>
          <cell r="AV3">
            <v>0</v>
          </cell>
          <cell r="BS3">
            <v>2.5720000000000001</v>
          </cell>
        </row>
        <row r="4">
          <cell r="A4">
            <v>2</v>
          </cell>
          <cell r="B4">
            <v>40152</v>
          </cell>
          <cell r="D4">
            <v>1502.3</v>
          </cell>
          <cell r="E4">
            <v>1429.3</v>
          </cell>
          <cell r="G4" t="str">
            <v>Tramo de prueba</v>
          </cell>
          <cell r="H4" t="str">
            <v>2/4</v>
          </cell>
          <cell r="I4">
            <v>0</v>
          </cell>
          <cell r="J4">
            <v>183.1</v>
          </cell>
          <cell r="K4">
            <v>155.80000000000001</v>
          </cell>
          <cell r="L4">
            <v>267.8</v>
          </cell>
          <cell r="M4">
            <v>315.89999999999998</v>
          </cell>
          <cell r="N4">
            <v>245.6</v>
          </cell>
          <cell r="O4">
            <v>82</v>
          </cell>
          <cell r="P4">
            <v>78.099999999999994</v>
          </cell>
          <cell r="Q4">
            <v>101</v>
          </cell>
          <cell r="S4">
            <v>25</v>
          </cell>
          <cell r="T4" t="str">
            <v>1</v>
          </cell>
          <cell r="U4">
            <v>1230.5999999999999</v>
          </cell>
          <cell r="V4">
            <v>1231.5</v>
          </cell>
          <cell r="W4">
            <v>729.4</v>
          </cell>
          <cell r="Y4">
            <v>3.6</v>
          </cell>
          <cell r="Z4">
            <v>1234</v>
          </cell>
          <cell r="AA4">
            <v>1236.5</v>
          </cell>
          <cell r="AB4">
            <v>731</v>
          </cell>
          <cell r="AD4">
            <v>3.6</v>
          </cell>
          <cell r="AE4">
            <v>1238.2</v>
          </cell>
          <cell r="AF4">
            <v>1238.9000000000001</v>
          </cell>
          <cell r="AG4">
            <v>733.5</v>
          </cell>
          <cell r="AI4">
            <v>3.3</v>
          </cell>
          <cell r="AK4">
            <v>1539.7620999999999</v>
          </cell>
          <cell r="AM4">
            <v>1445.9487799999999</v>
          </cell>
          <cell r="AO4">
            <v>1382.72676</v>
          </cell>
          <cell r="AP4" t="str">
            <v>Muestra tomada en el elevador</v>
          </cell>
          <cell r="AQ4" t="str">
            <v>-</v>
          </cell>
          <cell r="AR4">
            <v>1513</v>
          </cell>
          <cell r="AS4">
            <v>3.5</v>
          </cell>
          <cell r="AV4">
            <v>2.4401729602729447</v>
          </cell>
          <cell r="BS4">
            <v>2.5720000000000001</v>
          </cell>
        </row>
        <row r="5">
          <cell r="A5">
            <v>3</v>
          </cell>
          <cell r="B5">
            <v>40152</v>
          </cell>
          <cell r="D5">
            <v>1500.6</v>
          </cell>
          <cell r="E5">
            <v>1429.4</v>
          </cell>
          <cell r="G5" t="str">
            <v>Tramo de prueba</v>
          </cell>
          <cell r="H5" t="str">
            <v>3/4</v>
          </cell>
          <cell r="I5">
            <v>0</v>
          </cell>
          <cell r="J5">
            <v>161.19999999999999</v>
          </cell>
          <cell r="K5">
            <v>135.30000000000001</v>
          </cell>
          <cell r="L5">
            <v>276.89999999999998</v>
          </cell>
          <cell r="M5">
            <v>323.7</v>
          </cell>
          <cell r="N5">
            <v>256.5</v>
          </cell>
          <cell r="O5">
            <v>89.3</v>
          </cell>
          <cell r="P5">
            <v>79.400000000000006</v>
          </cell>
          <cell r="Q5">
            <v>107.1</v>
          </cell>
          <cell r="S5">
            <v>25</v>
          </cell>
          <cell r="T5" t="str">
            <v>1</v>
          </cell>
          <cell r="AK5">
            <v>0</v>
          </cell>
          <cell r="AM5">
            <v>0</v>
          </cell>
          <cell r="AO5">
            <v>0</v>
          </cell>
          <cell r="AP5" t="str">
            <v>Muestra tomada en la volqueta</v>
          </cell>
          <cell r="AQ5" t="str">
            <v>-</v>
          </cell>
          <cell r="AR5">
            <v>0</v>
          </cell>
          <cell r="AS5">
            <v>0</v>
          </cell>
          <cell r="AV5">
            <v>0</v>
          </cell>
          <cell r="BS5">
            <v>2.5720000000000001</v>
          </cell>
        </row>
        <row r="6">
          <cell r="A6">
            <v>4</v>
          </cell>
          <cell r="B6">
            <v>40152</v>
          </cell>
          <cell r="D6">
            <v>1500.3</v>
          </cell>
          <cell r="E6">
            <v>1428.2</v>
          </cell>
          <cell r="G6" t="str">
            <v>Tramo de prueba</v>
          </cell>
          <cell r="H6" t="str">
            <v>4/4</v>
          </cell>
          <cell r="I6">
            <v>0</v>
          </cell>
          <cell r="J6">
            <v>209.3</v>
          </cell>
          <cell r="K6">
            <v>123.9</v>
          </cell>
          <cell r="L6">
            <v>275</v>
          </cell>
          <cell r="M6">
            <v>313.89999999999998</v>
          </cell>
          <cell r="N6">
            <v>246.1</v>
          </cell>
          <cell r="O6">
            <v>93.8</v>
          </cell>
          <cell r="P6">
            <v>67.2</v>
          </cell>
          <cell r="Q6">
            <v>99</v>
          </cell>
          <cell r="S6">
            <v>25</v>
          </cell>
          <cell r="T6" t="str">
            <v>1</v>
          </cell>
          <cell r="U6">
            <v>1237.5</v>
          </cell>
          <cell r="V6">
            <v>1238.5999999999999</v>
          </cell>
          <cell r="W6">
            <v>737.7</v>
          </cell>
          <cell r="Y6">
            <v>3.5</v>
          </cell>
          <cell r="Z6">
            <v>1232.4000000000001</v>
          </cell>
          <cell r="AA6">
            <v>1234.2</v>
          </cell>
          <cell r="AB6">
            <v>732.3</v>
          </cell>
          <cell r="AD6">
            <v>3.3</v>
          </cell>
          <cell r="AE6">
            <v>1235.0999999999999</v>
          </cell>
          <cell r="AF6">
            <v>1236.5999999999999</v>
          </cell>
          <cell r="AG6">
            <v>735.3</v>
          </cell>
          <cell r="AI6">
            <v>3.5</v>
          </cell>
          <cell r="AK6">
            <v>1945.6066799999999</v>
          </cell>
          <cell r="AM6">
            <v>1530.5847100000001</v>
          </cell>
          <cell r="AO6">
            <v>1507.13138</v>
          </cell>
          <cell r="AP6" t="str">
            <v>Muestra tomada en la carpeta recién extendida</v>
          </cell>
          <cell r="AQ6" t="str">
            <v>-</v>
          </cell>
          <cell r="AR6">
            <v>1743</v>
          </cell>
          <cell r="AS6">
            <v>3.4</v>
          </cell>
          <cell r="AV6">
            <v>2.4560670479906328</v>
          </cell>
          <cell r="BS6">
            <v>2.5720000000000001</v>
          </cell>
        </row>
        <row r="7">
          <cell r="A7">
            <v>5</v>
          </cell>
          <cell r="B7">
            <v>40161</v>
          </cell>
          <cell r="D7">
            <v>1501.9</v>
          </cell>
          <cell r="E7">
            <v>1425.5</v>
          </cell>
          <cell r="G7" t="str">
            <v>Parcheo elaboración de fallos en vías urbanas y rurales del municipio de Medellín</v>
          </cell>
          <cell r="H7" t="str">
            <v>2//2</v>
          </cell>
          <cell r="I7">
            <v>0</v>
          </cell>
          <cell r="J7">
            <v>176.6</v>
          </cell>
          <cell r="K7">
            <v>129.1</v>
          </cell>
          <cell r="L7">
            <v>286.89999999999998</v>
          </cell>
          <cell r="M7">
            <v>317.60000000000002</v>
          </cell>
          <cell r="N7">
            <v>286.60000000000002</v>
          </cell>
          <cell r="O7">
            <v>57.4</v>
          </cell>
          <cell r="P7">
            <v>76.2</v>
          </cell>
          <cell r="Q7">
            <v>95.1</v>
          </cell>
          <cell r="S7">
            <v>25</v>
          </cell>
          <cell r="T7" t="str">
            <v>1</v>
          </cell>
          <cell r="U7">
            <v>1237</v>
          </cell>
          <cell r="V7">
            <v>1237.5</v>
          </cell>
          <cell r="W7">
            <v>736.7</v>
          </cell>
          <cell r="Y7">
            <v>3.3</v>
          </cell>
          <cell r="Z7">
            <v>1235.5999999999999</v>
          </cell>
          <cell r="AA7">
            <v>1236.2</v>
          </cell>
          <cell r="AB7">
            <v>735.6</v>
          </cell>
          <cell r="AD7">
            <v>3.1</v>
          </cell>
          <cell r="AE7">
            <v>1234</v>
          </cell>
          <cell r="AF7">
            <v>1235.0999999999999</v>
          </cell>
          <cell r="AG7">
            <v>734.5</v>
          </cell>
          <cell r="AI7">
            <v>3.3</v>
          </cell>
          <cell r="AK7">
            <v>1520.38761</v>
          </cell>
          <cell r="AM7">
            <v>1516.3087699999999</v>
          </cell>
          <cell r="AO7">
            <v>1560.1563000000001</v>
          </cell>
          <cell r="AP7" t="str">
            <v>Muestra tomada en la volqueta</v>
          </cell>
          <cell r="AQ7" t="str">
            <v>-</v>
          </cell>
          <cell r="AR7">
            <v>1611</v>
          </cell>
          <cell r="AS7">
            <v>3.2</v>
          </cell>
          <cell r="AV7">
            <v>2.4605577509610939</v>
          </cell>
          <cell r="BS7">
            <v>2.57</v>
          </cell>
        </row>
        <row r="8">
          <cell r="A8">
            <v>6</v>
          </cell>
          <cell r="B8">
            <v>40161</v>
          </cell>
          <cell r="D8">
            <v>1503.8</v>
          </cell>
          <cell r="E8">
            <v>1431.6</v>
          </cell>
          <cell r="G8" t="str">
            <v>Parcheo elaboración de fallos en vías urbanas y rurales del municipio de Medellín</v>
          </cell>
          <cell r="H8" t="str">
            <v>1/2</v>
          </cell>
          <cell r="I8">
            <v>0</v>
          </cell>
          <cell r="J8">
            <v>244.4</v>
          </cell>
          <cell r="K8">
            <v>174.7</v>
          </cell>
          <cell r="L8">
            <v>277.7</v>
          </cell>
          <cell r="M8">
            <v>282.10000000000002</v>
          </cell>
          <cell r="N8">
            <v>228.3</v>
          </cell>
          <cell r="O8">
            <v>90</v>
          </cell>
          <cell r="P8">
            <v>62.4</v>
          </cell>
          <cell r="Q8">
            <v>72</v>
          </cell>
          <cell r="S8">
            <v>25</v>
          </cell>
          <cell r="T8" t="str">
            <v>1</v>
          </cell>
          <cell r="AK8">
            <v>0</v>
          </cell>
          <cell r="AM8">
            <v>0</v>
          </cell>
          <cell r="AO8">
            <v>0</v>
          </cell>
          <cell r="AP8" t="str">
            <v>Muestra tomada en el elevador</v>
          </cell>
          <cell r="AQ8" t="str">
            <v>-</v>
          </cell>
          <cell r="AR8">
            <v>0</v>
          </cell>
          <cell r="AS8">
            <v>0</v>
          </cell>
          <cell r="AV8">
            <v>0</v>
          </cell>
          <cell r="BS8">
            <v>2.57</v>
          </cell>
        </row>
        <row r="9">
          <cell r="A9">
            <v>7</v>
          </cell>
          <cell r="B9">
            <v>40162</v>
          </cell>
          <cell r="D9">
            <v>1507.1</v>
          </cell>
          <cell r="E9">
            <v>1436.2</v>
          </cell>
          <cell r="G9" t="str">
            <v>Parcheo elaboración de fallos en vías urbanas y rurales del municipio de Medellín</v>
          </cell>
          <cell r="H9" t="str">
            <v>2/2</v>
          </cell>
          <cell r="I9">
            <v>0</v>
          </cell>
          <cell r="J9">
            <v>164.3</v>
          </cell>
          <cell r="K9">
            <v>191.7</v>
          </cell>
          <cell r="L9">
            <v>318.5</v>
          </cell>
          <cell r="M9">
            <v>322.7</v>
          </cell>
          <cell r="N9">
            <v>197.7</v>
          </cell>
          <cell r="O9">
            <v>103.1</v>
          </cell>
          <cell r="P9">
            <v>59.9</v>
          </cell>
          <cell r="Q9">
            <v>78.3</v>
          </cell>
          <cell r="S9">
            <v>25</v>
          </cell>
          <cell r="T9" t="str">
            <v>1</v>
          </cell>
          <cell r="U9">
            <v>1237</v>
          </cell>
          <cell r="V9">
            <v>1239.3</v>
          </cell>
          <cell r="W9">
            <v>732.5</v>
          </cell>
          <cell r="Y9">
            <v>2.9</v>
          </cell>
          <cell r="Z9">
            <v>1235.8</v>
          </cell>
          <cell r="AA9">
            <v>1237.9000000000001</v>
          </cell>
          <cell r="AB9">
            <v>729.6</v>
          </cell>
          <cell r="AD9">
            <v>2.7</v>
          </cell>
          <cell r="AE9">
            <v>1233.2</v>
          </cell>
          <cell r="AF9">
            <v>1235.8</v>
          </cell>
          <cell r="AG9">
            <v>728.4</v>
          </cell>
          <cell r="AI9">
            <v>3.2</v>
          </cell>
          <cell r="AK9">
            <v>1648.8710700000001</v>
          </cell>
          <cell r="AM9">
            <v>1488.7765999999999</v>
          </cell>
          <cell r="AO9">
            <v>1348.0566200000001</v>
          </cell>
          <cell r="AP9" t="str">
            <v>Muestra tomada en la volqueta</v>
          </cell>
          <cell r="AQ9" t="str">
            <v>-</v>
          </cell>
          <cell r="AR9">
            <v>1538</v>
          </cell>
          <cell r="AS9">
            <v>2.9</v>
          </cell>
          <cell r="AV9">
            <v>2.4270387809796956</v>
          </cell>
          <cell r="BS9">
            <v>2.5819999999999999</v>
          </cell>
        </row>
        <row r="10">
          <cell r="A10">
            <v>8</v>
          </cell>
          <cell r="B10">
            <v>40162</v>
          </cell>
          <cell r="D10">
            <v>1504.5</v>
          </cell>
          <cell r="E10">
            <v>1434</v>
          </cell>
          <cell r="G10" t="str">
            <v>Parcheo elaboración de fallos en vías urbanas y rurales del municipio de Medellín</v>
          </cell>
          <cell r="H10" t="str">
            <v>1/2</v>
          </cell>
          <cell r="I10">
            <v>0</v>
          </cell>
          <cell r="J10">
            <v>240.9</v>
          </cell>
          <cell r="K10">
            <v>173.2</v>
          </cell>
          <cell r="L10">
            <v>283.3</v>
          </cell>
          <cell r="M10">
            <v>304.3</v>
          </cell>
          <cell r="N10">
            <v>218.1</v>
          </cell>
          <cell r="O10">
            <v>74.8</v>
          </cell>
          <cell r="P10">
            <v>64.099999999999994</v>
          </cell>
          <cell r="Q10">
            <v>75.3</v>
          </cell>
          <cell r="S10">
            <v>25</v>
          </cell>
          <cell r="T10" t="str">
            <v>1</v>
          </cell>
          <cell r="AK10">
            <v>0</v>
          </cell>
          <cell r="AM10">
            <v>0</v>
          </cell>
          <cell r="AO10">
            <v>0</v>
          </cell>
          <cell r="AP10" t="str">
            <v>Muestra tomada en el elevador</v>
          </cell>
          <cell r="AQ10" t="str">
            <v>-</v>
          </cell>
          <cell r="AR10">
            <v>0</v>
          </cell>
          <cell r="AS10">
            <v>0</v>
          </cell>
          <cell r="AV10">
            <v>0</v>
          </cell>
          <cell r="BS10">
            <v>2.5819999999999999</v>
          </cell>
        </row>
        <row r="11">
          <cell r="A11">
            <v>9</v>
          </cell>
          <cell r="B11">
            <v>40163</v>
          </cell>
          <cell r="D11">
            <v>1505.8</v>
          </cell>
          <cell r="E11">
            <v>1435.2</v>
          </cell>
          <cell r="G11" t="str">
            <v>Parcheo elaboración de fallos en vías urbanas y rurales del municipio de Medellín.</v>
          </cell>
          <cell r="H11" t="str">
            <v>1/1</v>
          </cell>
          <cell r="I11">
            <v>0</v>
          </cell>
          <cell r="J11">
            <v>176.7</v>
          </cell>
          <cell r="K11">
            <v>135.4</v>
          </cell>
          <cell r="L11">
            <v>352.2</v>
          </cell>
          <cell r="M11">
            <v>312.3</v>
          </cell>
          <cell r="N11">
            <v>208.5</v>
          </cell>
          <cell r="O11">
            <v>78.8</v>
          </cell>
          <cell r="P11">
            <v>83</v>
          </cell>
          <cell r="Q11">
            <v>88.3</v>
          </cell>
          <cell r="S11">
            <v>25</v>
          </cell>
          <cell r="T11" t="str">
            <v>1</v>
          </cell>
          <cell r="U11">
            <v>1235.7</v>
          </cell>
          <cell r="V11">
            <v>1237</v>
          </cell>
          <cell r="W11">
            <v>735.2</v>
          </cell>
          <cell r="Y11">
            <v>3.6</v>
          </cell>
          <cell r="Z11">
            <v>1233.5999999999999</v>
          </cell>
          <cell r="AA11">
            <v>1234.3</v>
          </cell>
          <cell r="AB11">
            <v>733.7</v>
          </cell>
          <cell r="AD11">
            <v>3.3</v>
          </cell>
          <cell r="AE11">
            <v>1232.8</v>
          </cell>
          <cell r="AF11">
            <v>1233.8</v>
          </cell>
          <cell r="AG11">
            <v>736</v>
          </cell>
          <cell r="AI11">
            <v>3.6</v>
          </cell>
          <cell r="AK11">
            <v>1673.34411</v>
          </cell>
          <cell r="AM11">
            <v>1565.25485</v>
          </cell>
          <cell r="AO11">
            <v>1917.0548000000001</v>
          </cell>
          <cell r="AP11" t="str">
            <v>Muestra tomada en el elevador</v>
          </cell>
          <cell r="AQ11" t="str">
            <v>-</v>
          </cell>
          <cell r="AR11">
            <v>1811</v>
          </cell>
          <cell r="AS11">
            <v>3.5</v>
          </cell>
          <cell r="AV11">
            <v>2.4605399301364783</v>
          </cell>
          <cell r="BS11">
            <v>2.5880000000000001</v>
          </cell>
        </row>
        <row r="12">
          <cell r="A12">
            <v>10</v>
          </cell>
          <cell r="B12">
            <v>40164</v>
          </cell>
          <cell r="D12">
            <v>1501.2</v>
          </cell>
          <cell r="E12">
            <v>1428.9</v>
          </cell>
          <cell r="G12" t="str">
            <v>Parcheo elaboración de fallos en vías urbanas y rurales del municipio de Medellín.</v>
          </cell>
          <cell r="H12" t="str">
            <v>1/2</v>
          </cell>
          <cell r="I12">
            <v>0</v>
          </cell>
          <cell r="J12">
            <v>192.9</v>
          </cell>
          <cell r="K12">
            <v>142.80000000000001</v>
          </cell>
          <cell r="L12">
            <v>296.39999999999998</v>
          </cell>
          <cell r="M12">
            <v>328.7</v>
          </cell>
          <cell r="N12">
            <v>227.5</v>
          </cell>
          <cell r="O12">
            <v>76.099999999999994</v>
          </cell>
          <cell r="P12">
            <v>68.2</v>
          </cell>
          <cell r="Q12">
            <v>96.3</v>
          </cell>
          <cell r="S12">
            <v>25</v>
          </cell>
          <cell r="T12" t="str">
            <v>1</v>
          </cell>
          <cell r="U12">
            <v>1241.3</v>
          </cell>
          <cell r="V12">
            <v>1242.2</v>
          </cell>
          <cell r="W12">
            <v>739.8</v>
          </cell>
          <cell r="Y12">
            <v>3.65</v>
          </cell>
          <cell r="Z12">
            <v>1237.7</v>
          </cell>
          <cell r="AA12">
            <v>1238.5</v>
          </cell>
          <cell r="AB12">
            <v>737.7</v>
          </cell>
          <cell r="AD12">
            <v>3.2</v>
          </cell>
          <cell r="AE12">
            <v>1234.5</v>
          </cell>
          <cell r="AF12">
            <v>1235.4000000000001</v>
          </cell>
          <cell r="AG12">
            <v>735.2</v>
          </cell>
          <cell r="AI12">
            <v>3.1</v>
          </cell>
          <cell r="AK12">
            <v>2114.8785399999997</v>
          </cell>
          <cell r="AM12">
            <v>1737.58584</v>
          </cell>
          <cell r="AO12">
            <v>1731.46758</v>
          </cell>
          <cell r="AP12" t="str">
            <v>Muestra tomada en la volqueta</v>
          </cell>
          <cell r="AQ12" t="str">
            <v>-</v>
          </cell>
          <cell r="AR12">
            <v>1953</v>
          </cell>
          <cell r="AS12">
            <v>3.3</v>
          </cell>
          <cell r="AV12">
            <v>2.4628413652598411</v>
          </cell>
          <cell r="BS12">
            <v>2.5750000000000002</v>
          </cell>
        </row>
        <row r="13">
          <cell r="A13">
            <v>11</v>
          </cell>
          <cell r="B13">
            <v>40164</v>
          </cell>
          <cell r="D13">
            <v>1502</v>
          </cell>
          <cell r="E13">
            <v>1429.7</v>
          </cell>
          <cell r="G13" t="str">
            <v>Parcheo elaboración de fallos en vías urbanas y rurales del municipio de Medellín.</v>
          </cell>
          <cell r="H13" t="str">
            <v>2/2</v>
          </cell>
          <cell r="I13">
            <v>0</v>
          </cell>
          <cell r="J13">
            <v>155.6</v>
          </cell>
          <cell r="K13">
            <v>158.19999999999999</v>
          </cell>
          <cell r="L13">
            <v>328.8</v>
          </cell>
          <cell r="M13">
            <v>324.60000000000002</v>
          </cell>
          <cell r="N13">
            <v>225.7</v>
          </cell>
          <cell r="O13">
            <v>75.7</v>
          </cell>
          <cell r="P13">
            <v>67.400000000000006</v>
          </cell>
          <cell r="Q13">
            <v>93.7</v>
          </cell>
          <cell r="S13">
            <v>25</v>
          </cell>
          <cell r="T13" t="str">
            <v>1</v>
          </cell>
          <cell r="AK13">
            <v>0</v>
          </cell>
          <cell r="AM13">
            <v>0</v>
          </cell>
          <cell r="AO13">
            <v>0</v>
          </cell>
          <cell r="AP13" t="str">
            <v>Muestra tomada en el elevador</v>
          </cell>
          <cell r="AQ13" t="str">
            <v>-</v>
          </cell>
          <cell r="AR13">
            <v>0</v>
          </cell>
          <cell r="AS13">
            <v>0</v>
          </cell>
          <cell r="AV13">
            <v>0</v>
          </cell>
          <cell r="BS13">
            <v>2.5750000000000002</v>
          </cell>
        </row>
        <row r="14">
          <cell r="A14">
            <v>12</v>
          </cell>
          <cell r="B14">
            <v>40165</v>
          </cell>
          <cell r="D14">
            <v>1500.5</v>
          </cell>
          <cell r="E14">
            <v>1422</v>
          </cell>
          <cell r="G14" t="str">
            <v>Parcheo elaboración de fallos en vías urbanas y rurales del municipio de Medellín.</v>
          </cell>
          <cell r="H14" t="str">
            <v>1/2</v>
          </cell>
          <cell r="I14">
            <v>0</v>
          </cell>
          <cell r="J14">
            <v>148.69999999999999</v>
          </cell>
          <cell r="K14">
            <v>168.8</v>
          </cell>
          <cell r="L14">
            <v>291.89999999999998</v>
          </cell>
          <cell r="M14">
            <v>327.7</v>
          </cell>
          <cell r="N14">
            <v>249.6</v>
          </cell>
          <cell r="O14">
            <v>80.7</v>
          </cell>
          <cell r="P14">
            <v>60.6</v>
          </cell>
          <cell r="Q14">
            <v>94</v>
          </cell>
          <cell r="S14">
            <v>25</v>
          </cell>
          <cell r="T14" t="str">
            <v>1</v>
          </cell>
          <cell r="U14">
            <v>1241.9000000000001</v>
          </cell>
          <cell r="V14">
            <v>1242.7</v>
          </cell>
          <cell r="W14">
            <v>737.7</v>
          </cell>
          <cell r="Y14">
            <v>3.6</v>
          </cell>
          <cell r="Z14">
            <v>1238.8</v>
          </cell>
          <cell r="AA14">
            <v>1239.3</v>
          </cell>
          <cell r="AB14">
            <v>737.3</v>
          </cell>
          <cell r="AD14">
            <v>3.58</v>
          </cell>
          <cell r="AE14">
            <v>1246.8</v>
          </cell>
          <cell r="AF14">
            <v>1247.5</v>
          </cell>
          <cell r="AG14">
            <v>740.3</v>
          </cell>
          <cell r="AI14">
            <v>3.49</v>
          </cell>
          <cell r="AK14">
            <v>1807.9458300000001</v>
          </cell>
          <cell r="AM14">
            <v>1854.8524900000002</v>
          </cell>
          <cell r="AO14">
            <v>1750.8420700000001</v>
          </cell>
          <cell r="AP14" t="str">
            <v>Muestra tomada en la volqueta</v>
          </cell>
          <cell r="AQ14" t="str">
            <v>-</v>
          </cell>
          <cell r="AR14">
            <v>1873</v>
          </cell>
          <cell r="AS14">
            <v>3.6</v>
          </cell>
          <cell r="AV14">
            <v>2.4545124553091937</v>
          </cell>
          <cell r="BS14">
            <v>2.569</v>
          </cell>
        </row>
        <row r="15">
          <cell r="A15">
            <v>13</v>
          </cell>
          <cell r="B15">
            <v>40165</v>
          </cell>
          <cell r="D15">
            <v>1500</v>
          </cell>
          <cell r="E15">
            <v>1421</v>
          </cell>
          <cell r="G15" t="str">
            <v>Parcheo elaboración de fallos en vías urbanas y rurales del municipio de Medellín.</v>
          </cell>
          <cell r="H15" t="str">
            <v>2/2</v>
          </cell>
          <cell r="I15">
            <v>0</v>
          </cell>
          <cell r="J15">
            <v>185.7</v>
          </cell>
          <cell r="K15">
            <v>121</v>
          </cell>
          <cell r="L15">
            <v>292.7</v>
          </cell>
          <cell r="M15">
            <v>319.3</v>
          </cell>
          <cell r="N15">
            <v>254.1</v>
          </cell>
          <cell r="O15">
            <v>85</v>
          </cell>
          <cell r="P15">
            <v>75.400000000000006</v>
          </cell>
          <cell r="Q15">
            <v>87.8</v>
          </cell>
          <cell r="S15">
            <v>25</v>
          </cell>
          <cell r="T15" t="str">
            <v>1</v>
          </cell>
          <cell r="U15">
            <v>1237</v>
          </cell>
          <cell r="V15">
            <v>1237.8</v>
          </cell>
          <cell r="W15">
            <v>734.5</v>
          </cell>
          <cell r="Y15">
            <v>3.4</v>
          </cell>
          <cell r="Z15">
            <v>1238.5999999999999</v>
          </cell>
          <cell r="AA15">
            <v>1239.0999999999999</v>
          </cell>
          <cell r="AB15">
            <v>735.5</v>
          </cell>
          <cell r="AD15">
            <v>3.5</v>
          </cell>
          <cell r="AE15">
            <v>1235.7</v>
          </cell>
          <cell r="AF15">
            <v>1236.2</v>
          </cell>
          <cell r="AG15">
            <v>733.8</v>
          </cell>
          <cell r="AI15">
            <v>3.3</v>
          </cell>
          <cell r="AK15">
            <v>1998.6316000000002</v>
          </cell>
          <cell r="AM15">
            <v>1929.2913200000003</v>
          </cell>
          <cell r="AO15">
            <v>1784.4925000000001</v>
          </cell>
          <cell r="AP15" t="str">
            <v>Muestra tomada en el elevador</v>
          </cell>
          <cell r="AQ15" t="str">
            <v>-</v>
          </cell>
          <cell r="AR15">
            <v>1986</v>
          </cell>
          <cell r="AS15">
            <v>3.4</v>
          </cell>
          <cell r="AV15">
            <v>2.451762313980387</v>
          </cell>
          <cell r="BS15">
            <v>2.5642</v>
          </cell>
        </row>
        <row r="16">
          <cell r="A16">
            <v>14</v>
          </cell>
          <cell r="B16">
            <v>40168</v>
          </cell>
          <cell r="D16">
            <v>1502.2</v>
          </cell>
          <cell r="E16">
            <v>1428.2</v>
          </cell>
          <cell r="G16" t="str">
            <v>Parcheo elaboración de fallos en vías urbanas y rurales del municipio de Medellín.</v>
          </cell>
          <cell r="H16" t="str">
            <v>1/2</v>
          </cell>
          <cell r="I16">
            <v>0</v>
          </cell>
          <cell r="J16">
            <v>152.6</v>
          </cell>
          <cell r="K16">
            <v>142.69999999999999</v>
          </cell>
          <cell r="L16">
            <v>329.9</v>
          </cell>
          <cell r="M16">
            <v>322.3</v>
          </cell>
          <cell r="N16">
            <v>234.4</v>
          </cell>
          <cell r="O16">
            <v>82.7</v>
          </cell>
          <cell r="P16">
            <v>72.7</v>
          </cell>
          <cell r="Q16">
            <v>90.9</v>
          </cell>
          <cell r="S16">
            <v>25</v>
          </cell>
          <cell r="T16" t="str">
            <v>1</v>
          </cell>
          <cell r="U16">
            <v>1242.4000000000001</v>
          </cell>
          <cell r="V16">
            <v>1243.3</v>
          </cell>
          <cell r="W16">
            <v>735.7</v>
          </cell>
          <cell r="Y16">
            <v>3.7</v>
          </cell>
          <cell r="Z16">
            <v>1239.5999999999999</v>
          </cell>
          <cell r="AA16">
            <v>1241.7</v>
          </cell>
          <cell r="AB16">
            <v>735.3</v>
          </cell>
          <cell r="AD16">
            <v>3.3</v>
          </cell>
          <cell r="AE16">
            <v>1238.7</v>
          </cell>
          <cell r="AF16">
            <v>1239.4000000000001</v>
          </cell>
          <cell r="AG16">
            <v>736.5</v>
          </cell>
          <cell r="AI16">
            <v>3.5</v>
          </cell>
          <cell r="AK16">
            <v>1670.2849799999999</v>
          </cell>
          <cell r="AM16">
            <v>1440.8502300000002</v>
          </cell>
          <cell r="AO16">
            <v>1593.8067300000002</v>
          </cell>
          <cell r="AP16" t="str">
            <v>Muestra tomada en la volqueta</v>
          </cell>
          <cell r="AQ16" t="str">
            <v>-</v>
          </cell>
          <cell r="AR16">
            <v>1622</v>
          </cell>
          <cell r="AS16">
            <v>3.5</v>
          </cell>
          <cell r="AV16">
            <v>2.4456846434851696</v>
          </cell>
          <cell r="BS16">
            <v>2.5834000000000001</v>
          </cell>
        </row>
        <row r="17">
          <cell r="A17">
            <v>15</v>
          </cell>
          <cell r="B17">
            <v>40168</v>
          </cell>
          <cell r="D17">
            <v>1500.5</v>
          </cell>
          <cell r="E17">
            <v>1422.2</v>
          </cell>
          <cell r="G17" t="str">
            <v>Parcheo elaboración de fallos en vías urbanas y rurales del municipio de Medellín.</v>
          </cell>
          <cell r="H17" t="str">
            <v>2/2</v>
          </cell>
          <cell r="I17">
            <v>0</v>
          </cell>
          <cell r="J17">
            <v>159.19999999999999</v>
          </cell>
          <cell r="K17">
            <v>140.6</v>
          </cell>
          <cell r="L17">
            <v>324.10000000000002</v>
          </cell>
          <cell r="M17">
            <v>315.7</v>
          </cell>
          <cell r="N17">
            <v>235.1</v>
          </cell>
          <cell r="O17">
            <v>80</v>
          </cell>
          <cell r="P17">
            <v>68.7</v>
          </cell>
          <cell r="Q17">
            <v>98.8</v>
          </cell>
          <cell r="S17">
            <v>25</v>
          </cell>
          <cell r="T17" t="str">
            <v>1</v>
          </cell>
          <cell r="AK17">
            <v>0</v>
          </cell>
          <cell r="AM17">
            <v>0</v>
          </cell>
          <cell r="AO17">
            <v>0</v>
          </cell>
          <cell r="AP17" t="str">
            <v>Muestra tomada en el elevador</v>
          </cell>
          <cell r="AQ17" t="str">
            <v>-</v>
          </cell>
          <cell r="AR17">
            <v>0</v>
          </cell>
          <cell r="AS17">
            <v>0</v>
          </cell>
          <cell r="AV17">
            <v>0</v>
          </cell>
          <cell r="BS17">
            <v>2.569</v>
          </cell>
        </row>
        <row r="18">
          <cell r="A18">
            <v>16</v>
          </cell>
          <cell r="B18">
            <v>40169</v>
          </cell>
          <cell r="D18">
            <v>1503.5</v>
          </cell>
          <cell r="E18">
            <v>1426.1</v>
          </cell>
          <cell r="G18" t="str">
            <v>Parcheo elaboración de fallos en vías urbanas y rurales del municipio de Medellín.</v>
          </cell>
          <cell r="H18" t="str">
            <v>1/2</v>
          </cell>
          <cell r="I18">
            <v>0</v>
          </cell>
          <cell r="J18">
            <v>143</v>
          </cell>
          <cell r="K18">
            <v>124.5</v>
          </cell>
          <cell r="L18">
            <v>299.10000000000002</v>
          </cell>
          <cell r="M18">
            <v>332.2</v>
          </cell>
          <cell r="N18">
            <v>267.60000000000002</v>
          </cell>
          <cell r="O18">
            <v>82.3</v>
          </cell>
          <cell r="P18">
            <v>76.7</v>
          </cell>
          <cell r="Q18">
            <v>100.7</v>
          </cell>
          <cell r="S18">
            <v>25</v>
          </cell>
          <cell r="T18" t="str">
            <v>1</v>
          </cell>
          <cell r="U18">
            <v>1237.4000000000001</v>
          </cell>
          <cell r="V18">
            <v>1239.8</v>
          </cell>
          <cell r="W18">
            <v>733.8</v>
          </cell>
          <cell r="Y18">
            <v>3.1</v>
          </cell>
          <cell r="Z18">
            <v>1239.2</v>
          </cell>
          <cell r="AA18">
            <v>1240.5999999999999</v>
          </cell>
          <cell r="AB18">
            <v>737</v>
          </cell>
          <cell r="AD18">
            <v>3.5</v>
          </cell>
          <cell r="AE18">
            <v>1238.2</v>
          </cell>
          <cell r="AF18">
            <v>1240.0999999999999</v>
          </cell>
          <cell r="AG18">
            <v>737</v>
          </cell>
          <cell r="AI18">
            <v>2.8</v>
          </cell>
          <cell r="AK18">
            <v>1513.24964</v>
          </cell>
          <cell r="AM18">
            <v>1735.5464200000001</v>
          </cell>
          <cell r="AO18">
            <v>1668.2455600000001</v>
          </cell>
          <cell r="AP18" t="str">
            <v>Muestra tomada en la volqueta</v>
          </cell>
          <cell r="AQ18" t="str">
            <v>-</v>
          </cell>
          <cell r="AR18">
            <v>1704</v>
          </cell>
          <cell r="AS18">
            <v>3.1</v>
          </cell>
          <cell r="AV18">
            <v>2.4485764212512198</v>
          </cell>
          <cell r="BS18">
            <v>2.5750000000000002</v>
          </cell>
        </row>
        <row r="19">
          <cell r="A19">
            <v>17</v>
          </cell>
          <cell r="B19">
            <v>40169</v>
          </cell>
          <cell r="D19">
            <v>1503</v>
          </cell>
          <cell r="E19">
            <v>1427.9</v>
          </cell>
          <cell r="G19" t="str">
            <v>Parcheo elaboración de fallos en vías urbanas y rurales del municipio de Medellín.</v>
          </cell>
          <cell r="H19" t="str">
            <v>2/2</v>
          </cell>
          <cell r="I19">
            <v>0</v>
          </cell>
          <cell r="J19">
            <v>177.7</v>
          </cell>
          <cell r="K19">
            <v>101.5</v>
          </cell>
          <cell r="L19">
            <v>345.5</v>
          </cell>
          <cell r="M19">
            <v>319.8</v>
          </cell>
          <cell r="N19">
            <v>228</v>
          </cell>
          <cell r="O19">
            <v>77.3</v>
          </cell>
          <cell r="P19">
            <v>75.400000000000006</v>
          </cell>
          <cell r="Q19">
            <v>102.7</v>
          </cell>
          <cell r="S19">
            <v>25</v>
          </cell>
          <cell r="T19" t="str">
            <v>1</v>
          </cell>
          <cell r="U19">
            <v>1236.3</v>
          </cell>
          <cell r="V19">
            <v>1236.7</v>
          </cell>
          <cell r="W19">
            <v>738.1</v>
          </cell>
          <cell r="Y19">
            <v>3.2</v>
          </cell>
          <cell r="Z19">
            <v>1237.3</v>
          </cell>
          <cell r="AA19">
            <v>1238.5</v>
          </cell>
          <cell r="AB19">
            <v>734.6</v>
          </cell>
          <cell r="AD19">
            <v>3.2</v>
          </cell>
          <cell r="AE19">
            <v>1235.5</v>
          </cell>
          <cell r="AF19">
            <v>1237.0999999999999</v>
          </cell>
          <cell r="AG19">
            <v>733.9</v>
          </cell>
          <cell r="AI19">
            <v>3.5</v>
          </cell>
          <cell r="AK19">
            <v>1872.1875600000001</v>
          </cell>
          <cell r="AM19">
            <v>1588.7081800000001</v>
          </cell>
          <cell r="AO19">
            <v>1417.3969000000002</v>
          </cell>
          <cell r="AP19" t="str">
            <v>Muestra tomada en el elevador</v>
          </cell>
          <cell r="AQ19" t="str">
            <v>-</v>
          </cell>
          <cell r="AR19">
            <v>1704</v>
          </cell>
          <cell r="AS19">
            <v>3.3</v>
          </cell>
          <cell r="AV19">
            <v>2.4562199463666623</v>
          </cell>
          <cell r="BS19">
            <v>2.5750000000000002</v>
          </cell>
        </row>
        <row r="20">
          <cell r="A20">
            <v>18</v>
          </cell>
          <cell r="B20">
            <v>40170</v>
          </cell>
          <cell r="D20">
            <v>1502.2</v>
          </cell>
          <cell r="E20">
            <v>1424.1</v>
          </cell>
          <cell r="G20" t="str">
            <v>Parcheo elaboración de fallos en vías urbanas y rurales del municipio de Medellín.</v>
          </cell>
          <cell r="H20" t="str">
            <v>1/1</v>
          </cell>
          <cell r="I20">
            <v>0</v>
          </cell>
          <cell r="J20">
            <v>101.1</v>
          </cell>
          <cell r="K20">
            <v>122.2</v>
          </cell>
          <cell r="L20">
            <v>364.3</v>
          </cell>
          <cell r="M20">
            <v>325.39999999999998</v>
          </cell>
          <cell r="N20">
            <v>266.89999999999998</v>
          </cell>
          <cell r="O20">
            <v>80.7</v>
          </cell>
          <cell r="P20">
            <v>70</v>
          </cell>
          <cell r="Q20">
            <v>93.5</v>
          </cell>
          <cell r="S20">
            <v>25</v>
          </cell>
          <cell r="T20" t="str">
            <v>1</v>
          </cell>
          <cell r="U20">
            <v>1240.0999999999999</v>
          </cell>
          <cell r="V20">
            <v>1240.8</v>
          </cell>
          <cell r="W20">
            <v>738.8</v>
          </cell>
          <cell r="Y20">
            <v>3.4</v>
          </cell>
          <cell r="Z20">
            <v>1243.3</v>
          </cell>
          <cell r="AA20">
            <v>1244.2</v>
          </cell>
          <cell r="AB20">
            <v>738.4</v>
          </cell>
          <cell r="AD20">
            <v>3.2</v>
          </cell>
          <cell r="AE20">
            <v>1235.9000000000001</v>
          </cell>
          <cell r="AF20">
            <v>1236.9000000000001</v>
          </cell>
          <cell r="AG20">
            <v>736.3</v>
          </cell>
          <cell r="AI20">
            <v>3.6</v>
          </cell>
          <cell r="AK20">
            <v>1625.4177400000001</v>
          </cell>
          <cell r="AM20">
            <v>1776.3348200000003</v>
          </cell>
          <cell r="AO20">
            <v>1632.5557100000003</v>
          </cell>
          <cell r="AP20" t="str">
            <v>Muestra tomada en la volqueta</v>
          </cell>
          <cell r="AQ20" t="str">
            <v>-</v>
          </cell>
          <cell r="AR20">
            <v>1752</v>
          </cell>
          <cell r="AS20">
            <v>3.4</v>
          </cell>
          <cell r="AV20">
            <v>2.4585351288392143</v>
          </cell>
          <cell r="BS20">
            <v>2.569</v>
          </cell>
        </row>
        <row r="21">
          <cell r="A21">
            <v>19</v>
          </cell>
          <cell r="B21">
            <v>40190</v>
          </cell>
          <cell r="D21">
            <v>1493.8</v>
          </cell>
          <cell r="E21">
            <v>1415.3</v>
          </cell>
          <cell r="G21" t="str">
            <v>Parcheo elaboración de fallos en vías urbanas y rurales del municipio de Medellín.</v>
          </cell>
          <cell r="H21" t="str">
            <v>1/2</v>
          </cell>
          <cell r="I21">
            <v>0</v>
          </cell>
          <cell r="J21">
            <v>144</v>
          </cell>
          <cell r="K21">
            <v>182.4</v>
          </cell>
          <cell r="L21">
            <v>270.39999999999998</v>
          </cell>
          <cell r="M21">
            <v>318.2</v>
          </cell>
          <cell r="N21">
            <v>268.8</v>
          </cell>
          <cell r="O21">
            <v>83.7</v>
          </cell>
          <cell r="P21">
            <v>64.400000000000006</v>
          </cell>
          <cell r="Q21">
            <v>83.4</v>
          </cell>
          <cell r="S21">
            <v>25</v>
          </cell>
          <cell r="T21" t="str">
            <v>1</v>
          </cell>
          <cell r="U21">
            <v>1238.9000000000001</v>
          </cell>
          <cell r="V21">
            <v>1239.4000000000001</v>
          </cell>
          <cell r="W21">
            <v>735.5</v>
          </cell>
          <cell r="Y21">
            <v>3.7</v>
          </cell>
          <cell r="Z21">
            <v>1240.3</v>
          </cell>
          <cell r="AA21">
            <v>1240.9000000000001</v>
          </cell>
          <cell r="AB21">
            <v>737.1</v>
          </cell>
          <cell r="AD21">
            <v>3.1</v>
          </cell>
          <cell r="AE21">
            <v>1239.8</v>
          </cell>
          <cell r="AF21">
            <v>1240.8</v>
          </cell>
          <cell r="AG21">
            <v>735.4</v>
          </cell>
          <cell r="AI21">
            <v>3.3</v>
          </cell>
          <cell r="AK21">
            <v>1596.8658600000001</v>
          </cell>
          <cell r="AM21">
            <v>1488.7765999999999</v>
          </cell>
          <cell r="AO21">
            <v>1389.8647300000002</v>
          </cell>
          <cell r="AP21" t="str">
            <v>Muestra tomada en el elevador</v>
          </cell>
          <cell r="AQ21" t="str">
            <v>-</v>
          </cell>
          <cell r="AR21">
            <v>1550</v>
          </cell>
          <cell r="AS21">
            <v>3.4</v>
          </cell>
          <cell r="AV21">
            <v>2.4506836655356228</v>
          </cell>
          <cell r="BS21">
            <v>2.5619999999999998</v>
          </cell>
        </row>
        <row r="22">
          <cell r="A22">
            <v>20</v>
          </cell>
          <cell r="B22">
            <v>40190</v>
          </cell>
          <cell r="D22">
            <v>1502.4</v>
          </cell>
          <cell r="E22">
            <v>1426.5</v>
          </cell>
          <cell r="G22" t="str">
            <v>Parcheo elaboración de fallos en vías urbanas y rurales del municipio de Medellín.</v>
          </cell>
          <cell r="H22" t="str">
            <v>2/2</v>
          </cell>
          <cell r="I22">
            <v>0</v>
          </cell>
          <cell r="J22">
            <v>177</v>
          </cell>
          <cell r="K22">
            <v>211.5</v>
          </cell>
          <cell r="L22">
            <v>242.7</v>
          </cell>
          <cell r="M22">
            <v>342.4</v>
          </cell>
          <cell r="N22">
            <v>223.2</v>
          </cell>
          <cell r="O22">
            <v>76.7</v>
          </cell>
          <cell r="P22">
            <v>68.900000000000006</v>
          </cell>
          <cell r="Q22">
            <v>84.1</v>
          </cell>
          <cell r="S22">
            <v>25</v>
          </cell>
          <cell r="T22" t="str">
            <v>1</v>
          </cell>
          <cell r="AK22">
            <v>0</v>
          </cell>
          <cell r="AM22">
            <v>0</v>
          </cell>
          <cell r="AO22">
            <v>0</v>
          </cell>
          <cell r="AP22" t="str">
            <v>Muestra tomada en la volqueta</v>
          </cell>
          <cell r="AQ22" t="str">
            <v>-</v>
          </cell>
          <cell r="AR22">
            <v>0</v>
          </cell>
          <cell r="AS22">
            <v>0</v>
          </cell>
          <cell r="AV22">
            <v>0</v>
          </cell>
          <cell r="BS22">
            <v>2.5737999999999999</v>
          </cell>
        </row>
        <row r="23">
          <cell r="A23">
            <v>21</v>
          </cell>
          <cell r="B23">
            <v>40191</v>
          </cell>
          <cell r="D23">
            <v>1499.2</v>
          </cell>
          <cell r="E23">
            <v>1419.6</v>
          </cell>
          <cell r="G23" t="str">
            <v>Parcheo elaboración de fallos en vías urbanas y rurales del municipio de Medellín.</v>
          </cell>
          <cell r="H23" t="str">
            <v>1/2</v>
          </cell>
          <cell r="I23">
            <v>0</v>
          </cell>
          <cell r="J23">
            <v>207</v>
          </cell>
          <cell r="K23">
            <v>136.30000000000001</v>
          </cell>
          <cell r="L23">
            <v>263.89999999999998</v>
          </cell>
          <cell r="M23">
            <v>314.39999999999998</v>
          </cell>
          <cell r="N23">
            <v>244.5</v>
          </cell>
          <cell r="O23">
            <v>87.4</v>
          </cell>
          <cell r="P23">
            <v>74.8</v>
          </cell>
          <cell r="Q23">
            <v>91.3</v>
          </cell>
          <cell r="S23">
            <v>25</v>
          </cell>
          <cell r="T23" t="str">
            <v>1</v>
          </cell>
          <cell r="U23">
            <v>1237.5999999999999</v>
          </cell>
          <cell r="V23">
            <v>1238.7</v>
          </cell>
          <cell r="W23">
            <v>734.5</v>
          </cell>
          <cell r="Y23">
            <v>3.4</v>
          </cell>
          <cell r="Z23">
            <v>1239.8</v>
          </cell>
          <cell r="AA23">
            <v>1240.3</v>
          </cell>
          <cell r="AB23">
            <v>733.1</v>
          </cell>
          <cell r="AD23">
            <v>3.7</v>
          </cell>
          <cell r="AE23">
            <v>1238.9000000000001</v>
          </cell>
          <cell r="AF23">
            <v>1239.9000000000001</v>
          </cell>
          <cell r="AG23">
            <v>735</v>
          </cell>
          <cell r="AI23">
            <v>3.3</v>
          </cell>
          <cell r="AK23">
            <v>1790.61076</v>
          </cell>
          <cell r="AM23">
            <v>1891.5620500000002</v>
          </cell>
          <cell r="AO23">
            <v>1506.11167</v>
          </cell>
          <cell r="AP23" t="str">
            <v>Muestra tomada en el elevador</v>
          </cell>
          <cell r="AQ23" t="str">
            <v>-</v>
          </cell>
          <cell r="AR23">
            <v>1790</v>
          </cell>
          <cell r="AS23">
            <v>3.5</v>
          </cell>
          <cell r="AV23">
            <v>2.4437428712346856</v>
          </cell>
          <cell r="BS23">
            <v>2.5569999999999999</v>
          </cell>
        </row>
        <row r="24">
          <cell r="A24">
            <v>22</v>
          </cell>
          <cell r="B24">
            <v>40191</v>
          </cell>
          <cell r="D24">
            <v>1493.4</v>
          </cell>
          <cell r="E24">
            <v>1415.5</v>
          </cell>
          <cell r="G24" t="str">
            <v>Parcheo elaboración de fallos en vías urbanas y rurales del municipio de Medellín.</v>
          </cell>
          <cell r="H24" t="str">
            <v>2/2</v>
          </cell>
          <cell r="I24">
            <v>0</v>
          </cell>
          <cell r="J24">
            <v>205.3</v>
          </cell>
          <cell r="K24">
            <v>168.7</v>
          </cell>
          <cell r="L24">
            <v>235.8</v>
          </cell>
          <cell r="M24">
            <v>311</v>
          </cell>
          <cell r="N24">
            <v>240.8</v>
          </cell>
          <cell r="O24">
            <v>82.5</v>
          </cell>
          <cell r="P24">
            <v>81</v>
          </cell>
          <cell r="Q24">
            <v>90.4</v>
          </cell>
          <cell r="S24">
            <v>25</v>
          </cell>
          <cell r="T24" t="str">
            <v>1</v>
          </cell>
          <cell r="AK24">
            <v>0</v>
          </cell>
          <cell r="AM24">
            <v>0</v>
          </cell>
          <cell r="AO24">
            <v>0</v>
          </cell>
          <cell r="AP24" t="str">
            <v>Muestra tomada en la volqueta</v>
          </cell>
          <cell r="AQ24" t="str">
            <v>-</v>
          </cell>
          <cell r="AR24">
            <v>0</v>
          </cell>
          <cell r="AS24">
            <v>0</v>
          </cell>
          <cell r="AV24">
            <v>0</v>
          </cell>
          <cell r="BS24">
            <v>2.569</v>
          </cell>
        </row>
        <row r="25">
          <cell r="A25">
            <v>23</v>
          </cell>
          <cell r="B25">
            <v>40192</v>
          </cell>
          <cell r="D25">
            <v>1501.8</v>
          </cell>
          <cell r="E25">
            <v>1426.4</v>
          </cell>
          <cell r="G25" t="str">
            <v>Parcheo elaboración de fallos en vías urbanas y rurales del municipio de Medellín.</v>
          </cell>
          <cell r="H25" t="str">
            <v>1/2</v>
          </cell>
          <cell r="I25">
            <v>0</v>
          </cell>
          <cell r="J25">
            <v>165.2</v>
          </cell>
          <cell r="K25">
            <v>177.2</v>
          </cell>
          <cell r="L25">
            <v>268.8</v>
          </cell>
          <cell r="M25">
            <v>305.5</v>
          </cell>
          <cell r="N25">
            <v>252.2</v>
          </cell>
          <cell r="O25">
            <v>88.1</v>
          </cell>
          <cell r="P25">
            <v>79.2</v>
          </cell>
          <cell r="Q25">
            <v>90.2</v>
          </cell>
          <cell r="S25">
            <v>25</v>
          </cell>
          <cell r="T25" t="str">
            <v>1</v>
          </cell>
          <cell r="U25">
            <v>1235.7</v>
          </cell>
          <cell r="V25">
            <v>1236.5999999999999</v>
          </cell>
          <cell r="W25">
            <v>735.6</v>
          </cell>
          <cell r="Y25">
            <v>3.1</v>
          </cell>
          <cell r="Z25">
            <v>1238.2</v>
          </cell>
          <cell r="AA25">
            <v>1239.0999999999999</v>
          </cell>
          <cell r="AB25">
            <v>740.4</v>
          </cell>
          <cell r="AD25">
            <v>3.3</v>
          </cell>
          <cell r="AE25">
            <v>1236.8</v>
          </cell>
          <cell r="AF25">
            <v>1237.8</v>
          </cell>
          <cell r="AG25">
            <v>735.8</v>
          </cell>
          <cell r="AI25">
            <v>3.4</v>
          </cell>
          <cell r="AK25">
            <v>1731.46758</v>
          </cell>
          <cell r="AM25">
            <v>1792.6501799999999</v>
          </cell>
          <cell r="AO25">
            <v>1625.4177400000001</v>
          </cell>
          <cell r="AP25" t="str">
            <v>Muestra tomada en el elevador</v>
          </cell>
          <cell r="AQ25" t="str">
            <v>-</v>
          </cell>
          <cell r="AR25">
            <v>1806</v>
          </cell>
          <cell r="AS25">
            <v>3.3</v>
          </cell>
          <cell r="AV25">
            <v>2.4637947624749397</v>
          </cell>
          <cell r="BS25">
            <v>2.58</v>
          </cell>
        </row>
        <row r="26">
          <cell r="A26">
            <v>24</v>
          </cell>
          <cell r="B26">
            <v>40192</v>
          </cell>
          <cell r="D26">
            <v>1498.5</v>
          </cell>
          <cell r="E26">
            <v>1419.5</v>
          </cell>
          <cell r="G26" t="str">
            <v>Parcheo elaboración de fallos en vías urbanas y rurales del municipio de Medellín.</v>
          </cell>
          <cell r="H26" t="str">
            <v>2/2</v>
          </cell>
          <cell r="I26">
            <v>0</v>
          </cell>
          <cell r="J26">
            <v>190</v>
          </cell>
          <cell r="K26">
            <v>175.1</v>
          </cell>
          <cell r="L26">
            <v>256.60000000000002</v>
          </cell>
          <cell r="M26">
            <v>305.5</v>
          </cell>
          <cell r="N26">
            <v>247.2</v>
          </cell>
          <cell r="O26">
            <v>79.2</v>
          </cell>
          <cell r="P26">
            <v>80.2</v>
          </cell>
          <cell r="Q26">
            <v>85.7</v>
          </cell>
          <cell r="S26">
            <v>25</v>
          </cell>
          <cell r="T26" t="str">
            <v>1</v>
          </cell>
          <cell r="AK26">
            <v>0</v>
          </cell>
          <cell r="AM26">
            <v>0</v>
          </cell>
          <cell r="AO26">
            <v>0</v>
          </cell>
          <cell r="AP26" t="str">
            <v>Muestra tomada en la volqueta</v>
          </cell>
          <cell r="AQ26" t="str">
            <v>-</v>
          </cell>
          <cell r="AR26">
            <v>0</v>
          </cell>
          <cell r="AS26">
            <v>0</v>
          </cell>
          <cell r="AV26">
            <v>0</v>
          </cell>
          <cell r="BS26">
            <v>2.58</v>
          </cell>
        </row>
        <row r="27">
          <cell r="A27">
            <v>25</v>
          </cell>
          <cell r="B27">
            <v>40193</v>
          </cell>
          <cell r="D27">
            <v>1503.4</v>
          </cell>
          <cell r="E27">
            <v>1427.1</v>
          </cell>
          <cell r="G27" t="str">
            <v>Parcheo elaboración de fallos en vías urbanas y rurales del municipio de Medellín.</v>
          </cell>
          <cell r="H27" t="str">
            <v>1/2</v>
          </cell>
          <cell r="I27">
            <v>0</v>
          </cell>
          <cell r="J27">
            <v>151</v>
          </cell>
          <cell r="K27">
            <v>156.4</v>
          </cell>
          <cell r="L27">
            <v>306.60000000000002</v>
          </cell>
          <cell r="M27">
            <v>305.89999999999998</v>
          </cell>
          <cell r="N27">
            <v>258.7</v>
          </cell>
          <cell r="O27">
            <v>81.2</v>
          </cell>
          <cell r="P27">
            <v>74.900000000000006</v>
          </cell>
          <cell r="Q27">
            <v>92.4</v>
          </cell>
          <cell r="S27">
            <v>25</v>
          </cell>
          <cell r="T27" t="str">
            <v>1</v>
          </cell>
          <cell r="U27">
            <v>1240</v>
          </cell>
          <cell r="V27">
            <v>1241.0999999999999</v>
          </cell>
          <cell r="W27">
            <v>739.3</v>
          </cell>
          <cell r="Y27">
            <v>3.11</v>
          </cell>
          <cell r="Z27">
            <v>1237.8</v>
          </cell>
          <cell r="AA27">
            <v>1238.4000000000001</v>
          </cell>
          <cell r="AB27">
            <v>735.2</v>
          </cell>
          <cell r="AD27">
            <v>2.81</v>
          </cell>
          <cell r="AE27">
            <v>1238.0999999999999</v>
          </cell>
          <cell r="AF27">
            <v>1239.3</v>
          </cell>
          <cell r="AG27">
            <v>739.4</v>
          </cell>
          <cell r="AI27">
            <v>3.07</v>
          </cell>
          <cell r="AK27">
            <v>1593.8067300000002</v>
          </cell>
          <cell r="AM27">
            <v>1529.5650000000001</v>
          </cell>
          <cell r="AO27">
            <v>1602.9841200000001</v>
          </cell>
          <cell r="AP27" t="str">
            <v>Muestra tomada en el elevador</v>
          </cell>
          <cell r="AQ27" t="str">
            <v>-</v>
          </cell>
          <cell r="AR27">
            <v>1651</v>
          </cell>
          <cell r="AS27">
            <v>3</v>
          </cell>
          <cell r="AV27">
            <v>2.4619962952317769</v>
          </cell>
          <cell r="BS27">
            <v>2.58</v>
          </cell>
        </row>
        <row r="28">
          <cell r="A28">
            <v>26</v>
          </cell>
          <cell r="B28">
            <v>40196</v>
          </cell>
          <cell r="D28">
            <v>1500.9</v>
          </cell>
          <cell r="E28">
            <v>1428.4</v>
          </cell>
          <cell r="G28" t="str">
            <v>Parcheo elaboración de fallos en vías urbanas y rurales del municipio de Medellín.</v>
          </cell>
          <cell r="H28" t="str">
            <v>1/2</v>
          </cell>
          <cell r="I28">
            <v>0</v>
          </cell>
          <cell r="J28">
            <v>126.2</v>
          </cell>
          <cell r="K28">
            <v>180.6</v>
          </cell>
          <cell r="L28">
            <v>341.2</v>
          </cell>
          <cell r="M28">
            <v>303.5</v>
          </cell>
          <cell r="N28">
            <v>237.7</v>
          </cell>
          <cell r="O28">
            <v>83.3</v>
          </cell>
          <cell r="P28">
            <v>72</v>
          </cell>
          <cell r="Q28">
            <v>83.9</v>
          </cell>
          <cell r="S28">
            <v>25</v>
          </cell>
          <cell r="T28" t="str">
            <v>1</v>
          </cell>
          <cell r="U28">
            <v>1235.7</v>
          </cell>
          <cell r="V28">
            <v>1237</v>
          </cell>
          <cell r="W28">
            <v>737.2</v>
          </cell>
          <cell r="Y28">
            <v>2.9</v>
          </cell>
          <cell r="Z28">
            <v>1237.4000000000001</v>
          </cell>
          <cell r="AA28">
            <v>1239.4000000000001</v>
          </cell>
          <cell r="AB28">
            <v>733.8</v>
          </cell>
          <cell r="AD28">
            <v>3.2</v>
          </cell>
          <cell r="AE28">
            <v>1235.5999999999999</v>
          </cell>
          <cell r="AF28">
            <v>1237.8</v>
          </cell>
          <cell r="AG28">
            <v>736</v>
          </cell>
          <cell r="AI28">
            <v>3.4</v>
          </cell>
          <cell r="AK28">
            <v>1760.0194600000002</v>
          </cell>
          <cell r="AM28">
            <v>1508.1510900000001</v>
          </cell>
          <cell r="AO28">
            <v>1725.3493200000003</v>
          </cell>
          <cell r="AP28" t="str">
            <v>Muestra tomada en el elevador</v>
          </cell>
          <cell r="AQ28" t="str">
            <v>-</v>
          </cell>
          <cell r="AR28">
            <v>1741</v>
          </cell>
          <cell r="AS28">
            <v>3.2</v>
          </cell>
          <cell r="AV28">
            <v>2.4535070350426857</v>
          </cell>
          <cell r="BS28">
            <v>2.5960000000000001</v>
          </cell>
        </row>
        <row r="29">
          <cell r="A29">
            <v>27</v>
          </cell>
          <cell r="B29">
            <v>40196</v>
          </cell>
          <cell r="D29">
            <v>1502.1</v>
          </cell>
          <cell r="E29">
            <v>1429</v>
          </cell>
          <cell r="G29" t="str">
            <v>Parcheo elaboración de fallos en vías urbanas y rurales del municipio de Medellín.</v>
          </cell>
          <cell r="H29" t="str">
            <v>2/2</v>
          </cell>
          <cell r="I29">
            <v>0</v>
          </cell>
          <cell r="J29">
            <v>139.69999999999999</v>
          </cell>
          <cell r="K29">
            <v>173.5</v>
          </cell>
          <cell r="L29">
            <v>333.6</v>
          </cell>
          <cell r="M29">
            <v>291.2</v>
          </cell>
          <cell r="N29">
            <v>246.2</v>
          </cell>
          <cell r="O29">
            <v>91.4</v>
          </cell>
          <cell r="P29">
            <v>66.7</v>
          </cell>
          <cell r="Q29">
            <v>86.7</v>
          </cell>
          <cell r="S29">
            <v>25</v>
          </cell>
          <cell r="T29" t="str">
            <v>1</v>
          </cell>
          <cell r="U29">
            <v>1231.4000000000001</v>
          </cell>
          <cell r="V29">
            <v>1234.5</v>
          </cell>
          <cell r="W29">
            <v>733.4</v>
          </cell>
          <cell r="Y29">
            <v>2.9</v>
          </cell>
          <cell r="Z29">
            <v>1232.2</v>
          </cell>
          <cell r="AA29">
            <v>1233.7</v>
          </cell>
          <cell r="AB29">
            <v>737.1</v>
          </cell>
          <cell r="AD29">
            <v>3.8</v>
          </cell>
          <cell r="AE29">
            <v>1230.5999999999999</v>
          </cell>
          <cell r="AF29">
            <v>1233.2</v>
          </cell>
          <cell r="AG29">
            <v>732.8</v>
          </cell>
          <cell r="AI29">
            <v>3.1</v>
          </cell>
          <cell r="AK29">
            <v>1592.78702</v>
          </cell>
          <cell r="AM29">
            <v>1929.2913200000003</v>
          </cell>
          <cell r="AO29">
            <v>1796.7290200000002</v>
          </cell>
          <cell r="AP29" t="str">
            <v>Muestra tomada en la volqueta</v>
          </cell>
          <cell r="AQ29" t="str">
            <v>-</v>
          </cell>
          <cell r="AR29">
            <v>1873</v>
          </cell>
          <cell r="AS29">
            <v>3.3</v>
          </cell>
          <cell r="AV29">
            <v>2.4587533823873238</v>
          </cell>
          <cell r="BS29">
            <v>2.5960000000000001</v>
          </cell>
        </row>
        <row r="30">
          <cell r="A30">
            <v>28</v>
          </cell>
          <cell r="B30">
            <v>40197</v>
          </cell>
          <cell r="D30">
            <v>1502.7</v>
          </cell>
          <cell r="E30">
            <v>1432.7</v>
          </cell>
          <cell r="G30" t="str">
            <v>Parcheo elaboración de fallos en vías urbanas y rurales del municipio de Medellín.</v>
          </cell>
          <cell r="H30" t="str">
            <v>1/2</v>
          </cell>
          <cell r="I30">
            <v>0</v>
          </cell>
          <cell r="J30">
            <v>207.6</v>
          </cell>
          <cell r="K30">
            <v>181.7</v>
          </cell>
          <cell r="L30">
            <v>284.10000000000002</v>
          </cell>
          <cell r="M30">
            <v>294.2</v>
          </cell>
          <cell r="N30">
            <v>230.7</v>
          </cell>
          <cell r="O30">
            <v>78.7</v>
          </cell>
          <cell r="P30">
            <v>66.900000000000006</v>
          </cell>
          <cell r="Q30">
            <v>88.8</v>
          </cell>
          <cell r="S30">
            <v>25</v>
          </cell>
          <cell r="T30" t="str">
            <v>1</v>
          </cell>
          <cell r="U30">
            <v>1238.7</v>
          </cell>
          <cell r="V30">
            <v>1239.5999999999999</v>
          </cell>
          <cell r="W30">
            <v>737.4</v>
          </cell>
          <cell r="Y30">
            <v>3.1</v>
          </cell>
          <cell r="Z30">
            <v>1236.7</v>
          </cell>
          <cell r="AA30">
            <v>1238.5999999999999</v>
          </cell>
          <cell r="AB30">
            <v>738.5</v>
          </cell>
          <cell r="AD30">
            <v>3.2</v>
          </cell>
          <cell r="AE30">
            <v>1236.3</v>
          </cell>
          <cell r="AF30">
            <v>1238.7</v>
          </cell>
          <cell r="AG30">
            <v>737</v>
          </cell>
          <cell r="AI30">
            <v>3.5</v>
          </cell>
          <cell r="AK30">
            <v>1780.4136600000002</v>
          </cell>
          <cell r="AM30">
            <v>1775.31511</v>
          </cell>
          <cell r="AO30">
            <v>1488.7765999999999</v>
          </cell>
          <cell r="AP30" t="str">
            <v>Muestra tomada en el elevador</v>
          </cell>
          <cell r="AQ30" t="str">
            <v>-</v>
          </cell>
          <cell r="AR30">
            <v>1764</v>
          </cell>
          <cell r="AS30">
            <v>3.3</v>
          </cell>
          <cell r="AV30">
            <v>2.460672836822801</v>
          </cell>
          <cell r="BS30">
            <v>2.6059999999999999</v>
          </cell>
        </row>
        <row r="31">
          <cell r="A31">
            <v>29</v>
          </cell>
          <cell r="B31">
            <v>40197</v>
          </cell>
          <cell r="D31">
            <v>1501.1</v>
          </cell>
          <cell r="E31">
            <v>1430.2</v>
          </cell>
          <cell r="G31" t="str">
            <v>Parcheo elaboración de fallos en vías urbanas y rurales del municipio de Medellín.</v>
          </cell>
          <cell r="H31" t="str">
            <v>2/2</v>
          </cell>
          <cell r="I31">
            <v>0</v>
          </cell>
          <cell r="J31">
            <v>167.3</v>
          </cell>
          <cell r="K31">
            <v>143.5</v>
          </cell>
          <cell r="L31">
            <v>312.10000000000002</v>
          </cell>
          <cell r="M31">
            <v>305.2</v>
          </cell>
          <cell r="N31">
            <v>257.89999999999998</v>
          </cell>
          <cell r="O31">
            <v>89.8</v>
          </cell>
          <cell r="P31">
            <v>63.9</v>
          </cell>
          <cell r="Q31">
            <v>90.5</v>
          </cell>
          <cell r="S31">
            <v>25</v>
          </cell>
          <cell r="T31" t="str">
            <v>1</v>
          </cell>
          <cell r="U31">
            <v>1235.8</v>
          </cell>
          <cell r="V31">
            <v>1237</v>
          </cell>
          <cell r="W31">
            <v>737</v>
          </cell>
          <cell r="Y31">
            <v>3.1</v>
          </cell>
          <cell r="Z31">
            <v>1236.8</v>
          </cell>
          <cell r="AA31">
            <v>1237.7</v>
          </cell>
          <cell r="AB31">
            <v>735.2</v>
          </cell>
          <cell r="AD31">
            <v>2.9</v>
          </cell>
          <cell r="AE31">
            <v>1240.5</v>
          </cell>
          <cell r="AF31">
            <v>1242.3</v>
          </cell>
          <cell r="AG31">
            <v>738.2</v>
          </cell>
          <cell r="AI31">
            <v>3</v>
          </cell>
          <cell r="AK31">
            <v>1671.3046900000002</v>
          </cell>
          <cell r="AM31">
            <v>1725.3493200000003</v>
          </cell>
          <cell r="AO31">
            <v>1805.9064100000001</v>
          </cell>
          <cell r="AP31" t="str">
            <v>Muestra tomada en la volqueta</v>
          </cell>
          <cell r="AQ31" t="str">
            <v>-</v>
          </cell>
          <cell r="AR31">
            <v>1814</v>
          </cell>
          <cell r="AS31">
            <v>3</v>
          </cell>
          <cell r="AV31">
            <v>2.4573627273920589</v>
          </cell>
          <cell r="BS31">
            <v>2.6059999999999999</v>
          </cell>
        </row>
        <row r="32">
          <cell r="A32">
            <v>30</v>
          </cell>
          <cell r="B32">
            <v>40198</v>
          </cell>
          <cell r="D32">
            <v>1501.3</v>
          </cell>
          <cell r="E32">
            <v>1428.6</v>
          </cell>
          <cell r="G32" t="str">
            <v>Parcheo elaboración de fallos en vías urbanas y rurales del municipio de Medellín.</v>
          </cell>
          <cell r="H32" t="str">
            <v>1/2</v>
          </cell>
          <cell r="I32">
            <v>0</v>
          </cell>
          <cell r="J32">
            <v>161.19999999999999</v>
          </cell>
          <cell r="K32">
            <v>160.19999999999999</v>
          </cell>
          <cell r="L32">
            <v>311.7</v>
          </cell>
          <cell r="M32">
            <v>315.7</v>
          </cell>
          <cell r="N32">
            <v>246.4</v>
          </cell>
          <cell r="O32">
            <v>78.3</v>
          </cell>
          <cell r="P32">
            <v>67.3</v>
          </cell>
          <cell r="Q32">
            <v>87.8</v>
          </cell>
          <cell r="S32">
            <v>25</v>
          </cell>
          <cell r="T32" t="str">
            <v>1</v>
          </cell>
          <cell r="U32">
            <v>1235.0999999999999</v>
          </cell>
          <cell r="V32">
            <v>1237.7</v>
          </cell>
          <cell r="W32">
            <v>730.3</v>
          </cell>
          <cell r="Y32">
            <v>2.9</v>
          </cell>
          <cell r="Z32">
            <v>1237.9000000000001</v>
          </cell>
          <cell r="AA32">
            <v>1239.5999999999999</v>
          </cell>
          <cell r="AB32">
            <v>731.7</v>
          </cell>
          <cell r="AD32">
            <v>3.14</v>
          </cell>
          <cell r="AE32">
            <v>1235.7</v>
          </cell>
          <cell r="AF32">
            <v>1237.0999999999999</v>
          </cell>
          <cell r="AG32">
            <v>732.2</v>
          </cell>
          <cell r="AI32">
            <v>3.5</v>
          </cell>
          <cell r="AK32">
            <v>1452.0670400000001</v>
          </cell>
          <cell r="AM32">
            <v>1565.25485</v>
          </cell>
          <cell r="AO32">
            <v>1461.24443</v>
          </cell>
          <cell r="AP32" t="str">
            <v>Muestra tomada en el elevador</v>
          </cell>
          <cell r="AQ32" t="str">
            <v>-</v>
          </cell>
          <cell r="AR32">
            <v>1539</v>
          </cell>
          <cell r="AS32">
            <v>3.2</v>
          </cell>
          <cell r="AV32">
            <v>2.4324908771744758</v>
          </cell>
          <cell r="BS32">
            <v>2.5840000000000001</v>
          </cell>
        </row>
        <row r="33">
          <cell r="A33">
            <v>31</v>
          </cell>
          <cell r="B33">
            <v>40198</v>
          </cell>
          <cell r="D33">
            <v>1500.1</v>
          </cell>
          <cell r="E33">
            <v>1426.5</v>
          </cell>
          <cell r="G33" t="str">
            <v>Parcheo elaboración de fallos en vías urbanas y rurales del municipio de Medellín.</v>
          </cell>
          <cell r="H33" t="str">
            <v>2/2</v>
          </cell>
          <cell r="I33">
            <v>0</v>
          </cell>
          <cell r="J33">
            <v>135.30000000000001</v>
          </cell>
          <cell r="K33">
            <v>172.5</v>
          </cell>
          <cell r="L33">
            <v>322.10000000000002</v>
          </cell>
          <cell r="M33">
            <v>305.5</v>
          </cell>
          <cell r="N33">
            <v>250.5</v>
          </cell>
          <cell r="O33">
            <v>88.7</v>
          </cell>
          <cell r="P33">
            <v>64</v>
          </cell>
          <cell r="Q33">
            <v>87.9</v>
          </cell>
          <cell r="S33">
            <v>25</v>
          </cell>
          <cell r="T33" t="str">
            <v>1</v>
          </cell>
          <cell r="AK33">
            <v>0</v>
          </cell>
          <cell r="AM33">
            <v>0</v>
          </cell>
          <cell r="AO33">
            <v>0</v>
          </cell>
          <cell r="AP33" t="str">
            <v>Muestra tomada en la volqueta</v>
          </cell>
          <cell r="AQ33" t="str">
            <v>-</v>
          </cell>
          <cell r="AR33">
            <v>0</v>
          </cell>
          <cell r="AS33">
            <v>0</v>
          </cell>
          <cell r="AV33">
            <v>0</v>
          </cell>
          <cell r="BS33">
            <v>2.5840000000000001</v>
          </cell>
        </row>
        <row r="34">
          <cell r="A34">
            <v>32</v>
          </cell>
          <cell r="B34">
            <v>40199</v>
          </cell>
          <cell r="D34">
            <v>1500.7</v>
          </cell>
          <cell r="E34">
            <v>1429.5</v>
          </cell>
          <cell r="G34" t="str">
            <v>Parcheo elaboración de fallos en vías urbanas y rurales del municipio de Medellín.</v>
          </cell>
          <cell r="H34" t="str">
            <v>1/2</v>
          </cell>
          <cell r="I34">
            <v>0</v>
          </cell>
          <cell r="J34">
            <v>204.9</v>
          </cell>
          <cell r="K34">
            <v>164.4</v>
          </cell>
          <cell r="L34">
            <v>284.39999999999998</v>
          </cell>
          <cell r="M34">
            <v>328.2</v>
          </cell>
          <cell r="N34">
            <v>239.3</v>
          </cell>
          <cell r="O34">
            <v>69.3</v>
          </cell>
          <cell r="P34">
            <v>61.1</v>
          </cell>
          <cell r="Q34">
            <v>77.900000000000006</v>
          </cell>
          <cell r="S34">
            <v>25</v>
          </cell>
          <cell r="T34" t="str">
            <v>1</v>
          </cell>
          <cell r="U34">
            <v>1237</v>
          </cell>
          <cell r="V34">
            <v>1240.3</v>
          </cell>
          <cell r="W34">
            <v>732.3</v>
          </cell>
          <cell r="Y34">
            <v>3.2</v>
          </cell>
          <cell r="Z34">
            <v>1235.5</v>
          </cell>
          <cell r="AA34">
            <v>1239.5999999999999</v>
          </cell>
          <cell r="AB34">
            <v>730.2</v>
          </cell>
          <cell r="AD34">
            <v>3.7</v>
          </cell>
          <cell r="AE34">
            <v>1234.5</v>
          </cell>
          <cell r="AF34">
            <v>1238.4000000000001</v>
          </cell>
          <cell r="AG34">
            <v>739.5</v>
          </cell>
          <cell r="AI34">
            <v>3.4</v>
          </cell>
          <cell r="AK34">
            <v>1699.8565700000001</v>
          </cell>
          <cell r="AM34">
            <v>1665.18643</v>
          </cell>
          <cell r="AO34">
            <v>1681.5017899999998</v>
          </cell>
          <cell r="AP34" t="str">
            <v>Muestra tomada en el elevador</v>
          </cell>
          <cell r="AQ34" t="str">
            <v>-</v>
          </cell>
          <cell r="AR34">
            <v>1742</v>
          </cell>
          <cell r="AS34">
            <v>3.4</v>
          </cell>
          <cell r="AV34">
            <v>2.4378103467665513</v>
          </cell>
          <cell r="BS34">
            <v>2.59</v>
          </cell>
        </row>
        <row r="35">
          <cell r="A35">
            <v>33</v>
          </cell>
          <cell r="B35">
            <v>40199</v>
          </cell>
          <cell r="D35">
            <v>1505.6</v>
          </cell>
          <cell r="E35">
            <v>1433.5</v>
          </cell>
          <cell r="G35" t="str">
            <v>Parcheo elaboración de fallos en vías urbanas y rurales del municipio de Medellín.</v>
          </cell>
          <cell r="H35" t="str">
            <v>2/2</v>
          </cell>
          <cell r="I35">
            <v>0</v>
          </cell>
          <cell r="J35">
            <v>208.5</v>
          </cell>
          <cell r="K35">
            <v>164</v>
          </cell>
          <cell r="L35">
            <v>299.3</v>
          </cell>
          <cell r="M35">
            <v>286.2</v>
          </cell>
          <cell r="N35">
            <v>241.8</v>
          </cell>
          <cell r="O35">
            <v>83.2</v>
          </cell>
          <cell r="P35">
            <v>61.5</v>
          </cell>
          <cell r="Q35">
            <v>89</v>
          </cell>
          <cell r="S35">
            <v>25</v>
          </cell>
          <cell r="T35" t="str">
            <v>1</v>
          </cell>
          <cell r="U35">
            <v>1235.3</v>
          </cell>
          <cell r="V35">
            <v>1237.5999999999999</v>
          </cell>
          <cell r="W35">
            <v>731.8</v>
          </cell>
          <cell r="Y35">
            <v>3.4</v>
          </cell>
          <cell r="Z35">
            <v>1230.4000000000001</v>
          </cell>
          <cell r="AA35">
            <v>1233.2</v>
          </cell>
          <cell r="AB35">
            <v>730.3</v>
          </cell>
          <cell r="AD35">
            <v>3</v>
          </cell>
          <cell r="AE35">
            <v>1234.2</v>
          </cell>
          <cell r="AF35">
            <v>1237.2</v>
          </cell>
          <cell r="AG35">
            <v>731.4</v>
          </cell>
          <cell r="AI35">
            <v>3.2</v>
          </cell>
          <cell r="AK35">
            <v>1830.3794499999999</v>
          </cell>
          <cell r="AM35">
            <v>1715.1522200000002</v>
          </cell>
          <cell r="AO35">
            <v>1890.54234</v>
          </cell>
          <cell r="AP35" t="str">
            <v>Muestra tomada en la volqueta</v>
          </cell>
          <cell r="AQ35" t="str">
            <v>-</v>
          </cell>
          <cell r="AR35">
            <v>1879</v>
          </cell>
          <cell r="AS35">
            <v>3.2</v>
          </cell>
          <cell r="AV35">
            <v>2.435845661762869</v>
          </cell>
          <cell r="BS35">
            <v>2.59</v>
          </cell>
        </row>
        <row r="36">
          <cell r="A36">
            <v>34</v>
          </cell>
          <cell r="B36">
            <v>40203</v>
          </cell>
          <cell r="D36">
            <v>1501.2</v>
          </cell>
          <cell r="E36">
            <v>1431.2</v>
          </cell>
          <cell r="G36" t="str">
            <v>Parcheo elaboración de fallos en vías urbanas y rurales del municipio de Medellín.</v>
          </cell>
          <cell r="H36" t="str">
            <v>1/2</v>
          </cell>
          <cell r="I36">
            <v>0</v>
          </cell>
          <cell r="J36">
            <v>195.2</v>
          </cell>
          <cell r="K36">
            <v>177.5</v>
          </cell>
          <cell r="L36">
            <v>283.10000000000002</v>
          </cell>
          <cell r="M36">
            <v>301.7</v>
          </cell>
          <cell r="N36">
            <v>241.7</v>
          </cell>
          <cell r="O36">
            <v>76.3</v>
          </cell>
          <cell r="P36">
            <v>69</v>
          </cell>
          <cell r="Q36">
            <v>86.7</v>
          </cell>
          <cell r="S36">
            <v>25</v>
          </cell>
          <cell r="T36" t="str">
            <v>1</v>
          </cell>
          <cell r="U36">
            <v>1240</v>
          </cell>
          <cell r="V36">
            <v>1241.5999999999999</v>
          </cell>
          <cell r="W36">
            <v>737.1</v>
          </cell>
          <cell r="Y36">
            <v>2.9</v>
          </cell>
          <cell r="Z36">
            <v>1240.7</v>
          </cell>
          <cell r="AA36">
            <v>1242.3</v>
          </cell>
          <cell r="AB36">
            <v>736.7</v>
          </cell>
          <cell r="AD36">
            <v>2.8</v>
          </cell>
          <cell r="AE36">
            <v>1236.8</v>
          </cell>
          <cell r="AF36">
            <v>1238.7</v>
          </cell>
          <cell r="AG36">
            <v>737.2</v>
          </cell>
          <cell r="AI36">
            <v>2.9</v>
          </cell>
          <cell r="AK36">
            <v>1558.11688</v>
          </cell>
          <cell r="AM36">
            <v>1390.88444</v>
          </cell>
          <cell r="AO36">
            <v>1532.6241299999999</v>
          </cell>
          <cell r="AP36" t="str">
            <v>Muestra tomada en el elevador</v>
          </cell>
          <cell r="AQ36" t="str">
            <v>-</v>
          </cell>
          <cell r="AR36">
            <v>1555</v>
          </cell>
          <cell r="AS36">
            <v>2.9</v>
          </cell>
          <cell r="AV36">
            <v>2.4521386610453932</v>
          </cell>
          <cell r="BS36">
            <v>2.593</v>
          </cell>
        </row>
        <row r="37">
          <cell r="A37">
            <v>35</v>
          </cell>
          <cell r="B37">
            <v>40203</v>
          </cell>
          <cell r="D37">
            <v>1503.9</v>
          </cell>
          <cell r="E37">
            <v>1431.7</v>
          </cell>
          <cell r="G37" t="str">
            <v>Parcheo elaboración de fallos en vías urbanas y rurales del municipio de Medellín.</v>
          </cell>
          <cell r="H37" t="str">
            <v>2/2</v>
          </cell>
          <cell r="I37">
            <v>0</v>
          </cell>
          <cell r="J37">
            <v>177.9</v>
          </cell>
          <cell r="K37">
            <v>167.6</v>
          </cell>
          <cell r="L37">
            <v>334.3</v>
          </cell>
          <cell r="M37">
            <v>300.10000000000002</v>
          </cell>
          <cell r="N37">
            <v>218.3</v>
          </cell>
          <cell r="O37">
            <v>83.4</v>
          </cell>
          <cell r="P37">
            <v>64.3</v>
          </cell>
          <cell r="Q37">
            <v>85.8</v>
          </cell>
          <cell r="S37">
            <v>25</v>
          </cell>
          <cell r="T37" t="str">
            <v>1</v>
          </cell>
          <cell r="U37">
            <v>1238.8</v>
          </cell>
          <cell r="V37">
            <v>1240.8</v>
          </cell>
          <cell r="W37">
            <v>735</v>
          </cell>
          <cell r="Y37">
            <v>3.3</v>
          </cell>
          <cell r="Z37">
            <v>1235.9000000000001</v>
          </cell>
          <cell r="AA37">
            <v>1238.0999999999999</v>
          </cell>
          <cell r="AB37">
            <v>732.3</v>
          </cell>
          <cell r="AD37">
            <v>3.2</v>
          </cell>
          <cell r="AE37">
            <v>1237</v>
          </cell>
          <cell r="AF37">
            <v>1240.4000000000001</v>
          </cell>
          <cell r="AG37">
            <v>734.8</v>
          </cell>
          <cell r="AI37">
            <v>2.9</v>
          </cell>
          <cell r="AK37">
            <v>1570.3534000000002</v>
          </cell>
          <cell r="AM37">
            <v>1588.7081800000001</v>
          </cell>
          <cell r="AO37">
            <v>1532.6241299999999</v>
          </cell>
          <cell r="AP37" t="str">
            <v>Muestra tomada en la volqueta</v>
          </cell>
          <cell r="AQ37" t="str">
            <v>-</v>
          </cell>
          <cell r="AR37">
            <v>1617</v>
          </cell>
          <cell r="AS37">
            <v>3.1</v>
          </cell>
          <cell r="AV37">
            <v>2.4392587095428784</v>
          </cell>
          <cell r="BS37">
            <v>2.5882000000000001</v>
          </cell>
        </row>
        <row r="38">
          <cell r="A38">
            <v>36</v>
          </cell>
          <cell r="B38">
            <v>40204</v>
          </cell>
          <cell r="D38">
            <v>1501.3</v>
          </cell>
          <cell r="E38">
            <v>1431.1</v>
          </cell>
          <cell r="G38" t="str">
            <v>Parcheo elaboración de fallos en vías urbanas y rurales del municipio de Medellín.</v>
          </cell>
          <cell r="H38" t="str">
            <v>1/2</v>
          </cell>
          <cell r="I38">
            <v>0</v>
          </cell>
          <cell r="J38">
            <v>154.4</v>
          </cell>
          <cell r="K38">
            <v>192.6</v>
          </cell>
          <cell r="L38">
            <v>337.3</v>
          </cell>
          <cell r="M38">
            <v>295.7</v>
          </cell>
          <cell r="N38">
            <v>212</v>
          </cell>
          <cell r="O38">
            <v>83.3</v>
          </cell>
          <cell r="P38">
            <v>69</v>
          </cell>
          <cell r="Q38">
            <v>86.8</v>
          </cell>
          <cell r="S38">
            <v>25</v>
          </cell>
          <cell r="T38" t="str">
            <v>1</v>
          </cell>
          <cell r="U38">
            <v>1232.9000000000001</v>
          </cell>
          <cell r="V38">
            <v>1237.8</v>
          </cell>
          <cell r="W38">
            <v>733.8</v>
          </cell>
          <cell r="Y38">
            <v>2.7</v>
          </cell>
          <cell r="Z38">
            <v>1238.0999999999999</v>
          </cell>
          <cell r="AA38">
            <v>1239.9000000000001</v>
          </cell>
          <cell r="AB38">
            <v>735.7</v>
          </cell>
          <cell r="AD38">
            <v>3.2</v>
          </cell>
          <cell r="AE38">
            <v>1238.0999999999999</v>
          </cell>
          <cell r="AF38">
            <v>1239.5999999999999</v>
          </cell>
          <cell r="AG38">
            <v>735.3</v>
          </cell>
          <cell r="AI38">
            <v>3.3</v>
          </cell>
          <cell r="AK38">
            <v>1778.3742400000001</v>
          </cell>
          <cell r="AM38">
            <v>1683.5412100000003</v>
          </cell>
          <cell r="AO38">
            <v>1706.9945399999999</v>
          </cell>
          <cell r="AP38" t="str">
            <v>Muestra tomada en el elevador</v>
          </cell>
          <cell r="AQ38" t="str">
            <v>-</v>
          </cell>
          <cell r="AR38">
            <v>1791</v>
          </cell>
          <cell r="AS38">
            <v>3.1</v>
          </cell>
          <cell r="AV38">
            <v>2.4451235666891549</v>
          </cell>
          <cell r="BS38">
            <v>2.593</v>
          </cell>
        </row>
        <row r="39">
          <cell r="A39">
            <v>37</v>
          </cell>
          <cell r="B39">
            <v>40204</v>
          </cell>
          <cell r="D39">
            <v>1502.5</v>
          </cell>
          <cell r="E39">
            <v>1430.2</v>
          </cell>
          <cell r="G39" t="str">
            <v>Parcheo elaboración de fallos en vías urbanas y rurales del municipio de Medellín.</v>
          </cell>
          <cell r="H39" t="str">
            <v>2/2</v>
          </cell>
          <cell r="I39">
            <v>0</v>
          </cell>
          <cell r="J39">
            <v>211.5</v>
          </cell>
          <cell r="K39">
            <v>170.5</v>
          </cell>
          <cell r="L39">
            <v>295.10000000000002</v>
          </cell>
          <cell r="M39">
            <v>284.3</v>
          </cell>
          <cell r="N39">
            <v>222.4</v>
          </cell>
          <cell r="O39">
            <v>92.4</v>
          </cell>
          <cell r="P39">
            <v>68.400000000000006</v>
          </cell>
          <cell r="Q39">
            <v>85.6</v>
          </cell>
          <cell r="S39">
            <v>25</v>
          </cell>
          <cell r="T39" t="str">
            <v>1</v>
          </cell>
          <cell r="U39">
            <v>1236.4000000000001</v>
          </cell>
          <cell r="V39">
            <v>1238.9000000000001</v>
          </cell>
          <cell r="W39">
            <v>736.3</v>
          </cell>
          <cell r="Y39">
            <v>2.9</v>
          </cell>
          <cell r="Z39">
            <v>1237</v>
          </cell>
          <cell r="AA39">
            <v>1238.0999999999999</v>
          </cell>
          <cell r="AB39">
            <v>737.6</v>
          </cell>
          <cell r="AD39">
            <v>3.2</v>
          </cell>
          <cell r="AE39">
            <v>1236.9000000000001</v>
          </cell>
          <cell r="AF39">
            <v>1237.9000000000001</v>
          </cell>
          <cell r="AG39">
            <v>738.7</v>
          </cell>
          <cell r="AI39">
            <v>3.1</v>
          </cell>
          <cell r="AK39">
            <v>1508.1510900000001</v>
          </cell>
          <cell r="AM39">
            <v>1569.3336900000002</v>
          </cell>
          <cell r="AO39">
            <v>1715.1522200000002</v>
          </cell>
          <cell r="AP39" t="str">
            <v>Muestra tomada en la volqueta</v>
          </cell>
          <cell r="AQ39" t="str">
            <v>-</v>
          </cell>
          <cell r="AR39">
            <v>1679</v>
          </cell>
          <cell r="AS39">
            <v>3.1</v>
          </cell>
          <cell r="AV39">
            <v>2.4625428827416425</v>
          </cell>
          <cell r="BS39">
            <v>2.5882000000000001</v>
          </cell>
        </row>
        <row r="40">
          <cell r="A40">
            <v>38</v>
          </cell>
          <cell r="B40">
            <v>40205</v>
          </cell>
          <cell r="D40">
            <v>1500.1</v>
          </cell>
          <cell r="E40">
            <v>1428.7</v>
          </cell>
          <cell r="G40" t="str">
            <v>Parcheo elaboración de fallos en vías urbanas y rurales del municipio de Medellín.</v>
          </cell>
          <cell r="H40" t="str">
            <v>1/2</v>
          </cell>
          <cell r="I40">
            <v>0</v>
          </cell>
          <cell r="J40">
            <v>190.2</v>
          </cell>
          <cell r="K40">
            <v>205.9</v>
          </cell>
          <cell r="L40">
            <v>296.7</v>
          </cell>
          <cell r="M40">
            <v>292.7</v>
          </cell>
          <cell r="N40">
            <v>210.9</v>
          </cell>
          <cell r="O40">
            <v>79.5</v>
          </cell>
          <cell r="P40">
            <v>68.099999999999994</v>
          </cell>
          <cell r="Q40">
            <v>84.7</v>
          </cell>
          <cell r="S40">
            <v>25</v>
          </cell>
          <cell r="T40" t="str">
            <v>1</v>
          </cell>
          <cell r="U40">
            <v>1239.4000000000001</v>
          </cell>
          <cell r="V40">
            <v>1240.3</v>
          </cell>
          <cell r="W40">
            <v>743.6</v>
          </cell>
          <cell r="Y40">
            <v>3.3</v>
          </cell>
          <cell r="Z40">
            <v>1238.0999999999999</v>
          </cell>
          <cell r="AA40">
            <v>1240.5999999999999</v>
          </cell>
          <cell r="AB40">
            <v>737.5</v>
          </cell>
          <cell r="AD40">
            <v>3.3</v>
          </cell>
          <cell r="AE40">
            <v>1237.2</v>
          </cell>
          <cell r="AF40">
            <v>1238.4000000000001</v>
          </cell>
          <cell r="AG40">
            <v>739.3</v>
          </cell>
          <cell r="AI40">
            <v>2.8</v>
          </cell>
          <cell r="AK40">
            <v>1831.3991600000002</v>
          </cell>
          <cell r="AM40">
            <v>1593.8067300000002</v>
          </cell>
          <cell r="AO40">
            <v>1773.2756900000002</v>
          </cell>
          <cell r="AP40" t="str">
            <v>Muestra tomada en el elevador</v>
          </cell>
          <cell r="AQ40" t="str">
            <v>-</v>
          </cell>
          <cell r="AR40">
            <v>1829</v>
          </cell>
          <cell r="AS40">
            <v>3.1</v>
          </cell>
          <cell r="AV40">
            <v>2.471108431950428</v>
          </cell>
          <cell r="BS40">
            <v>2.5923814459704611</v>
          </cell>
        </row>
        <row r="41">
          <cell r="A41">
            <v>39</v>
          </cell>
          <cell r="B41">
            <v>40205</v>
          </cell>
          <cell r="D41">
            <v>1501.3</v>
          </cell>
          <cell r="E41">
            <v>1431.4</v>
          </cell>
          <cell r="G41" t="str">
            <v>Parcheo elaboración de fallos en vías urbanas y rurales del municipio de Medellín.</v>
          </cell>
          <cell r="H41" t="str">
            <v>2/2</v>
          </cell>
          <cell r="I41">
            <v>0</v>
          </cell>
          <cell r="J41">
            <v>183.3</v>
          </cell>
          <cell r="K41">
            <v>177.8</v>
          </cell>
          <cell r="L41">
            <v>330.6</v>
          </cell>
          <cell r="M41">
            <v>281.60000000000002</v>
          </cell>
          <cell r="N41">
            <v>225.6</v>
          </cell>
          <cell r="O41">
            <v>75.900000000000006</v>
          </cell>
          <cell r="P41">
            <v>69.7</v>
          </cell>
          <cell r="Q41">
            <v>86.9</v>
          </cell>
          <cell r="S41">
            <v>25</v>
          </cell>
          <cell r="T41" t="str">
            <v>1</v>
          </cell>
          <cell r="U41">
            <v>1238.3</v>
          </cell>
          <cell r="V41">
            <v>1240</v>
          </cell>
          <cell r="W41">
            <v>737.5</v>
          </cell>
          <cell r="Y41">
            <v>3.5</v>
          </cell>
          <cell r="Z41">
            <v>1236.7</v>
          </cell>
          <cell r="AA41">
            <v>1238.3</v>
          </cell>
          <cell r="AB41">
            <v>736.4</v>
          </cell>
          <cell r="AD41">
            <v>3.6</v>
          </cell>
          <cell r="AE41">
            <v>1232.7</v>
          </cell>
          <cell r="AF41">
            <v>1235.8</v>
          </cell>
          <cell r="AG41">
            <v>731.9</v>
          </cell>
          <cell r="AI41">
            <v>3</v>
          </cell>
          <cell r="AK41">
            <v>1533.64384</v>
          </cell>
          <cell r="AM41">
            <v>1971.09943</v>
          </cell>
          <cell r="AO41">
            <v>1821.2020600000001</v>
          </cell>
          <cell r="AP41" t="str">
            <v>Muestra tomada en la volqueta</v>
          </cell>
          <cell r="AQ41" t="str">
            <v>-</v>
          </cell>
          <cell r="AR41">
            <v>1854</v>
          </cell>
          <cell r="AS41">
            <v>3.4</v>
          </cell>
          <cell r="AV41">
            <v>2.4510210590962296</v>
          </cell>
          <cell r="BS41">
            <v>2.5923814459704611</v>
          </cell>
        </row>
        <row r="42">
          <cell r="A42">
            <v>40</v>
          </cell>
          <cell r="B42">
            <v>40206</v>
          </cell>
          <cell r="D42">
            <v>1505</v>
          </cell>
          <cell r="E42">
            <v>1432.6</v>
          </cell>
          <cell r="G42" t="str">
            <v>Parcheo elaboración de fallos en vías urbanas y rurales del municipio de Medellín.</v>
          </cell>
          <cell r="H42" t="str">
            <v>1/2</v>
          </cell>
          <cell r="I42">
            <v>0</v>
          </cell>
          <cell r="J42">
            <v>165.3</v>
          </cell>
          <cell r="K42">
            <v>181.7</v>
          </cell>
          <cell r="L42">
            <v>343.6</v>
          </cell>
          <cell r="M42">
            <v>290.5</v>
          </cell>
          <cell r="N42">
            <v>230.6</v>
          </cell>
          <cell r="O42">
            <v>80</v>
          </cell>
          <cell r="P42">
            <v>59.6</v>
          </cell>
          <cell r="Q42">
            <v>81.3</v>
          </cell>
          <cell r="S42">
            <v>25</v>
          </cell>
          <cell r="T42" t="str">
            <v>1</v>
          </cell>
          <cell r="U42">
            <v>1237.4000000000001</v>
          </cell>
          <cell r="V42">
            <v>1238.0999999999999</v>
          </cell>
          <cell r="W42">
            <v>738.1</v>
          </cell>
          <cell r="Y42">
            <v>2.9</v>
          </cell>
          <cell r="Z42">
            <v>1237.2</v>
          </cell>
          <cell r="AA42">
            <v>1238.7</v>
          </cell>
          <cell r="AB42">
            <v>734.5</v>
          </cell>
          <cell r="AD42">
            <v>2.9</v>
          </cell>
          <cell r="AE42">
            <v>1236.8</v>
          </cell>
          <cell r="AF42">
            <v>1237.9000000000001</v>
          </cell>
          <cell r="AG42">
            <v>733.3</v>
          </cell>
          <cell r="AI42">
            <v>3.1</v>
          </cell>
          <cell r="AK42">
            <v>1730.44787</v>
          </cell>
          <cell r="AM42">
            <v>1544.8606500000001</v>
          </cell>
          <cell r="AO42">
            <v>1611.1418000000001</v>
          </cell>
          <cell r="AP42" t="str">
            <v>Muestra tomada en el elevador</v>
          </cell>
          <cell r="AQ42" t="str">
            <v>-</v>
          </cell>
          <cell r="AR42">
            <v>1700</v>
          </cell>
          <cell r="AS42">
            <v>3</v>
          </cell>
          <cell r="AV42">
            <v>2.4526843578448592</v>
          </cell>
          <cell r="BS42">
            <v>2.580507928322803</v>
          </cell>
        </row>
        <row r="43">
          <cell r="A43">
            <v>41</v>
          </cell>
          <cell r="B43">
            <v>40206</v>
          </cell>
          <cell r="D43">
            <v>1503.9</v>
          </cell>
          <cell r="E43">
            <v>1432.2</v>
          </cell>
          <cell r="G43" t="str">
            <v>Parcheo elaboración de fallos en vías urbanas y rurales del municipio de Medellín.</v>
          </cell>
          <cell r="H43" t="str">
            <v>2/2</v>
          </cell>
          <cell r="I43">
            <v>0</v>
          </cell>
          <cell r="J43">
            <v>170.8</v>
          </cell>
          <cell r="K43">
            <v>176.1</v>
          </cell>
          <cell r="L43">
            <v>326.7</v>
          </cell>
          <cell r="M43">
            <v>298.7</v>
          </cell>
          <cell r="N43">
            <v>225.5</v>
          </cell>
          <cell r="O43">
            <v>84.5</v>
          </cell>
          <cell r="P43">
            <v>63.8</v>
          </cell>
          <cell r="Q43">
            <v>86.1</v>
          </cell>
          <cell r="S43">
            <v>25</v>
          </cell>
          <cell r="T43" t="str">
            <v>1</v>
          </cell>
          <cell r="U43">
            <v>1236.9000000000001</v>
          </cell>
          <cell r="V43">
            <v>1237.8</v>
          </cell>
          <cell r="W43">
            <v>736.9</v>
          </cell>
          <cell r="Y43">
            <v>2.8</v>
          </cell>
          <cell r="Z43">
            <v>1236.3</v>
          </cell>
          <cell r="AA43">
            <v>1239.2</v>
          </cell>
          <cell r="AB43">
            <v>736.7</v>
          </cell>
          <cell r="AD43">
            <v>3</v>
          </cell>
          <cell r="AE43">
            <v>1236</v>
          </cell>
          <cell r="AF43">
            <v>1236.7</v>
          </cell>
          <cell r="AG43">
            <v>737.7</v>
          </cell>
          <cell r="AI43">
            <v>2.8</v>
          </cell>
          <cell r="AK43">
            <v>1578.51108</v>
          </cell>
          <cell r="AM43">
            <v>1607.06296</v>
          </cell>
          <cell r="AO43">
            <v>1649.8907799999999</v>
          </cell>
          <cell r="AP43" t="str">
            <v>Muestra tomada en la volqueta</v>
          </cell>
          <cell r="AQ43" t="str">
            <v>-</v>
          </cell>
          <cell r="AR43">
            <v>1694</v>
          </cell>
          <cell r="AS43">
            <v>2.9</v>
          </cell>
          <cell r="AV43">
            <v>2.4616477496097571</v>
          </cell>
          <cell r="BS43">
            <v>2.580507928322803</v>
          </cell>
        </row>
        <row r="44">
          <cell r="A44">
            <v>42</v>
          </cell>
          <cell r="B44">
            <v>40207</v>
          </cell>
          <cell r="D44">
            <v>1489.9</v>
          </cell>
          <cell r="E44">
            <v>1410.2</v>
          </cell>
          <cell r="G44" t="str">
            <v>Parcheo elaboración de fallos en vías urbanas y rurales del municipio de Medellín.</v>
          </cell>
          <cell r="H44" t="str">
            <v>1/2</v>
          </cell>
          <cell r="I44">
            <v>0</v>
          </cell>
          <cell r="J44">
            <v>133</v>
          </cell>
          <cell r="K44">
            <v>170</v>
          </cell>
          <cell r="L44">
            <v>308</v>
          </cell>
          <cell r="M44">
            <v>299.8</v>
          </cell>
          <cell r="N44">
            <v>251.3</v>
          </cell>
          <cell r="O44">
            <v>84.5</v>
          </cell>
          <cell r="P44">
            <v>75.3</v>
          </cell>
          <cell r="Q44">
            <v>88.3</v>
          </cell>
          <cell r="S44">
            <v>25</v>
          </cell>
          <cell r="T44" t="str">
            <v>1</v>
          </cell>
          <cell r="U44">
            <v>1229.8</v>
          </cell>
          <cell r="V44">
            <v>1230.8</v>
          </cell>
          <cell r="W44">
            <v>731.2</v>
          </cell>
          <cell r="Y44">
            <v>3.6</v>
          </cell>
          <cell r="Z44">
            <v>1230.5</v>
          </cell>
          <cell r="AA44">
            <v>1231.3</v>
          </cell>
          <cell r="AB44">
            <v>732</v>
          </cell>
          <cell r="AD44">
            <v>3.1</v>
          </cell>
          <cell r="AE44">
            <v>1231</v>
          </cell>
          <cell r="AF44">
            <v>1232.0999999999999</v>
          </cell>
          <cell r="AG44">
            <v>730.1</v>
          </cell>
          <cell r="AI44">
            <v>3.5</v>
          </cell>
          <cell r="AK44">
            <v>1639.6936799999999</v>
          </cell>
          <cell r="AM44">
            <v>1702.9157</v>
          </cell>
          <cell r="AO44">
            <v>1744.72381</v>
          </cell>
          <cell r="AP44" t="str">
            <v>Muestra tomada en el elevador</v>
          </cell>
          <cell r="AQ44" t="str">
            <v>-</v>
          </cell>
          <cell r="AR44">
            <v>1785</v>
          </cell>
          <cell r="AS44">
            <v>3.4</v>
          </cell>
          <cell r="AV44">
            <v>2.4522098181427459</v>
          </cell>
          <cell r="BS44">
            <v>2.5642</v>
          </cell>
        </row>
        <row r="45">
          <cell r="A45">
            <v>43</v>
          </cell>
          <cell r="B45">
            <v>40207</v>
          </cell>
          <cell r="D45">
            <v>1500.8</v>
          </cell>
          <cell r="E45">
            <v>1422.2</v>
          </cell>
          <cell r="G45" t="str">
            <v>Parcheo elaboración de fallos en vías urbanas y rurales del municipio de Medellín.</v>
          </cell>
          <cell r="H45" t="str">
            <v>2/2</v>
          </cell>
          <cell r="I45">
            <v>0</v>
          </cell>
          <cell r="J45">
            <v>166.3</v>
          </cell>
          <cell r="K45">
            <v>203</v>
          </cell>
          <cell r="L45">
            <v>297</v>
          </cell>
          <cell r="M45">
            <v>264.5</v>
          </cell>
          <cell r="N45">
            <v>244.9</v>
          </cell>
          <cell r="O45">
            <v>81.5</v>
          </cell>
          <cell r="P45">
            <v>72.599999999999994</v>
          </cell>
          <cell r="Q45">
            <v>92.4</v>
          </cell>
          <cell r="S45">
            <v>25</v>
          </cell>
          <cell r="T45" t="str">
            <v>1</v>
          </cell>
          <cell r="U45">
            <v>1234.5999999999999</v>
          </cell>
          <cell r="V45">
            <v>1235</v>
          </cell>
          <cell r="W45">
            <v>734.6</v>
          </cell>
          <cell r="Y45">
            <v>3.2</v>
          </cell>
          <cell r="Z45">
            <v>1237.0999999999999</v>
          </cell>
          <cell r="AA45">
            <v>1237.5999999999999</v>
          </cell>
          <cell r="AB45">
            <v>735.6</v>
          </cell>
          <cell r="AD45">
            <v>3.3</v>
          </cell>
          <cell r="AE45">
            <v>1234</v>
          </cell>
          <cell r="AF45">
            <v>1234.5</v>
          </cell>
          <cell r="AG45">
            <v>733.1</v>
          </cell>
          <cell r="AI45">
            <v>3.16</v>
          </cell>
          <cell r="AK45">
            <v>1613.1812200000002</v>
          </cell>
          <cell r="AM45">
            <v>1664.1667200000002</v>
          </cell>
          <cell r="AO45">
            <v>1477.55979</v>
          </cell>
          <cell r="AP45" t="str">
            <v>Muestra tomada en la volqueta</v>
          </cell>
          <cell r="AQ45" t="str">
            <v>-</v>
          </cell>
          <cell r="AR45">
            <v>1663</v>
          </cell>
          <cell r="AS45">
            <v>3.2</v>
          </cell>
          <cell r="AV45">
            <v>2.4570180537335196</v>
          </cell>
          <cell r="BS45">
            <v>2.569</v>
          </cell>
        </row>
        <row r="46">
          <cell r="A46">
            <v>44</v>
          </cell>
          <cell r="B46">
            <v>40210</v>
          </cell>
          <cell r="D46">
            <v>1501.3</v>
          </cell>
          <cell r="E46">
            <v>1424</v>
          </cell>
          <cell r="G46" t="str">
            <v>Parcheo elaboración de fallos en vías urbanas y rurales del municipio de Medellín.</v>
          </cell>
          <cell r="H46" t="str">
            <v>1/2</v>
          </cell>
          <cell r="I46">
            <v>0</v>
          </cell>
          <cell r="J46">
            <v>189.6</v>
          </cell>
          <cell r="K46">
            <v>180.4</v>
          </cell>
          <cell r="L46">
            <v>233</v>
          </cell>
          <cell r="M46">
            <v>309.8</v>
          </cell>
          <cell r="N46">
            <v>259.8</v>
          </cell>
          <cell r="O46">
            <v>88.3</v>
          </cell>
          <cell r="P46">
            <v>69.099999999999994</v>
          </cell>
          <cell r="Q46">
            <v>94</v>
          </cell>
          <cell r="S46">
            <v>25</v>
          </cell>
          <cell r="T46" t="str">
            <v>1</v>
          </cell>
          <cell r="U46">
            <v>1239.9000000000001</v>
          </cell>
          <cell r="V46">
            <v>1240.5</v>
          </cell>
          <cell r="W46">
            <v>736.9</v>
          </cell>
          <cell r="Y46">
            <v>3.4</v>
          </cell>
          <cell r="Z46">
            <v>1238.8</v>
          </cell>
          <cell r="AA46">
            <v>1239.4000000000001</v>
          </cell>
          <cell r="AB46">
            <v>737.3</v>
          </cell>
          <cell r="AD46">
            <v>2.7</v>
          </cell>
          <cell r="AE46">
            <v>1232.8</v>
          </cell>
          <cell r="AF46">
            <v>1233.5999999999999</v>
          </cell>
          <cell r="AG46">
            <v>734.4</v>
          </cell>
          <cell r="AI46">
            <v>3.1</v>
          </cell>
          <cell r="AK46">
            <v>1771.2362700000001</v>
          </cell>
          <cell r="AM46">
            <v>1549.9592</v>
          </cell>
          <cell r="AO46">
            <v>1554.0380400000001</v>
          </cell>
          <cell r="AP46" t="str">
            <v>Muestra tomada en el elevador</v>
          </cell>
          <cell r="AQ46" t="str">
            <v>-</v>
          </cell>
          <cell r="AR46">
            <v>1703</v>
          </cell>
          <cell r="AS46">
            <v>3.1</v>
          </cell>
          <cell r="AV46">
            <v>2.4590734289212031</v>
          </cell>
          <cell r="BS46">
            <v>2.5680000000000001</v>
          </cell>
        </row>
        <row r="47">
          <cell r="A47">
            <v>45</v>
          </cell>
          <cell r="B47">
            <v>40210</v>
          </cell>
          <cell r="D47">
            <v>1501.3</v>
          </cell>
          <cell r="E47">
            <v>1421.5</v>
          </cell>
          <cell r="G47" t="str">
            <v>Parcheo elaboración de fallos en vías urbanas y rurales del municipio de Medellín.</v>
          </cell>
          <cell r="H47" t="str">
            <v>2/2</v>
          </cell>
          <cell r="I47">
            <v>0</v>
          </cell>
          <cell r="J47">
            <v>118</v>
          </cell>
          <cell r="K47">
            <v>206.7</v>
          </cell>
          <cell r="L47">
            <v>274.3</v>
          </cell>
          <cell r="M47">
            <v>322.10000000000002</v>
          </cell>
          <cell r="N47">
            <v>246.7</v>
          </cell>
          <cell r="O47">
            <v>85.2</v>
          </cell>
          <cell r="P47">
            <v>74.900000000000006</v>
          </cell>
          <cell r="Q47">
            <v>93.6</v>
          </cell>
          <cell r="S47">
            <v>25</v>
          </cell>
          <cell r="T47" t="str">
            <v>1</v>
          </cell>
          <cell r="U47">
            <v>1235.5</v>
          </cell>
          <cell r="V47">
            <v>1236.0999999999999</v>
          </cell>
          <cell r="W47">
            <v>735.4</v>
          </cell>
          <cell r="Y47">
            <v>3.6</v>
          </cell>
          <cell r="Z47">
            <v>1237.2</v>
          </cell>
          <cell r="AA47">
            <v>1237.7</v>
          </cell>
          <cell r="AB47">
            <v>734.6</v>
          </cell>
          <cell r="AD47">
            <v>3</v>
          </cell>
          <cell r="AE47">
            <v>1240.7</v>
          </cell>
          <cell r="AF47">
            <v>1241.3</v>
          </cell>
          <cell r="AG47">
            <v>736.4</v>
          </cell>
          <cell r="AI47">
            <v>2.9</v>
          </cell>
          <cell r="AK47">
            <v>1665.18643</v>
          </cell>
          <cell r="AM47">
            <v>1564.23514</v>
          </cell>
          <cell r="AO47">
            <v>1567.2942699999999</v>
          </cell>
          <cell r="AP47" t="str">
            <v>Muestra tomada en la volqueta</v>
          </cell>
          <cell r="AQ47" t="str">
            <v>-</v>
          </cell>
          <cell r="AR47">
            <v>1669</v>
          </cell>
          <cell r="AS47">
            <v>3.2</v>
          </cell>
          <cell r="AV47">
            <v>2.454139572486314</v>
          </cell>
          <cell r="BS47">
            <v>2.5680000000000001</v>
          </cell>
        </row>
        <row r="48">
          <cell r="A48">
            <v>46</v>
          </cell>
          <cell r="B48">
            <v>40211</v>
          </cell>
          <cell r="D48">
            <v>1500.5</v>
          </cell>
          <cell r="E48">
            <v>1421.9</v>
          </cell>
          <cell r="G48" t="str">
            <v>Parcheo elaboración de fallos en vías urbanas y rurales del municipio de Medellín.</v>
          </cell>
          <cell r="H48" t="str">
            <v>1/2</v>
          </cell>
          <cell r="I48">
            <v>0</v>
          </cell>
          <cell r="J48">
            <v>142.6</v>
          </cell>
          <cell r="K48">
            <v>160.69999999999999</v>
          </cell>
          <cell r="L48">
            <v>311.39999999999998</v>
          </cell>
          <cell r="M48">
            <v>306</v>
          </cell>
          <cell r="N48">
            <v>250.7</v>
          </cell>
          <cell r="O48">
            <v>94.8</v>
          </cell>
          <cell r="P48">
            <v>67</v>
          </cell>
          <cell r="Q48">
            <v>88.7</v>
          </cell>
          <cell r="S48">
            <v>25</v>
          </cell>
          <cell r="T48" t="str">
            <v>1</v>
          </cell>
          <cell r="U48">
            <v>1235.4000000000001</v>
          </cell>
          <cell r="V48">
            <v>1236.0999999999999</v>
          </cell>
          <cell r="W48">
            <v>735.1</v>
          </cell>
          <cell r="Y48">
            <v>3.09</v>
          </cell>
          <cell r="Z48">
            <v>1236.2</v>
          </cell>
          <cell r="AA48">
            <v>1237.7</v>
          </cell>
          <cell r="AB48">
            <v>735.4</v>
          </cell>
          <cell r="AD48">
            <v>3.4</v>
          </cell>
          <cell r="AE48">
            <v>1236.2</v>
          </cell>
          <cell r="AF48">
            <v>1237.4000000000001</v>
          </cell>
          <cell r="AG48">
            <v>736.7</v>
          </cell>
          <cell r="AI48">
            <v>3.24</v>
          </cell>
          <cell r="AK48">
            <v>1680.48208</v>
          </cell>
          <cell r="AM48">
            <v>1419.43632</v>
          </cell>
          <cell r="AO48">
            <v>1550.97891</v>
          </cell>
          <cell r="AP48" t="str">
            <v>Muestra tomada en el elevador</v>
          </cell>
          <cell r="AQ48" t="str">
            <v>-</v>
          </cell>
          <cell r="AR48">
            <v>1627</v>
          </cell>
          <cell r="AS48">
            <v>3.2</v>
          </cell>
          <cell r="AV48">
            <v>2.4580859328353357</v>
          </cell>
          <cell r="BS48">
            <v>2.58</v>
          </cell>
        </row>
        <row r="49">
          <cell r="A49">
            <v>47</v>
          </cell>
          <cell r="B49">
            <v>40211</v>
          </cell>
          <cell r="D49">
            <v>1500.2</v>
          </cell>
          <cell r="E49">
            <v>1427.8</v>
          </cell>
          <cell r="G49" t="str">
            <v>Parcheo elaboración de fallos en vías urbanas y rurales del municipio de Medellín.</v>
          </cell>
          <cell r="H49" t="str">
            <v>2/2</v>
          </cell>
          <cell r="I49">
            <v>0</v>
          </cell>
          <cell r="J49">
            <v>134</v>
          </cell>
          <cell r="K49">
            <v>180.8</v>
          </cell>
          <cell r="L49">
            <v>335.8</v>
          </cell>
          <cell r="M49">
            <v>324.2</v>
          </cell>
          <cell r="N49">
            <v>215.6</v>
          </cell>
          <cell r="O49">
            <v>75.5</v>
          </cell>
          <cell r="P49">
            <v>70.900000000000006</v>
          </cell>
          <cell r="Q49">
            <v>91</v>
          </cell>
          <cell r="S49">
            <v>25</v>
          </cell>
          <cell r="T49" t="str">
            <v>1</v>
          </cell>
          <cell r="U49">
            <v>1236.2</v>
          </cell>
          <cell r="V49">
            <v>1237.8</v>
          </cell>
          <cell r="W49">
            <v>738.5</v>
          </cell>
          <cell r="Y49">
            <v>3.5</v>
          </cell>
          <cell r="Z49">
            <v>1238.9000000000001</v>
          </cell>
          <cell r="AA49">
            <v>1241.7</v>
          </cell>
          <cell r="AB49">
            <v>737.9</v>
          </cell>
          <cell r="AD49">
            <v>3.5</v>
          </cell>
          <cell r="AE49">
            <v>1236.2</v>
          </cell>
          <cell r="AF49">
            <v>1237.7</v>
          </cell>
          <cell r="AG49">
            <v>738.7</v>
          </cell>
          <cell r="AI49">
            <v>3.6</v>
          </cell>
          <cell r="AK49">
            <v>1361.31285</v>
          </cell>
          <cell r="AM49">
            <v>1521.40732</v>
          </cell>
          <cell r="AO49">
            <v>1569.3336900000002</v>
          </cell>
          <cell r="AP49" t="str">
            <v>Muestra tomada en la volqueta</v>
          </cell>
          <cell r="AQ49" t="str">
            <v>-</v>
          </cell>
          <cell r="AR49">
            <v>1560</v>
          </cell>
          <cell r="AS49">
            <v>3.5</v>
          </cell>
          <cell r="AV49">
            <v>2.4635502033963257</v>
          </cell>
          <cell r="BS49">
            <v>2.58</v>
          </cell>
        </row>
        <row r="50">
          <cell r="A50">
            <v>48</v>
          </cell>
          <cell r="B50">
            <v>40212</v>
          </cell>
          <cell r="D50">
            <v>1501.5</v>
          </cell>
          <cell r="E50">
            <v>1428.3</v>
          </cell>
          <cell r="G50" t="str">
            <v>Parcheo elaboración de fallos en vías urbanas y rurales del municipio de Medellín.</v>
          </cell>
          <cell r="H50" t="str">
            <v>1/2</v>
          </cell>
          <cell r="I50">
            <v>0</v>
          </cell>
          <cell r="J50">
            <v>177.8</v>
          </cell>
          <cell r="K50">
            <v>148.69999999999999</v>
          </cell>
          <cell r="L50">
            <v>321.3</v>
          </cell>
          <cell r="M50">
            <v>310.7</v>
          </cell>
          <cell r="N50">
            <v>226.9</v>
          </cell>
          <cell r="O50">
            <v>80.7</v>
          </cell>
          <cell r="P50">
            <v>72.900000000000006</v>
          </cell>
          <cell r="Q50">
            <v>89.3</v>
          </cell>
          <cell r="S50">
            <v>25</v>
          </cell>
          <cell r="T50" t="str">
            <v>1</v>
          </cell>
          <cell r="U50">
            <v>1237.3</v>
          </cell>
          <cell r="V50">
            <v>1238.0999999999999</v>
          </cell>
          <cell r="W50">
            <v>741.3</v>
          </cell>
          <cell r="Y50">
            <v>3.2</v>
          </cell>
          <cell r="Z50">
            <v>1235</v>
          </cell>
          <cell r="AA50">
            <v>1236.2</v>
          </cell>
          <cell r="AB50">
            <v>736.4</v>
          </cell>
          <cell r="AD50">
            <v>3.4</v>
          </cell>
          <cell r="AE50">
            <v>1236.8</v>
          </cell>
          <cell r="AF50">
            <v>1237.4000000000001</v>
          </cell>
          <cell r="AG50">
            <v>735.1</v>
          </cell>
          <cell r="AI50">
            <v>3.4</v>
          </cell>
          <cell r="AK50">
            <v>1854.8524900000002</v>
          </cell>
          <cell r="AM50">
            <v>1557.09717</v>
          </cell>
          <cell r="AO50">
            <v>1523.4467400000001</v>
          </cell>
          <cell r="AP50" t="str">
            <v>Muestra tomada en el elevador</v>
          </cell>
          <cell r="AQ50" t="str">
            <v>-</v>
          </cell>
          <cell r="AR50">
            <v>1737</v>
          </cell>
          <cell r="AS50">
            <v>3.3</v>
          </cell>
          <cell r="AV50">
            <v>2.467362256832597</v>
          </cell>
          <cell r="BS50">
            <v>2.5779999999999998</v>
          </cell>
        </row>
        <row r="51">
          <cell r="A51">
            <v>49</v>
          </cell>
          <cell r="B51">
            <v>40212</v>
          </cell>
          <cell r="D51">
            <v>1500.9</v>
          </cell>
          <cell r="E51">
            <v>1430.6</v>
          </cell>
          <cell r="G51" t="str">
            <v>Parcheo elaboración de fallos en vías urbanas y rurales del municipio de Medellín.</v>
          </cell>
          <cell r="H51" t="str">
            <v>2/2</v>
          </cell>
          <cell r="I51">
            <v>0</v>
          </cell>
          <cell r="J51">
            <v>211.5</v>
          </cell>
          <cell r="K51">
            <v>155.19999999999999</v>
          </cell>
          <cell r="L51">
            <v>323.10000000000002</v>
          </cell>
          <cell r="M51">
            <v>296.3</v>
          </cell>
          <cell r="N51">
            <v>211</v>
          </cell>
          <cell r="O51">
            <v>77.400000000000006</v>
          </cell>
          <cell r="P51">
            <v>65.8</v>
          </cell>
          <cell r="Q51">
            <v>90.3</v>
          </cell>
          <cell r="S51">
            <v>25</v>
          </cell>
          <cell r="T51" t="str">
            <v>1</v>
          </cell>
          <cell r="U51">
            <v>1234.5999999999999</v>
          </cell>
          <cell r="V51">
            <v>1235.3</v>
          </cell>
          <cell r="W51">
            <v>737.3</v>
          </cell>
          <cell r="Y51">
            <v>3.4</v>
          </cell>
          <cell r="Z51">
            <v>1236.5999999999999</v>
          </cell>
          <cell r="AA51">
            <v>1238.0999999999999</v>
          </cell>
          <cell r="AB51">
            <v>738.2</v>
          </cell>
          <cell r="AD51">
            <v>3.2</v>
          </cell>
          <cell r="AE51">
            <v>1236.8</v>
          </cell>
          <cell r="AF51">
            <v>1237.7</v>
          </cell>
          <cell r="AG51">
            <v>735.9</v>
          </cell>
          <cell r="AI51">
            <v>3.2</v>
          </cell>
          <cell r="AK51">
            <v>1484.69776</v>
          </cell>
          <cell r="AM51">
            <v>1609.10238</v>
          </cell>
          <cell r="AO51">
            <v>1669.2652700000001</v>
          </cell>
          <cell r="AP51" t="str">
            <v>Muestra tomada en la volqueta</v>
          </cell>
          <cell r="AQ51" t="str">
            <v>-</v>
          </cell>
          <cell r="AR51">
            <v>1673</v>
          </cell>
          <cell r="AS51">
            <v>3.3</v>
          </cell>
          <cell r="AV51">
            <v>2.4652806294913328</v>
          </cell>
          <cell r="BS51">
            <v>2.5779999999999998</v>
          </cell>
        </row>
        <row r="52">
          <cell r="A52">
            <v>50</v>
          </cell>
          <cell r="B52">
            <v>40212</v>
          </cell>
          <cell r="D52">
            <v>1501</v>
          </cell>
          <cell r="E52">
            <v>1419.5</v>
          </cell>
          <cell r="G52" t="str">
            <v>Estima</v>
          </cell>
          <cell r="H52" t="str">
            <v>1/1</v>
          </cell>
          <cell r="I52">
            <v>0</v>
          </cell>
          <cell r="J52">
            <v>143.9</v>
          </cell>
          <cell r="K52">
            <v>159.69999999999999</v>
          </cell>
          <cell r="L52">
            <v>323.39999999999998</v>
          </cell>
          <cell r="M52">
            <v>304.8</v>
          </cell>
          <cell r="N52">
            <v>253.8</v>
          </cell>
          <cell r="O52">
            <v>83.8</v>
          </cell>
          <cell r="P52">
            <v>65.599999999999994</v>
          </cell>
          <cell r="Q52">
            <v>84.5</v>
          </cell>
          <cell r="S52">
            <v>25</v>
          </cell>
          <cell r="T52" t="str">
            <v>1</v>
          </cell>
          <cell r="AK52">
            <v>0</v>
          </cell>
          <cell r="AM52">
            <v>0</v>
          </cell>
          <cell r="AO52">
            <v>0</v>
          </cell>
          <cell r="AP52" t="str">
            <v>Muestra tomada en vía</v>
          </cell>
          <cell r="AQ52" t="str">
            <v>-</v>
          </cell>
          <cell r="AR52">
            <v>0</v>
          </cell>
          <cell r="AS52">
            <v>0</v>
          </cell>
          <cell r="AV52">
            <v>0</v>
          </cell>
          <cell r="BS52">
            <v>2.5779999999999998</v>
          </cell>
        </row>
        <row r="53">
          <cell r="A53">
            <v>51</v>
          </cell>
          <cell r="B53">
            <v>40213</v>
          </cell>
          <cell r="D53">
            <v>1501.4</v>
          </cell>
          <cell r="E53">
            <v>1427.9</v>
          </cell>
          <cell r="G53" t="str">
            <v>Parcheo elaboración de fallos en vías urbanas y rurales del municipio de Medellín; Estyma S.A.</v>
          </cell>
          <cell r="H53" t="str">
            <v>1/2</v>
          </cell>
          <cell r="I53">
            <v>0</v>
          </cell>
          <cell r="J53">
            <v>159.9</v>
          </cell>
          <cell r="K53">
            <v>173.6</v>
          </cell>
          <cell r="L53">
            <v>293.5</v>
          </cell>
          <cell r="M53">
            <v>302.5</v>
          </cell>
          <cell r="N53">
            <v>253.5</v>
          </cell>
          <cell r="O53">
            <v>82</v>
          </cell>
          <cell r="P53">
            <v>76.599999999999994</v>
          </cell>
          <cell r="Q53">
            <v>86.3</v>
          </cell>
          <cell r="S53">
            <v>25</v>
          </cell>
          <cell r="T53" t="str">
            <v>1</v>
          </cell>
          <cell r="U53">
            <v>1238.3</v>
          </cell>
          <cell r="V53">
            <v>1239.4000000000001</v>
          </cell>
          <cell r="W53">
            <v>737.3</v>
          </cell>
          <cell r="Y53">
            <v>3.3</v>
          </cell>
          <cell r="Z53">
            <v>1239</v>
          </cell>
          <cell r="AA53">
            <v>1240.7</v>
          </cell>
          <cell r="AB53">
            <v>736.2</v>
          </cell>
          <cell r="AD53">
            <v>3</v>
          </cell>
          <cell r="AE53">
            <v>1234.0999999999999</v>
          </cell>
          <cell r="AF53">
            <v>1235.3</v>
          </cell>
          <cell r="AG53">
            <v>735.5</v>
          </cell>
          <cell r="AI53">
            <v>3.3</v>
          </cell>
          <cell r="AK53">
            <v>1623.37832</v>
          </cell>
          <cell r="AM53">
            <v>1426.57429</v>
          </cell>
          <cell r="AO53">
            <v>1682.5215000000001</v>
          </cell>
          <cell r="AP53" t="str">
            <v>Muestra tomada en el elevador</v>
          </cell>
          <cell r="AQ53" t="str">
            <v>-</v>
          </cell>
          <cell r="AR53">
            <v>1651</v>
          </cell>
          <cell r="AS53">
            <v>3.2</v>
          </cell>
          <cell r="AV53">
            <v>2.4565689191812026</v>
          </cell>
          <cell r="BS53">
            <v>2.5779999999999998</v>
          </cell>
        </row>
        <row r="54">
          <cell r="A54">
            <v>52</v>
          </cell>
          <cell r="B54">
            <v>40213</v>
          </cell>
          <cell r="D54">
            <v>1501.4</v>
          </cell>
          <cell r="E54">
            <v>1427.9</v>
          </cell>
          <cell r="G54" t="str">
            <v>Parcheo elaboración de fallos en vías urbanas y rurales del municipio de Medellín; Estyma S.A.</v>
          </cell>
          <cell r="H54" t="str">
            <v>2/2</v>
          </cell>
          <cell r="I54">
            <v>0</v>
          </cell>
          <cell r="J54">
            <v>141.19999999999999</v>
          </cell>
          <cell r="K54">
            <v>238.2</v>
          </cell>
          <cell r="L54">
            <v>224.3</v>
          </cell>
          <cell r="M54">
            <v>291.10000000000002</v>
          </cell>
          <cell r="N54">
            <v>284.3</v>
          </cell>
          <cell r="O54">
            <v>92.8</v>
          </cell>
          <cell r="P54">
            <v>69.3</v>
          </cell>
          <cell r="Q54">
            <v>86.7</v>
          </cell>
          <cell r="S54">
            <v>25</v>
          </cell>
          <cell r="T54" t="str">
            <v>1</v>
          </cell>
          <cell r="U54">
            <v>1234.3</v>
          </cell>
          <cell r="V54">
            <v>1234.7</v>
          </cell>
          <cell r="W54">
            <v>730.4</v>
          </cell>
          <cell r="Y54">
            <v>3.2</v>
          </cell>
          <cell r="Z54">
            <v>1234.0999999999999</v>
          </cell>
          <cell r="AA54">
            <v>1234.5</v>
          </cell>
          <cell r="AB54">
            <v>733.6</v>
          </cell>
          <cell r="AD54">
            <v>3</v>
          </cell>
          <cell r="AE54">
            <v>1232.4000000000001</v>
          </cell>
          <cell r="AF54">
            <v>1232.8</v>
          </cell>
          <cell r="AG54">
            <v>732.6</v>
          </cell>
          <cell r="AI54">
            <v>3.2</v>
          </cell>
          <cell r="AK54">
            <v>1620.3191900000002</v>
          </cell>
          <cell r="AM54">
            <v>1781.43337</v>
          </cell>
          <cell r="AO54">
            <v>1689.6594700000001</v>
          </cell>
          <cell r="AP54" t="str">
            <v>Muestra tomada en la volqueta</v>
          </cell>
          <cell r="AQ54" t="str">
            <v>-</v>
          </cell>
          <cell r="AR54">
            <v>1778</v>
          </cell>
          <cell r="AS54">
            <v>3.1</v>
          </cell>
          <cell r="AV54">
            <v>2.4511861667399559</v>
          </cell>
          <cell r="BS54">
            <v>2.5779999999999998</v>
          </cell>
        </row>
        <row r="55">
          <cell r="A55">
            <v>53</v>
          </cell>
          <cell r="B55">
            <v>40214</v>
          </cell>
          <cell r="D55">
            <v>1500.5</v>
          </cell>
          <cell r="E55">
            <v>1424.7</v>
          </cell>
          <cell r="G55" t="str">
            <v>Parcheo elaboración de fallos en vías urbanas y rurales del municipio de Medellín.</v>
          </cell>
          <cell r="H55" t="str">
            <v>1/2</v>
          </cell>
          <cell r="I55">
            <v>0</v>
          </cell>
          <cell r="J55">
            <v>205.3</v>
          </cell>
          <cell r="K55">
            <v>207.6</v>
          </cell>
          <cell r="L55">
            <v>276.2</v>
          </cell>
          <cell r="M55">
            <v>266.2</v>
          </cell>
          <cell r="N55">
            <v>229</v>
          </cell>
          <cell r="O55">
            <v>86.3</v>
          </cell>
          <cell r="P55">
            <v>66.900000000000006</v>
          </cell>
          <cell r="Q55">
            <v>87.2</v>
          </cell>
          <cell r="S55">
            <v>25</v>
          </cell>
          <cell r="T55" t="str">
            <v>1</v>
          </cell>
          <cell r="U55">
            <v>1238.2</v>
          </cell>
          <cell r="V55">
            <v>1239.0999999999999</v>
          </cell>
          <cell r="W55">
            <v>737.2</v>
          </cell>
          <cell r="Y55">
            <v>2.7</v>
          </cell>
          <cell r="Z55">
            <v>1237.4000000000001</v>
          </cell>
          <cell r="AA55">
            <v>1238.4000000000001</v>
          </cell>
          <cell r="AB55">
            <v>737</v>
          </cell>
          <cell r="AD55">
            <v>3.4</v>
          </cell>
          <cell r="AE55">
            <v>1235.2</v>
          </cell>
          <cell r="AF55">
            <v>1235.8</v>
          </cell>
          <cell r="AG55">
            <v>737.3</v>
          </cell>
          <cell r="AI55">
            <v>3.2</v>
          </cell>
          <cell r="AK55">
            <v>1720.2507700000001</v>
          </cell>
          <cell r="AM55">
            <v>1592.78702</v>
          </cell>
          <cell r="AO55">
            <v>1706.9945399999999</v>
          </cell>
          <cell r="AP55" t="str">
            <v>Muestra tomada en el elevador</v>
          </cell>
          <cell r="AQ55" t="str">
            <v>-</v>
          </cell>
          <cell r="AR55">
            <v>1760</v>
          </cell>
          <cell r="AS55">
            <v>3.1</v>
          </cell>
          <cell r="AV55">
            <v>2.4636888075398025</v>
          </cell>
          <cell r="BS55">
            <v>2.581</v>
          </cell>
        </row>
        <row r="56">
          <cell r="A56">
            <v>54</v>
          </cell>
          <cell r="B56">
            <v>40214</v>
          </cell>
          <cell r="D56">
            <v>1501.6</v>
          </cell>
          <cell r="E56">
            <v>1421.8</v>
          </cell>
          <cell r="G56" t="str">
            <v>Parcheo elaboración de fallos en vías urbanas y rurales del municipio de Medellín.</v>
          </cell>
          <cell r="H56" t="str">
            <v>2/2</v>
          </cell>
          <cell r="I56">
            <v>0</v>
          </cell>
          <cell r="J56">
            <v>181.5</v>
          </cell>
          <cell r="K56">
            <v>197.3</v>
          </cell>
          <cell r="L56">
            <v>219.4</v>
          </cell>
          <cell r="M56">
            <v>304.8</v>
          </cell>
          <cell r="N56">
            <v>267.60000000000002</v>
          </cell>
          <cell r="O56">
            <v>85.4</v>
          </cell>
          <cell r="P56">
            <v>78.599999999999994</v>
          </cell>
          <cell r="Q56">
            <v>87.2</v>
          </cell>
          <cell r="S56">
            <v>25</v>
          </cell>
          <cell r="T56" t="str">
            <v>1</v>
          </cell>
          <cell r="U56">
            <v>1231.2</v>
          </cell>
          <cell r="V56">
            <v>1231.5999999999999</v>
          </cell>
          <cell r="W56">
            <v>735</v>
          </cell>
          <cell r="Y56">
            <v>3.3</v>
          </cell>
          <cell r="Z56">
            <v>1235.0999999999999</v>
          </cell>
          <cell r="AA56">
            <v>1235.5</v>
          </cell>
          <cell r="AB56">
            <v>735.9</v>
          </cell>
          <cell r="AD56">
            <v>3.5</v>
          </cell>
          <cell r="AE56">
            <v>1234.3</v>
          </cell>
          <cell r="AF56">
            <v>1234.5999999999999</v>
          </cell>
          <cell r="AG56">
            <v>736</v>
          </cell>
          <cell r="AI56">
            <v>3.4</v>
          </cell>
          <cell r="AK56">
            <v>1636.6345500000002</v>
          </cell>
          <cell r="AM56">
            <v>1843.6356799999999</v>
          </cell>
          <cell r="AO56">
            <v>1704.9551199999999</v>
          </cell>
          <cell r="AP56" t="str">
            <v>Muestra tomada en la volqueta</v>
          </cell>
          <cell r="AQ56" t="str">
            <v>-</v>
          </cell>
          <cell r="AR56">
            <v>1831</v>
          </cell>
          <cell r="AS56">
            <v>3.4</v>
          </cell>
          <cell r="AV56">
            <v>2.4684147697784797</v>
          </cell>
          <cell r="BS56">
            <v>2.581</v>
          </cell>
        </row>
        <row r="57">
          <cell r="A57">
            <v>55</v>
          </cell>
          <cell r="B57">
            <v>40215</v>
          </cell>
          <cell r="D57">
            <v>1501.7</v>
          </cell>
          <cell r="E57">
            <v>1427.9</v>
          </cell>
          <cell r="G57" t="str">
            <v>Parcheo elaboración de fallos en vías urbanas y rurales del municipio de Medellín.</v>
          </cell>
          <cell r="H57" t="str">
            <v>1/2</v>
          </cell>
          <cell r="I57">
            <v>0</v>
          </cell>
          <cell r="J57">
            <v>172.2</v>
          </cell>
          <cell r="K57">
            <v>219.3</v>
          </cell>
          <cell r="L57">
            <v>302.7</v>
          </cell>
          <cell r="M57">
            <v>281</v>
          </cell>
          <cell r="N57">
            <v>222.7</v>
          </cell>
          <cell r="O57">
            <v>80.400000000000006</v>
          </cell>
          <cell r="P57">
            <v>60.3</v>
          </cell>
          <cell r="Q57">
            <v>89.3</v>
          </cell>
          <cell r="S57">
            <v>25</v>
          </cell>
          <cell r="T57" t="str">
            <v>1</v>
          </cell>
          <cell r="U57">
            <v>1236.2</v>
          </cell>
          <cell r="V57">
            <v>1237.5999999999999</v>
          </cell>
          <cell r="W57">
            <v>740</v>
          </cell>
          <cell r="Y57">
            <v>3.5</v>
          </cell>
          <cell r="Z57">
            <v>1236.8</v>
          </cell>
          <cell r="AA57">
            <v>1238.2</v>
          </cell>
          <cell r="AB57">
            <v>739.8</v>
          </cell>
          <cell r="AD57">
            <v>3.5</v>
          </cell>
          <cell r="AE57">
            <v>1233.5999999999999</v>
          </cell>
          <cell r="AF57">
            <v>1237.7</v>
          </cell>
          <cell r="AG57">
            <v>735.6</v>
          </cell>
          <cell r="AI57">
            <v>3.1</v>
          </cell>
          <cell r="AK57">
            <v>1994.55276</v>
          </cell>
          <cell r="AM57">
            <v>1628.4768700000002</v>
          </cell>
          <cell r="AO57">
            <v>1467.3626900000002</v>
          </cell>
          <cell r="AP57" t="str">
            <v>Muestra tomada en el elevador</v>
          </cell>
          <cell r="AQ57" t="str">
            <v>-</v>
          </cell>
          <cell r="AR57">
            <v>1793</v>
          </cell>
          <cell r="AS57">
            <v>3.4</v>
          </cell>
          <cell r="AV57">
            <v>2.4670117516152494</v>
          </cell>
          <cell r="BS57">
            <v>2.58</v>
          </cell>
        </row>
        <row r="58">
          <cell r="A58">
            <v>56</v>
          </cell>
          <cell r="B58">
            <v>40215</v>
          </cell>
          <cell r="D58">
            <v>1500.9</v>
          </cell>
          <cell r="E58">
            <v>1428</v>
          </cell>
          <cell r="G58" t="str">
            <v>Parcheo elaboración de fallos en vías urbanas y rurales del municipio de Medellín.</v>
          </cell>
          <cell r="H58" t="str">
            <v>2/2</v>
          </cell>
          <cell r="I58">
            <v>0</v>
          </cell>
          <cell r="J58">
            <v>126.1</v>
          </cell>
          <cell r="K58">
            <v>223.4</v>
          </cell>
          <cell r="L58">
            <v>304.8</v>
          </cell>
          <cell r="M58">
            <v>290.89999999999998</v>
          </cell>
          <cell r="N58">
            <v>241.1</v>
          </cell>
          <cell r="O58">
            <v>78.599999999999994</v>
          </cell>
          <cell r="P58">
            <v>71.3</v>
          </cell>
          <cell r="Q58">
            <v>91.8</v>
          </cell>
          <cell r="S58">
            <v>25</v>
          </cell>
          <cell r="T58" t="str">
            <v>1</v>
          </cell>
          <cell r="U58">
            <v>1234.5</v>
          </cell>
          <cell r="V58">
            <v>1235.0999999999999</v>
          </cell>
          <cell r="W58">
            <v>738</v>
          </cell>
          <cell r="Y58">
            <v>3.1</v>
          </cell>
          <cell r="Z58">
            <v>1234.5</v>
          </cell>
          <cell r="AA58">
            <v>1235.7</v>
          </cell>
          <cell r="AB58">
            <v>735.4</v>
          </cell>
          <cell r="AD58">
            <v>3.4</v>
          </cell>
          <cell r="AE58">
            <v>1233.2</v>
          </cell>
          <cell r="AF58">
            <v>1235.2</v>
          </cell>
          <cell r="AG58">
            <v>735.1</v>
          </cell>
          <cell r="AI58">
            <v>3.6</v>
          </cell>
          <cell r="AK58">
            <v>1959.8826199999999</v>
          </cell>
          <cell r="AM58">
            <v>1811.0049600000002</v>
          </cell>
          <cell r="AO58">
            <v>1808.9655399999999</v>
          </cell>
          <cell r="AP58" t="str">
            <v>Muestra tomada en la volqueta</v>
          </cell>
          <cell r="AQ58" t="str">
            <v>-</v>
          </cell>
          <cell r="AR58">
            <v>1966</v>
          </cell>
          <cell r="AS58">
            <v>3.4</v>
          </cell>
          <cell r="AV58">
            <v>2.4650452735842912</v>
          </cell>
          <cell r="BS58">
            <v>2.58</v>
          </cell>
        </row>
        <row r="59">
          <cell r="A59">
            <v>57</v>
          </cell>
          <cell r="B59">
            <v>40216</v>
          </cell>
          <cell r="D59">
            <v>1500.4</v>
          </cell>
          <cell r="E59">
            <v>1427.1</v>
          </cell>
          <cell r="G59" t="str">
            <v>Parcheo elaboración de fallos en vías urbanas y rurales del municipio de Medellín.</v>
          </cell>
          <cell r="H59" t="str">
            <v>1/2</v>
          </cell>
          <cell r="I59">
            <v>0</v>
          </cell>
          <cell r="J59">
            <v>160.9</v>
          </cell>
          <cell r="K59">
            <v>150.69999999999999</v>
          </cell>
          <cell r="L59">
            <v>298.8</v>
          </cell>
          <cell r="M59">
            <v>330.5</v>
          </cell>
          <cell r="N59">
            <v>227.2</v>
          </cell>
          <cell r="O59">
            <v>89.5</v>
          </cell>
          <cell r="P59">
            <v>79.099999999999994</v>
          </cell>
          <cell r="Q59">
            <v>90.4</v>
          </cell>
          <cell r="S59">
            <v>25</v>
          </cell>
          <cell r="T59" t="str">
            <v>1</v>
          </cell>
          <cell r="U59">
            <v>1234.7</v>
          </cell>
          <cell r="V59">
            <v>1236.5</v>
          </cell>
          <cell r="W59">
            <v>739.1</v>
          </cell>
          <cell r="Y59">
            <v>3.3</v>
          </cell>
          <cell r="Z59">
            <v>1234</v>
          </cell>
          <cell r="AA59">
            <v>1236.0999999999999</v>
          </cell>
          <cell r="AB59">
            <v>737</v>
          </cell>
          <cell r="AD59">
            <v>3.2</v>
          </cell>
          <cell r="AE59">
            <v>1237.2</v>
          </cell>
          <cell r="AF59">
            <v>1239.2</v>
          </cell>
          <cell r="AG59">
            <v>737.7</v>
          </cell>
          <cell r="AI59">
            <v>3.2</v>
          </cell>
          <cell r="AK59">
            <v>1874.2269799999999</v>
          </cell>
          <cell r="AM59">
            <v>1753.9012</v>
          </cell>
          <cell r="AO59">
            <v>1699.8565700000001</v>
          </cell>
          <cell r="AP59" t="str">
            <v>Muestra tomada en el elevador</v>
          </cell>
          <cell r="AQ59" t="str">
            <v>-</v>
          </cell>
          <cell r="AR59">
            <v>1876</v>
          </cell>
          <cell r="AS59">
            <v>3.2</v>
          </cell>
          <cell r="AV59">
            <v>2.4666829249662858</v>
          </cell>
          <cell r="BS59">
            <v>2.5880000000000001</v>
          </cell>
        </row>
        <row r="60">
          <cell r="A60">
            <v>58</v>
          </cell>
          <cell r="B60">
            <v>40216</v>
          </cell>
          <cell r="D60">
            <v>1501</v>
          </cell>
          <cell r="E60">
            <v>1424.8</v>
          </cell>
          <cell r="G60" t="str">
            <v>Parcheo elaboración de fallos en vías urbanas y rurales del municipio de Medellín.</v>
          </cell>
          <cell r="H60" t="str">
            <v>2/2</v>
          </cell>
          <cell r="I60">
            <v>0</v>
          </cell>
          <cell r="J60">
            <v>159.4</v>
          </cell>
          <cell r="K60">
            <v>172.8</v>
          </cell>
          <cell r="L60">
            <v>287.39999999999998</v>
          </cell>
          <cell r="M60">
            <v>287.7</v>
          </cell>
          <cell r="N60">
            <v>258.5</v>
          </cell>
          <cell r="O60">
            <v>93.7</v>
          </cell>
          <cell r="P60">
            <v>69.5</v>
          </cell>
          <cell r="Q60">
            <v>95.8</v>
          </cell>
          <cell r="S60">
            <v>25</v>
          </cell>
          <cell r="T60" t="str">
            <v>1</v>
          </cell>
          <cell r="U60">
            <v>1228</v>
          </cell>
          <cell r="V60">
            <v>1229</v>
          </cell>
          <cell r="W60">
            <v>732.9</v>
          </cell>
          <cell r="Y60">
            <v>2.8</v>
          </cell>
          <cell r="Z60">
            <v>1234</v>
          </cell>
          <cell r="AA60">
            <v>1235</v>
          </cell>
          <cell r="AB60">
            <v>735.4</v>
          </cell>
          <cell r="AD60">
            <v>3</v>
          </cell>
          <cell r="AE60">
            <v>1233.0999999999999</v>
          </cell>
          <cell r="AF60">
            <v>1234.0999999999999</v>
          </cell>
          <cell r="AG60">
            <v>733.9</v>
          </cell>
          <cell r="AI60">
            <v>3.21</v>
          </cell>
          <cell r="AK60">
            <v>1561.1760100000001</v>
          </cell>
          <cell r="AM60">
            <v>1792.6501799999999</v>
          </cell>
          <cell r="AO60">
            <v>1582.5899200000001</v>
          </cell>
          <cell r="AP60" t="str">
            <v>Muestra tomada en la volqueta</v>
          </cell>
          <cell r="AQ60" t="str">
            <v>-</v>
          </cell>
          <cell r="AR60">
            <v>1741</v>
          </cell>
          <cell r="AS60">
            <v>3</v>
          </cell>
          <cell r="AV60">
            <v>2.4629405294463789</v>
          </cell>
          <cell r="BS60">
            <v>2.5737999999999999</v>
          </cell>
        </row>
        <row r="61">
          <cell r="A61">
            <v>59</v>
          </cell>
          <cell r="B61">
            <v>40217</v>
          </cell>
          <cell r="D61">
            <v>1500.9</v>
          </cell>
          <cell r="E61">
            <v>1422.9</v>
          </cell>
          <cell r="G61" t="str">
            <v>Parcheo elaboración de fallos en vías urbanas y rurales del municipio de Medellín.</v>
          </cell>
          <cell r="H61" t="str">
            <v>1/2</v>
          </cell>
          <cell r="I61">
            <v>0</v>
          </cell>
          <cell r="J61">
            <v>135.19999999999999</v>
          </cell>
          <cell r="K61">
            <v>163.30000000000001</v>
          </cell>
          <cell r="L61">
            <v>309.8</v>
          </cell>
          <cell r="M61">
            <v>323.60000000000002</v>
          </cell>
          <cell r="N61">
            <v>249</v>
          </cell>
          <cell r="O61">
            <v>77.7</v>
          </cell>
          <cell r="P61">
            <v>72</v>
          </cell>
          <cell r="Q61">
            <v>92.3</v>
          </cell>
          <cell r="S61">
            <v>25</v>
          </cell>
          <cell r="T61" t="str">
            <v>1</v>
          </cell>
          <cell r="U61">
            <v>1235.8</v>
          </cell>
          <cell r="V61">
            <v>1236.8</v>
          </cell>
          <cell r="W61">
            <v>740.7</v>
          </cell>
          <cell r="Y61">
            <v>3</v>
          </cell>
          <cell r="Z61">
            <v>1234.5</v>
          </cell>
          <cell r="AA61">
            <v>1235.7</v>
          </cell>
          <cell r="AB61">
            <v>738</v>
          </cell>
          <cell r="AD61">
            <v>3.1</v>
          </cell>
          <cell r="AE61">
            <v>1233.8</v>
          </cell>
          <cell r="AF61">
            <v>1235.5</v>
          </cell>
          <cell r="AG61">
            <v>735.6</v>
          </cell>
          <cell r="AI61">
            <v>3.6</v>
          </cell>
          <cell r="AK61">
            <v>1873.2072700000001</v>
          </cell>
          <cell r="AM61">
            <v>1859.9510399999999</v>
          </cell>
          <cell r="AO61">
            <v>1614.20093</v>
          </cell>
          <cell r="AP61" t="str">
            <v>Muestra tomada en el elevador</v>
          </cell>
          <cell r="AQ61" t="str">
            <v>-</v>
          </cell>
          <cell r="AR61">
            <v>1892</v>
          </cell>
          <cell r="AS61">
            <v>3.2</v>
          </cell>
          <cell r="AV61">
            <v>2.4725909676213997</v>
          </cell>
          <cell r="BS61">
            <v>2.5939999999999999</v>
          </cell>
        </row>
        <row r="62">
          <cell r="A62">
            <v>60</v>
          </cell>
          <cell r="B62">
            <v>40217</v>
          </cell>
          <cell r="D62">
            <v>1501</v>
          </cell>
          <cell r="E62">
            <v>1428.1</v>
          </cell>
          <cell r="G62" t="str">
            <v>Parcheo elaboración de fallos en vías urbanas y rurales del municipio de Medellín.</v>
          </cell>
          <cell r="H62" t="str">
            <v>2/2</v>
          </cell>
          <cell r="I62">
            <v>0</v>
          </cell>
          <cell r="J62">
            <v>166.5</v>
          </cell>
          <cell r="K62">
            <v>146</v>
          </cell>
          <cell r="L62">
            <v>315.60000000000002</v>
          </cell>
          <cell r="M62">
            <v>307.8</v>
          </cell>
          <cell r="N62">
            <v>252.3</v>
          </cell>
          <cell r="O62">
            <v>88.7</v>
          </cell>
          <cell r="P62">
            <v>66.099999999999994</v>
          </cell>
          <cell r="Q62">
            <v>85.1</v>
          </cell>
          <cell r="S62">
            <v>25</v>
          </cell>
          <cell r="T62" t="str">
            <v>1</v>
          </cell>
          <cell r="U62">
            <v>1224.8</v>
          </cell>
          <cell r="V62">
            <v>1227.0999999999999</v>
          </cell>
          <cell r="W62">
            <v>726.8</v>
          </cell>
          <cell r="Y62">
            <v>3.1</v>
          </cell>
          <cell r="Z62">
            <v>1235.2</v>
          </cell>
          <cell r="AA62">
            <v>1236.8</v>
          </cell>
          <cell r="AB62">
            <v>734.5</v>
          </cell>
          <cell r="AD62">
            <v>3.1</v>
          </cell>
          <cell r="AE62">
            <v>1234.8</v>
          </cell>
          <cell r="AF62">
            <v>1236.3</v>
          </cell>
          <cell r="AG62">
            <v>732.2</v>
          </cell>
          <cell r="AI62">
            <v>3.3</v>
          </cell>
          <cell r="AK62">
            <v>1451.0473300000001</v>
          </cell>
          <cell r="AM62">
            <v>1600.9447</v>
          </cell>
          <cell r="AO62">
            <v>1483.6780500000002</v>
          </cell>
          <cell r="AP62" t="str">
            <v>Muestra tomada en la volqueta</v>
          </cell>
          <cell r="AQ62" t="str">
            <v>-</v>
          </cell>
          <cell r="AR62">
            <v>1581</v>
          </cell>
          <cell r="AS62">
            <v>3.2</v>
          </cell>
          <cell r="AV62">
            <v>2.4450716186828267</v>
          </cell>
          <cell r="BS62">
            <v>2.5939999999999999</v>
          </cell>
        </row>
        <row r="63">
          <cell r="A63">
            <v>61</v>
          </cell>
          <cell r="B63">
            <v>40218</v>
          </cell>
          <cell r="D63">
            <v>1500.5</v>
          </cell>
          <cell r="E63">
            <v>1424.5</v>
          </cell>
          <cell r="G63" t="str">
            <v>Parcheo elaboración de fallos en vías urbanas y rurales del municipio de Medellín.</v>
          </cell>
          <cell r="H63" t="str">
            <v>1/2</v>
          </cell>
          <cell r="I63">
            <v>0</v>
          </cell>
          <cell r="J63">
            <v>195.3</v>
          </cell>
          <cell r="K63">
            <v>194.4</v>
          </cell>
          <cell r="L63">
            <v>249.1</v>
          </cell>
          <cell r="M63">
            <v>314</v>
          </cell>
          <cell r="N63">
            <v>241.6</v>
          </cell>
          <cell r="O63">
            <v>75.5</v>
          </cell>
          <cell r="P63">
            <v>70.099999999999994</v>
          </cell>
          <cell r="Q63">
            <v>84.5</v>
          </cell>
          <cell r="S63">
            <v>25</v>
          </cell>
          <cell r="T63" t="str">
            <v>1</v>
          </cell>
          <cell r="U63">
            <v>1234.4000000000001</v>
          </cell>
          <cell r="V63">
            <v>1235.0999999999999</v>
          </cell>
          <cell r="W63">
            <v>740.9</v>
          </cell>
          <cell r="Y63">
            <v>3.5</v>
          </cell>
          <cell r="Z63">
            <v>1235.0999999999999</v>
          </cell>
          <cell r="AA63">
            <v>1235.8</v>
          </cell>
          <cell r="AB63">
            <v>736.3</v>
          </cell>
          <cell r="AD63">
            <v>3.4</v>
          </cell>
          <cell r="AE63">
            <v>1234.7</v>
          </cell>
          <cell r="AF63">
            <v>1235.7</v>
          </cell>
          <cell r="AG63">
            <v>738</v>
          </cell>
          <cell r="AI63">
            <v>3.4</v>
          </cell>
          <cell r="AK63">
            <v>1851.7933600000001</v>
          </cell>
          <cell r="AM63">
            <v>1681.5017899999998</v>
          </cell>
          <cell r="AO63">
            <v>1798.7684400000001</v>
          </cell>
          <cell r="AP63" t="str">
            <v>Muestra tomada en el elevador</v>
          </cell>
          <cell r="AQ63" t="str">
            <v>-</v>
          </cell>
          <cell r="AR63">
            <v>1891</v>
          </cell>
          <cell r="AS63">
            <v>3.4</v>
          </cell>
          <cell r="AV63">
            <v>2.4764878852584329</v>
          </cell>
          <cell r="BS63">
            <v>2.5979999999999999</v>
          </cell>
        </row>
        <row r="64">
          <cell r="A64">
            <v>62</v>
          </cell>
          <cell r="B64">
            <v>40218</v>
          </cell>
          <cell r="D64">
            <v>1500.9</v>
          </cell>
          <cell r="E64">
            <v>1427.7</v>
          </cell>
          <cell r="G64" t="str">
            <v>Parcheo elaboración de fallos en vías urbanas y rurales del municipio de Medellín.</v>
          </cell>
          <cell r="H64" t="str">
            <v>2/2</v>
          </cell>
          <cell r="I64">
            <v>0</v>
          </cell>
          <cell r="J64">
            <v>217</v>
          </cell>
          <cell r="K64">
            <v>186.7</v>
          </cell>
          <cell r="L64">
            <v>208.9</v>
          </cell>
          <cell r="M64">
            <v>296.89999999999998</v>
          </cell>
          <cell r="N64">
            <v>274</v>
          </cell>
          <cell r="O64">
            <v>80.2</v>
          </cell>
          <cell r="P64">
            <v>76.900000000000006</v>
          </cell>
          <cell r="Q64">
            <v>87.1</v>
          </cell>
          <cell r="S64">
            <v>25</v>
          </cell>
          <cell r="T64" t="str">
            <v>1</v>
          </cell>
          <cell r="U64">
            <v>1231.9000000000001</v>
          </cell>
          <cell r="V64">
            <v>1233.8</v>
          </cell>
          <cell r="W64">
            <v>734.8</v>
          </cell>
          <cell r="Y64">
            <v>2.9</v>
          </cell>
          <cell r="Z64">
            <v>1233.8</v>
          </cell>
          <cell r="AA64">
            <v>1234.2</v>
          </cell>
          <cell r="AB64">
            <v>736.3</v>
          </cell>
          <cell r="AD64">
            <v>3.6</v>
          </cell>
          <cell r="AE64">
            <v>1237.8</v>
          </cell>
          <cell r="AF64">
            <v>1238.5</v>
          </cell>
          <cell r="AG64">
            <v>736.4</v>
          </cell>
          <cell r="AI64">
            <v>3.1</v>
          </cell>
          <cell r="AK64">
            <v>1450.0276200000001</v>
          </cell>
          <cell r="AM64">
            <v>1871.1678500000003</v>
          </cell>
          <cell r="AO64">
            <v>1532.6241299999999</v>
          </cell>
          <cell r="AP64" t="str">
            <v>Muestra tomada en la volqueta</v>
          </cell>
          <cell r="AQ64" t="str">
            <v>-</v>
          </cell>
          <cell r="AR64">
            <v>1707</v>
          </cell>
          <cell r="AS64">
            <v>3.2</v>
          </cell>
          <cell r="AV64">
            <v>2.4634370000173669</v>
          </cell>
          <cell r="BS64">
            <v>2.5979999999999999</v>
          </cell>
        </row>
        <row r="65">
          <cell r="A65">
            <v>63</v>
          </cell>
          <cell r="B65">
            <v>40219</v>
          </cell>
          <cell r="D65">
            <v>1500.1</v>
          </cell>
          <cell r="E65">
            <v>1427</v>
          </cell>
          <cell r="G65" t="str">
            <v>Parcheo elaboración de fallos en vías urbanas y rurales del municipio de Medellín.</v>
          </cell>
          <cell r="H65" t="str">
            <v>1/2</v>
          </cell>
          <cell r="I65">
            <v>0</v>
          </cell>
          <cell r="J65">
            <v>190.9</v>
          </cell>
          <cell r="K65">
            <v>193</v>
          </cell>
          <cell r="L65">
            <v>262.89999999999998</v>
          </cell>
          <cell r="M65">
            <v>300.39999999999998</v>
          </cell>
          <cell r="N65">
            <v>239.7</v>
          </cell>
          <cell r="O65">
            <v>77.7</v>
          </cell>
          <cell r="P65">
            <v>77.2</v>
          </cell>
          <cell r="Q65">
            <v>85.2</v>
          </cell>
          <cell r="S65">
            <v>25</v>
          </cell>
          <cell r="T65" t="str">
            <v>1</v>
          </cell>
          <cell r="U65">
            <v>1237.5999999999999</v>
          </cell>
          <cell r="V65">
            <v>1238.4000000000001</v>
          </cell>
          <cell r="W65">
            <v>742.2</v>
          </cell>
          <cell r="Y65">
            <v>3</v>
          </cell>
          <cell r="Z65">
            <v>1230.5</v>
          </cell>
          <cell r="AA65">
            <v>1232.3</v>
          </cell>
          <cell r="AB65">
            <v>732.9</v>
          </cell>
          <cell r="AD65">
            <v>3.6</v>
          </cell>
          <cell r="AE65">
            <v>1235.5</v>
          </cell>
          <cell r="AF65">
            <v>1236.9000000000001</v>
          </cell>
          <cell r="AG65">
            <v>735</v>
          </cell>
          <cell r="AI65">
            <v>3.2</v>
          </cell>
          <cell r="AK65">
            <v>1910.9365399999999</v>
          </cell>
          <cell r="AM65">
            <v>1625.4177400000001</v>
          </cell>
          <cell r="AO65">
            <v>1742.6843900000001</v>
          </cell>
          <cell r="AP65" t="str">
            <v>Muestra tomada en el elevador</v>
          </cell>
          <cell r="AQ65" t="str">
            <v>-</v>
          </cell>
          <cell r="AR65">
            <v>1860</v>
          </cell>
          <cell r="AS65">
            <v>3.3</v>
          </cell>
          <cell r="AV65">
            <v>2.4660184281048059</v>
          </cell>
          <cell r="BS65">
            <v>2.5910000000000002</v>
          </cell>
        </row>
        <row r="66">
          <cell r="A66">
            <v>64</v>
          </cell>
          <cell r="B66">
            <v>40219</v>
          </cell>
          <cell r="D66">
            <v>1501.7</v>
          </cell>
          <cell r="E66">
            <v>1429.4</v>
          </cell>
          <cell r="G66" t="str">
            <v>Parcheo elaboración de fallos en vías urbanas y rurales del municipio de Medellín.</v>
          </cell>
          <cell r="H66" t="str">
            <v>2/2</v>
          </cell>
          <cell r="I66">
            <v>0</v>
          </cell>
          <cell r="J66">
            <v>209.4</v>
          </cell>
          <cell r="K66">
            <v>202</v>
          </cell>
          <cell r="L66">
            <v>255.9</v>
          </cell>
          <cell r="M66">
            <v>287.39999999999998</v>
          </cell>
          <cell r="N66">
            <v>241.8</v>
          </cell>
          <cell r="O66">
            <v>83.7</v>
          </cell>
          <cell r="P66">
            <v>62</v>
          </cell>
          <cell r="Q66">
            <v>87.2</v>
          </cell>
          <cell r="S66">
            <v>25</v>
          </cell>
          <cell r="T66" t="str">
            <v>1</v>
          </cell>
          <cell r="U66">
            <v>1234.4000000000001</v>
          </cell>
          <cell r="V66">
            <v>1235</v>
          </cell>
          <cell r="W66">
            <v>737.7</v>
          </cell>
          <cell r="Y66">
            <v>3.1</v>
          </cell>
          <cell r="Z66">
            <v>1233.7</v>
          </cell>
          <cell r="AA66">
            <v>1235.0999999999999</v>
          </cell>
          <cell r="AB66">
            <v>735.6</v>
          </cell>
          <cell r="AD66">
            <v>3.4</v>
          </cell>
          <cell r="AE66">
            <v>1232.2</v>
          </cell>
          <cell r="AF66">
            <v>1233</v>
          </cell>
          <cell r="AG66">
            <v>735.1</v>
          </cell>
          <cell r="AI66">
            <v>3.4</v>
          </cell>
          <cell r="AK66">
            <v>1742.6843900000001</v>
          </cell>
          <cell r="AM66">
            <v>1822.2217700000001</v>
          </cell>
          <cell r="AO66">
            <v>1758.9997499999999</v>
          </cell>
          <cell r="AP66" t="str">
            <v>Muestra tomada en la volqueta</v>
          </cell>
          <cell r="AQ66" t="str">
            <v>-</v>
          </cell>
          <cell r="AR66">
            <v>1881</v>
          </cell>
          <cell r="AS66">
            <v>3.3</v>
          </cell>
          <cell r="AV66">
            <v>2.4683814392260786</v>
          </cell>
          <cell r="BS66">
            <v>2.5910000000000002</v>
          </cell>
        </row>
        <row r="67">
          <cell r="A67">
            <v>65</v>
          </cell>
          <cell r="B67">
            <v>40220</v>
          </cell>
          <cell r="D67">
            <v>1501.9</v>
          </cell>
          <cell r="E67">
            <v>1425.6</v>
          </cell>
          <cell r="G67" t="str">
            <v>Parcheo elaboración de fallos en vías urbanas y rurales del municipio de Medellín.</v>
          </cell>
          <cell r="H67" t="str">
            <v>1/2</v>
          </cell>
          <cell r="I67">
            <v>0</v>
          </cell>
          <cell r="J67">
            <v>161.5</v>
          </cell>
          <cell r="K67">
            <v>183.3</v>
          </cell>
          <cell r="L67">
            <v>289.60000000000002</v>
          </cell>
          <cell r="M67">
            <v>310.8</v>
          </cell>
          <cell r="N67">
            <v>235.1</v>
          </cell>
          <cell r="O67">
            <v>80.8</v>
          </cell>
          <cell r="P67">
            <v>72.599999999999994</v>
          </cell>
          <cell r="Q67">
            <v>91.9</v>
          </cell>
          <cell r="S67">
            <v>25</v>
          </cell>
          <cell r="T67" t="str">
            <v>1</v>
          </cell>
          <cell r="U67">
            <v>1236.2</v>
          </cell>
          <cell r="V67">
            <v>1236.8</v>
          </cell>
          <cell r="W67">
            <v>739.3</v>
          </cell>
          <cell r="Y67">
            <v>2.9</v>
          </cell>
          <cell r="Z67">
            <v>1231.2</v>
          </cell>
          <cell r="AA67">
            <v>1232.5</v>
          </cell>
          <cell r="AB67">
            <v>735.2</v>
          </cell>
          <cell r="AD67">
            <v>3</v>
          </cell>
          <cell r="AE67">
            <v>1233.9000000000001</v>
          </cell>
          <cell r="AF67">
            <v>1234.9000000000001</v>
          </cell>
          <cell r="AG67">
            <v>736</v>
          </cell>
          <cell r="AI67">
            <v>3</v>
          </cell>
          <cell r="AK67">
            <v>1809.9852500000002</v>
          </cell>
          <cell r="AM67">
            <v>1696.7974400000001</v>
          </cell>
          <cell r="AO67">
            <v>1474.5006600000002</v>
          </cell>
          <cell r="AP67" t="str">
            <v>Muestra tomada en el elevador</v>
          </cell>
          <cell r="AQ67" t="str">
            <v>-</v>
          </cell>
          <cell r="AR67">
            <v>1762</v>
          </cell>
          <cell r="AS67">
            <v>3</v>
          </cell>
          <cell r="AV67">
            <v>2.470696812961795</v>
          </cell>
          <cell r="BS67">
            <v>2.5910000000000002</v>
          </cell>
        </row>
        <row r="68">
          <cell r="A68">
            <v>66</v>
          </cell>
          <cell r="B68">
            <v>40220</v>
          </cell>
          <cell r="D68">
            <v>1500.4</v>
          </cell>
          <cell r="E68">
            <v>1425.6</v>
          </cell>
          <cell r="G68" t="str">
            <v>Parcheo elaboración de fallos en vías urbanas y rurales del municipio de Medellín.</v>
          </cell>
          <cell r="H68" t="str">
            <v>2/2</v>
          </cell>
          <cell r="I68">
            <v>0</v>
          </cell>
          <cell r="J68">
            <v>195</v>
          </cell>
          <cell r="K68">
            <v>174.5</v>
          </cell>
          <cell r="L68">
            <v>277.5</v>
          </cell>
          <cell r="M68">
            <v>297.39999999999998</v>
          </cell>
          <cell r="N68">
            <v>246.3</v>
          </cell>
          <cell r="O68">
            <v>85.1</v>
          </cell>
          <cell r="P68">
            <v>62.3</v>
          </cell>
          <cell r="Q68">
            <v>87.5</v>
          </cell>
          <cell r="S68">
            <v>25</v>
          </cell>
          <cell r="T68" t="str">
            <v>1</v>
          </cell>
          <cell r="U68">
            <v>1232.4000000000001</v>
          </cell>
          <cell r="V68">
            <v>1233.3</v>
          </cell>
          <cell r="W68">
            <v>734.9</v>
          </cell>
          <cell r="Y68">
            <v>2.8</v>
          </cell>
          <cell r="Z68">
            <v>1230.8</v>
          </cell>
          <cell r="AA68">
            <v>1232.0999999999999</v>
          </cell>
          <cell r="AB68">
            <v>732.5</v>
          </cell>
          <cell r="AD68">
            <v>2.85</v>
          </cell>
          <cell r="AE68">
            <v>1235.0999999999999</v>
          </cell>
          <cell r="AF68">
            <v>1236</v>
          </cell>
          <cell r="AG68">
            <v>732.5</v>
          </cell>
          <cell r="AI68">
            <v>2.7</v>
          </cell>
          <cell r="AK68">
            <v>1543.84094</v>
          </cell>
          <cell r="AM68">
            <v>1523.4467400000001</v>
          </cell>
          <cell r="AO68">
            <v>1523.4467400000001</v>
          </cell>
          <cell r="AP68" t="str">
            <v>Muestra tomada en la volqueta</v>
          </cell>
          <cell r="AQ68" t="str">
            <v>-</v>
          </cell>
          <cell r="AR68">
            <v>1610</v>
          </cell>
          <cell r="AS68">
            <v>2.8</v>
          </cell>
          <cell r="AV68">
            <v>2.4558995323641577</v>
          </cell>
          <cell r="BS68">
            <v>2.5910000000000002</v>
          </cell>
        </row>
        <row r="69">
          <cell r="A69">
            <v>67</v>
          </cell>
          <cell r="B69">
            <v>40221</v>
          </cell>
          <cell r="D69">
            <v>1500.4</v>
          </cell>
          <cell r="E69">
            <v>1428</v>
          </cell>
          <cell r="G69" t="str">
            <v>Parcheo elaboración de fallos en vías urbanas y rurales del municipio de Medellín.</v>
          </cell>
          <cell r="H69" t="str">
            <v>1/2</v>
          </cell>
          <cell r="I69">
            <v>0</v>
          </cell>
          <cell r="J69">
            <v>190.3</v>
          </cell>
          <cell r="K69">
            <v>194.8</v>
          </cell>
          <cell r="L69">
            <v>303.60000000000002</v>
          </cell>
          <cell r="M69">
            <v>292.2</v>
          </cell>
          <cell r="N69">
            <v>218</v>
          </cell>
          <cell r="O69">
            <v>75.099999999999994</v>
          </cell>
          <cell r="P69">
            <v>64.8</v>
          </cell>
          <cell r="Q69">
            <v>89.2</v>
          </cell>
          <cell r="S69">
            <v>25</v>
          </cell>
          <cell r="T69" t="str">
            <v>1</v>
          </cell>
          <cell r="U69">
            <v>1231.3</v>
          </cell>
          <cell r="V69">
            <v>1232.3</v>
          </cell>
          <cell r="W69">
            <v>733.6</v>
          </cell>
          <cell r="Y69">
            <v>3.3</v>
          </cell>
          <cell r="Z69">
            <v>1234.5</v>
          </cell>
          <cell r="AA69">
            <v>1235.7</v>
          </cell>
          <cell r="AB69">
            <v>735.6</v>
          </cell>
          <cell r="AD69">
            <v>3.3</v>
          </cell>
          <cell r="AE69">
            <v>1234.5</v>
          </cell>
          <cell r="AF69">
            <v>1235.3</v>
          </cell>
          <cell r="AG69">
            <v>735.9</v>
          </cell>
          <cell r="AI69">
            <v>3.14</v>
          </cell>
          <cell r="AK69">
            <v>1538.7423900000001</v>
          </cell>
          <cell r="AM69">
            <v>1595.8461500000001</v>
          </cell>
          <cell r="AO69">
            <v>1641.7331000000001</v>
          </cell>
          <cell r="AP69" t="str">
            <v>Muestra tomada en el elevador</v>
          </cell>
          <cell r="AQ69" t="str">
            <v>-</v>
          </cell>
          <cell r="AR69">
            <v>1681</v>
          </cell>
          <cell r="AS69">
            <v>3.2</v>
          </cell>
          <cell r="AV69">
            <v>2.4626064481748791</v>
          </cell>
          <cell r="BS69">
            <v>2.5859999999999999</v>
          </cell>
        </row>
        <row r="70">
          <cell r="A70">
            <v>68</v>
          </cell>
          <cell r="B70">
            <v>40221</v>
          </cell>
          <cell r="D70">
            <v>1500.9</v>
          </cell>
          <cell r="E70">
            <v>1426.4</v>
          </cell>
          <cell r="G70" t="str">
            <v>Parcheo elaboración de fallos en vías urbanas y rurales del municipio de Medellín</v>
          </cell>
          <cell r="H70" t="str">
            <v>2/2</v>
          </cell>
          <cell r="I70">
            <v>0</v>
          </cell>
          <cell r="J70">
            <v>185.4</v>
          </cell>
          <cell r="K70">
            <v>186.3</v>
          </cell>
          <cell r="L70">
            <v>319.89999999999998</v>
          </cell>
          <cell r="M70">
            <v>281.2</v>
          </cell>
          <cell r="N70">
            <v>223.2</v>
          </cell>
          <cell r="O70">
            <v>77.7</v>
          </cell>
          <cell r="P70">
            <v>70.599999999999994</v>
          </cell>
          <cell r="Q70">
            <v>82.1</v>
          </cell>
          <cell r="S70">
            <v>25</v>
          </cell>
          <cell r="T70" t="str">
            <v>1</v>
          </cell>
          <cell r="U70">
            <v>1229.8</v>
          </cell>
          <cell r="V70">
            <v>1231.3</v>
          </cell>
          <cell r="W70">
            <v>731.3</v>
          </cell>
          <cell r="Y70">
            <v>3</v>
          </cell>
          <cell r="Z70">
            <v>1229.0999999999999</v>
          </cell>
          <cell r="AA70">
            <v>1229.8</v>
          </cell>
          <cell r="AB70">
            <v>733</v>
          </cell>
          <cell r="AD70">
            <v>2.8</v>
          </cell>
          <cell r="AE70">
            <v>1236.2</v>
          </cell>
          <cell r="AF70">
            <v>1238</v>
          </cell>
          <cell r="AG70">
            <v>735.7</v>
          </cell>
          <cell r="AI70">
            <v>3.6</v>
          </cell>
          <cell r="AK70">
            <v>1455.12617</v>
          </cell>
          <cell r="AM70">
            <v>1601.96441</v>
          </cell>
          <cell r="AO70">
            <v>1689.6594700000001</v>
          </cell>
          <cell r="AP70" t="str">
            <v>Muestra tomada en la volqueta</v>
          </cell>
          <cell r="AQ70" t="str">
            <v>-</v>
          </cell>
          <cell r="AR70">
            <v>1669</v>
          </cell>
          <cell r="AS70">
            <v>3.1</v>
          </cell>
          <cell r="AV70">
            <v>2.4576944392543081</v>
          </cell>
          <cell r="BS70">
            <v>2.5859999999999999</v>
          </cell>
        </row>
        <row r="71">
          <cell r="A71">
            <v>69</v>
          </cell>
          <cell r="B71">
            <v>40224</v>
          </cell>
          <cell r="D71">
            <v>1500.4</v>
          </cell>
          <cell r="E71">
            <v>1421.1</v>
          </cell>
          <cell r="G71" t="str">
            <v>Parcheo elaboración de fallos en vías urbanas y rurales del municipio de Medellín; Obra las Palmas. Estyma S.A.; Magma.</v>
          </cell>
          <cell r="H71" t="str">
            <v>1/2</v>
          </cell>
          <cell r="I71">
            <v>0</v>
          </cell>
          <cell r="J71">
            <v>155.5</v>
          </cell>
          <cell r="K71">
            <v>163.80000000000001</v>
          </cell>
          <cell r="L71">
            <v>328.9</v>
          </cell>
          <cell r="M71">
            <v>252.7</v>
          </cell>
          <cell r="N71">
            <v>267.2</v>
          </cell>
          <cell r="O71">
            <v>89.6</v>
          </cell>
          <cell r="P71">
            <v>74.5</v>
          </cell>
          <cell r="Q71">
            <v>88.9</v>
          </cell>
          <cell r="S71">
            <v>25</v>
          </cell>
          <cell r="T71" t="str">
            <v>1</v>
          </cell>
          <cell r="U71">
            <v>1235.9000000000001</v>
          </cell>
          <cell r="V71">
            <v>1237.4000000000001</v>
          </cell>
          <cell r="W71">
            <v>734.7</v>
          </cell>
          <cell r="Y71">
            <v>3.2</v>
          </cell>
          <cell r="Z71">
            <v>1236.5</v>
          </cell>
          <cell r="AA71">
            <v>1237.8</v>
          </cell>
          <cell r="AB71">
            <v>734.2</v>
          </cell>
          <cell r="AD71">
            <v>3.3</v>
          </cell>
          <cell r="AE71">
            <v>1234.5</v>
          </cell>
          <cell r="AF71">
            <v>1236.8</v>
          </cell>
          <cell r="AG71">
            <v>730.7</v>
          </cell>
          <cell r="AI71">
            <v>3.1</v>
          </cell>
          <cell r="AK71">
            <v>1511.2102200000002</v>
          </cell>
          <cell r="AM71">
            <v>1620.3191900000002</v>
          </cell>
          <cell r="AO71">
            <v>1421.4757400000001</v>
          </cell>
          <cell r="AP71" t="str">
            <v>Muestra tomada en el elevador</v>
          </cell>
          <cell r="AQ71" t="str">
            <v>-</v>
          </cell>
          <cell r="AR71">
            <v>1578</v>
          </cell>
          <cell r="AS71">
            <v>3.2</v>
          </cell>
          <cell r="AV71">
            <v>2.4438597106295799</v>
          </cell>
          <cell r="BS71">
            <v>2.577</v>
          </cell>
        </row>
        <row r="72">
          <cell r="A72">
            <v>70</v>
          </cell>
          <cell r="B72">
            <v>40224</v>
          </cell>
          <cell r="D72">
            <v>1501</v>
          </cell>
          <cell r="E72">
            <v>1427</v>
          </cell>
          <cell r="G72" t="str">
            <v>Parcheo elaboración de fallos en vías urbanas y rurales del municipio de Medellín; Obra las Palmas. Estyma S.A.; Magma.</v>
          </cell>
          <cell r="H72" t="str">
            <v>2/2</v>
          </cell>
          <cell r="I72">
            <v>0</v>
          </cell>
          <cell r="J72">
            <v>156.4</v>
          </cell>
          <cell r="K72">
            <v>179</v>
          </cell>
          <cell r="L72">
            <v>314.60000000000002</v>
          </cell>
          <cell r="M72">
            <v>298.3</v>
          </cell>
          <cell r="N72">
            <v>240.6</v>
          </cell>
          <cell r="O72">
            <v>88.8</v>
          </cell>
          <cell r="P72">
            <v>63.5</v>
          </cell>
          <cell r="Q72">
            <v>85.8</v>
          </cell>
          <cell r="S72">
            <v>25</v>
          </cell>
          <cell r="T72" t="str">
            <v>1</v>
          </cell>
          <cell r="U72">
            <v>1236.7</v>
          </cell>
          <cell r="V72">
            <v>1237.3</v>
          </cell>
          <cell r="W72">
            <v>737.5</v>
          </cell>
          <cell r="Y72">
            <v>3.1</v>
          </cell>
          <cell r="Z72">
            <v>1233.0999999999999</v>
          </cell>
          <cell r="AA72">
            <v>1234.4000000000001</v>
          </cell>
          <cell r="AB72">
            <v>733.2</v>
          </cell>
          <cell r="AD72">
            <v>3</v>
          </cell>
          <cell r="AE72">
            <v>1232.5999999999999</v>
          </cell>
          <cell r="AF72">
            <v>1233.5999999999999</v>
          </cell>
          <cell r="AG72">
            <v>732.5</v>
          </cell>
          <cell r="AI72">
            <v>3.2</v>
          </cell>
          <cell r="AK72">
            <v>1648.8710700000001</v>
          </cell>
          <cell r="AM72">
            <v>1540.78181</v>
          </cell>
          <cell r="AO72">
            <v>1483.6780500000002</v>
          </cell>
          <cell r="AP72" t="str">
            <v>Muestra tomada en la volqueta</v>
          </cell>
          <cell r="AQ72" t="str">
            <v>-</v>
          </cell>
          <cell r="AR72">
            <v>1638</v>
          </cell>
          <cell r="AS72">
            <v>3.1</v>
          </cell>
          <cell r="AV72">
            <v>2.4576148925183725</v>
          </cell>
          <cell r="BS72">
            <v>2.577</v>
          </cell>
        </row>
        <row r="73">
          <cell r="A73">
            <v>71</v>
          </cell>
          <cell r="B73">
            <v>40225</v>
          </cell>
          <cell r="D73">
            <v>1501.1</v>
          </cell>
          <cell r="E73">
            <v>1425.2</v>
          </cell>
          <cell r="G73" t="str">
            <v>Parcheo elaboración de fallos en vías urbanas y rurales del municipio de Medellín; Obra las Palmas. Estyma S.A.; Magma.</v>
          </cell>
          <cell r="H73" t="str">
            <v>1/2</v>
          </cell>
          <cell r="I73">
            <v>0</v>
          </cell>
          <cell r="J73">
            <v>172.1</v>
          </cell>
          <cell r="K73">
            <v>213.7</v>
          </cell>
          <cell r="L73">
            <v>282.2</v>
          </cell>
          <cell r="M73">
            <v>280.2</v>
          </cell>
          <cell r="N73">
            <v>237.2</v>
          </cell>
          <cell r="O73">
            <v>79.5</v>
          </cell>
          <cell r="P73">
            <v>73.8</v>
          </cell>
          <cell r="Q73">
            <v>86.5</v>
          </cell>
          <cell r="S73">
            <v>25</v>
          </cell>
          <cell r="T73" t="str">
            <v>1</v>
          </cell>
          <cell r="U73">
            <v>1230.7</v>
          </cell>
          <cell r="V73">
            <v>1232.2</v>
          </cell>
          <cell r="W73">
            <v>733.9</v>
          </cell>
          <cell r="Y73">
            <v>3</v>
          </cell>
          <cell r="Z73">
            <v>1227.5999999999999</v>
          </cell>
          <cell r="AA73">
            <v>1228.9000000000001</v>
          </cell>
          <cell r="AB73">
            <v>733</v>
          </cell>
          <cell r="AD73">
            <v>3.4</v>
          </cell>
          <cell r="AE73">
            <v>1229.7</v>
          </cell>
          <cell r="AF73">
            <v>1231.0999999999999</v>
          </cell>
          <cell r="AG73">
            <v>730.2</v>
          </cell>
          <cell r="AI73">
            <v>3.4</v>
          </cell>
          <cell r="AK73">
            <v>1663.1470099999999</v>
          </cell>
          <cell r="AM73">
            <v>1792.6501799999999</v>
          </cell>
          <cell r="AO73">
            <v>1460.2247200000002</v>
          </cell>
          <cell r="AP73" t="str">
            <v>Muestra tomada en el elevador</v>
          </cell>
          <cell r="AQ73" t="str">
            <v>-</v>
          </cell>
          <cell r="AR73">
            <v>1737</v>
          </cell>
          <cell r="AS73">
            <v>3.3</v>
          </cell>
          <cell r="AV73">
            <v>2.4595438753498668</v>
          </cell>
          <cell r="BS73">
            <v>2.5737999999999999</v>
          </cell>
        </row>
        <row r="74">
          <cell r="A74">
            <v>72</v>
          </cell>
          <cell r="B74">
            <v>40225</v>
          </cell>
          <cell r="D74">
            <v>1501.3</v>
          </cell>
          <cell r="E74">
            <v>1426.8</v>
          </cell>
          <cell r="G74" t="str">
            <v>Parcheo elaboración de fallos en vías urbanas y rurales del municipio de Medellín; Obra las Palmas. Estyma S.A.; Magma.</v>
          </cell>
          <cell r="H74" t="str">
            <v>2/2</v>
          </cell>
          <cell r="I74">
            <v>0</v>
          </cell>
          <cell r="J74">
            <v>205.2</v>
          </cell>
          <cell r="K74">
            <v>160.30000000000001</v>
          </cell>
          <cell r="L74">
            <v>308.60000000000002</v>
          </cell>
          <cell r="M74">
            <v>285.8</v>
          </cell>
          <cell r="N74">
            <v>224.4</v>
          </cell>
          <cell r="O74">
            <v>79.7</v>
          </cell>
          <cell r="P74">
            <v>70.7</v>
          </cell>
          <cell r="Q74">
            <v>92.1</v>
          </cell>
          <cell r="S74">
            <v>25</v>
          </cell>
          <cell r="T74" t="str">
            <v>1</v>
          </cell>
          <cell r="U74">
            <v>1234.9000000000001</v>
          </cell>
          <cell r="V74">
            <v>1235.5</v>
          </cell>
          <cell r="W74">
            <v>739</v>
          </cell>
          <cell r="Y74">
            <v>3.1</v>
          </cell>
          <cell r="Z74">
            <v>1235</v>
          </cell>
          <cell r="AA74">
            <v>1235.8</v>
          </cell>
          <cell r="AB74">
            <v>734.5</v>
          </cell>
          <cell r="AD74">
            <v>3.1</v>
          </cell>
          <cell r="AE74">
            <v>1236.5999999999999</v>
          </cell>
          <cell r="AF74">
            <v>1237.8</v>
          </cell>
          <cell r="AG74">
            <v>738.4</v>
          </cell>
          <cell r="AI74">
            <v>3.1</v>
          </cell>
          <cell r="AK74">
            <v>1794.6896000000002</v>
          </cell>
          <cell r="AM74">
            <v>1422.4954499999999</v>
          </cell>
          <cell r="AO74">
            <v>1789.5910500000002</v>
          </cell>
          <cell r="AP74" t="str">
            <v>Muestra tomada en la volqueta</v>
          </cell>
          <cell r="AQ74" t="str">
            <v>-</v>
          </cell>
          <cell r="AR74">
            <v>1765</v>
          </cell>
          <cell r="AS74">
            <v>3.1</v>
          </cell>
          <cell r="AV74">
            <v>2.4684175421803816</v>
          </cell>
          <cell r="BS74">
            <v>2.5785999999999998</v>
          </cell>
        </row>
        <row r="75">
          <cell r="A75">
            <v>73</v>
          </cell>
          <cell r="B75">
            <v>40226</v>
          </cell>
          <cell r="D75">
            <v>1501.1</v>
          </cell>
          <cell r="E75">
            <v>1429.5</v>
          </cell>
          <cell r="G75" t="str">
            <v>Parcheo elaboración de fallos en vías urbanas y rurales del municipio de Medellín; Obra las Palmas. Estyma S.A.</v>
          </cell>
          <cell r="H75" t="str">
            <v>1/2</v>
          </cell>
          <cell r="I75">
            <v>0</v>
          </cell>
          <cell r="J75">
            <v>218.8</v>
          </cell>
          <cell r="K75">
            <v>196.1</v>
          </cell>
          <cell r="L75">
            <v>297.60000000000002</v>
          </cell>
          <cell r="M75">
            <v>269</v>
          </cell>
          <cell r="N75">
            <v>216.7</v>
          </cell>
          <cell r="O75">
            <v>78.599999999999994</v>
          </cell>
          <cell r="P75">
            <v>68</v>
          </cell>
          <cell r="Q75">
            <v>84.7</v>
          </cell>
          <cell r="S75">
            <v>25</v>
          </cell>
          <cell r="T75" t="str">
            <v>1</v>
          </cell>
          <cell r="U75">
            <v>1234.5</v>
          </cell>
          <cell r="V75">
            <v>1235.0999999999999</v>
          </cell>
          <cell r="W75">
            <v>734.4</v>
          </cell>
          <cell r="Y75">
            <v>3.2</v>
          </cell>
          <cell r="Z75">
            <v>1237.3</v>
          </cell>
          <cell r="AA75">
            <v>1238.0999999999999</v>
          </cell>
          <cell r="AB75">
            <v>734.2</v>
          </cell>
          <cell r="AD75">
            <v>3.1</v>
          </cell>
          <cell r="AE75">
            <v>1232.4000000000001</v>
          </cell>
          <cell r="AF75">
            <v>1234.5</v>
          </cell>
          <cell r="AG75">
            <v>729.7</v>
          </cell>
          <cell r="AI75">
            <v>3</v>
          </cell>
          <cell r="AK75">
            <v>1880.3452400000001</v>
          </cell>
          <cell r="AM75">
            <v>1643.7725200000002</v>
          </cell>
          <cell r="AO75">
            <v>1560.1563000000001</v>
          </cell>
          <cell r="AP75" t="str">
            <v>Muestra tomada en el elevador</v>
          </cell>
          <cell r="AQ75" t="str">
            <v>-</v>
          </cell>
          <cell r="AR75">
            <v>1768</v>
          </cell>
          <cell r="AS75">
            <v>3.1</v>
          </cell>
          <cell r="AV75">
            <v>2.4469412529443235</v>
          </cell>
          <cell r="BS75">
            <v>2.5720000000000001</v>
          </cell>
        </row>
        <row r="76">
          <cell r="A76">
            <v>74</v>
          </cell>
          <cell r="B76">
            <v>40226</v>
          </cell>
          <cell r="D76">
            <v>1502.9</v>
          </cell>
          <cell r="E76">
            <v>1432.5</v>
          </cell>
          <cell r="G76" t="str">
            <v>Parcheo elaboración de fallos en vías urbanas y rurales del municipio de Medellín; Obra las Palmas. Estyma S.A.</v>
          </cell>
          <cell r="H76" t="str">
            <v>2/2</v>
          </cell>
          <cell r="I76">
            <v>0</v>
          </cell>
          <cell r="J76">
            <v>146.19999999999999</v>
          </cell>
          <cell r="K76">
            <v>199.6</v>
          </cell>
          <cell r="L76">
            <v>356.2</v>
          </cell>
          <cell r="M76">
            <v>278.5</v>
          </cell>
          <cell r="N76">
            <v>214.6</v>
          </cell>
          <cell r="O76">
            <v>84.8</v>
          </cell>
          <cell r="P76">
            <v>66.3</v>
          </cell>
          <cell r="Q76">
            <v>86.3</v>
          </cell>
          <cell r="S76">
            <v>25</v>
          </cell>
          <cell r="T76" t="str">
            <v>1</v>
          </cell>
          <cell r="U76">
            <v>1233.8</v>
          </cell>
          <cell r="V76">
            <v>1235.2</v>
          </cell>
          <cell r="W76">
            <v>733.9</v>
          </cell>
          <cell r="Y76">
            <v>3.3</v>
          </cell>
          <cell r="Z76">
            <v>1235.8</v>
          </cell>
          <cell r="AA76">
            <v>1237.5</v>
          </cell>
          <cell r="AB76">
            <v>731.2</v>
          </cell>
          <cell r="AD76">
            <v>3</v>
          </cell>
          <cell r="AE76">
            <v>1229.2</v>
          </cell>
          <cell r="AF76">
            <v>1231.5</v>
          </cell>
          <cell r="AG76">
            <v>730</v>
          </cell>
          <cell r="AI76">
            <v>3.6</v>
          </cell>
          <cell r="AK76">
            <v>1865.0495900000001</v>
          </cell>
          <cell r="AM76">
            <v>1605.0235400000001</v>
          </cell>
          <cell r="AO76">
            <v>1687.6200500000002</v>
          </cell>
          <cell r="AP76" t="str">
            <v>Muestra tomada en la volqueta</v>
          </cell>
          <cell r="AQ76" t="str">
            <v>-</v>
          </cell>
          <cell r="AR76">
            <v>1794</v>
          </cell>
          <cell r="AS76">
            <v>3.3</v>
          </cell>
          <cell r="AV76">
            <v>2.4438617628238011</v>
          </cell>
          <cell r="BS76">
            <v>2.5720000000000001</v>
          </cell>
        </row>
        <row r="77">
          <cell r="A77">
            <v>75</v>
          </cell>
          <cell r="B77">
            <v>40227</v>
          </cell>
          <cell r="D77">
            <v>1501</v>
          </cell>
          <cell r="E77">
            <v>1422.3</v>
          </cell>
          <cell r="G77" t="str">
            <v>Parcheo elaboración de fallos en vías urbanas y rurales del municipio de Medellín; Obra las Palmas. Estyma S.A.; Magma.</v>
          </cell>
          <cell r="H77" t="str">
            <v>1/2</v>
          </cell>
          <cell r="I77">
            <v>0</v>
          </cell>
          <cell r="J77">
            <v>153.1</v>
          </cell>
          <cell r="K77">
            <v>219.1</v>
          </cell>
          <cell r="L77">
            <v>263.60000000000002</v>
          </cell>
          <cell r="M77">
            <v>298.5</v>
          </cell>
          <cell r="N77">
            <v>248.2</v>
          </cell>
          <cell r="O77">
            <v>86.9</v>
          </cell>
          <cell r="P77">
            <v>65</v>
          </cell>
          <cell r="Q77">
            <v>87.9</v>
          </cell>
          <cell r="S77">
            <v>25</v>
          </cell>
          <cell r="T77" t="str">
            <v>1</v>
          </cell>
          <cell r="U77">
            <v>1232.9000000000001</v>
          </cell>
          <cell r="V77">
            <v>1235.3</v>
          </cell>
          <cell r="W77">
            <v>733.4</v>
          </cell>
          <cell r="Y77">
            <v>3</v>
          </cell>
          <cell r="Z77">
            <v>1230.3</v>
          </cell>
          <cell r="AA77">
            <v>1233.8</v>
          </cell>
          <cell r="AB77">
            <v>730.9</v>
          </cell>
          <cell r="AD77">
            <v>3.7</v>
          </cell>
          <cell r="AE77">
            <v>1229.0999999999999</v>
          </cell>
          <cell r="AF77">
            <v>1230.8</v>
          </cell>
          <cell r="AG77">
            <v>729.7</v>
          </cell>
          <cell r="AI77">
            <v>3.5</v>
          </cell>
          <cell r="AK77">
            <v>1711.0733800000003</v>
          </cell>
          <cell r="AM77">
            <v>1480.6189200000001</v>
          </cell>
          <cell r="AO77">
            <v>1501.0131200000001</v>
          </cell>
          <cell r="AP77" t="str">
            <v>Muestra tomada en el elevador</v>
          </cell>
          <cell r="AQ77" t="str">
            <v>-</v>
          </cell>
          <cell r="AR77">
            <v>1638</v>
          </cell>
          <cell r="AS77">
            <v>3.4</v>
          </cell>
          <cell r="AV77">
            <v>2.4447215719855691</v>
          </cell>
          <cell r="BS77">
            <v>2.581</v>
          </cell>
        </row>
        <row r="78">
          <cell r="A78">
            <v>76</v>
          </cell>
          <cell r="B78">
            <v>40227</v>
          </cell>
          <cell r="D78">
            <v>1500.8</v>
          </cell>
          <cell r="E78">
            <v>1430</v>
          </cell>
          <cell r="G78" t="str">
            <v>Parcheo elaboración de fallos en vías urbanas y rurales del municipio de Medellín; Obra las Palmas. Estyma S.A.; Magma.</v>
          </cell>
          <cell r="H78" t="str">
            <v>2/2</v>
          </cell>
          <cell r="I78">
            <v>0</v>
          </cell>
          <cell r="J78">
            <v>173.6</v>
          </cell>
          <cell r="K78">
            <v>230.5</v>
          </cell>
          <cell r="L78">
            <v>297</v>
          </cell>
          <cell r="M78">
            <v>244.8</v>
          </cell>
          <cell r="N78">
            <v>237</v>
          </cell>
          <cell r="O78">
            <v>87.3</v>
          </cell>
          <cell r="P78">
            <v>69.5</v>
          </cell>
          <cell r="Q78">
            <v>90.3</v>
          </cell>
          <cell r="S78">
            <v>25</v>
          </cell>
          <cell r="T78" t="str">
            <v>1</v>
          </cell>
          <cell r="U78">
            <v>1237</v>
          </cell>
          <cell r="V78">
            <v>1237.7</v>
          </cell>
          <cell r="W78">
            <v>735.3</v>
          </cell>
          <cell r="Y78">
            <v>3.2</v>
          </cell>
          <cell r="Z78">
            <v>1233.5999999999999</v>
          </cell>
          <cell r="AA78">
            <v>1235.2</v>
          </cell>
          <cell r="AB78">
            <v>735.8</v>
          </cell>
          <cell r="AD78">
            <v>3.6</v>
          </cell>
          <cell r="AE78">
            <v>1235.0999999999999</v>
          </cell>
          <cell r="AF78">
            <v>1236.2</v>
          </cell>
          <cell r="AG78">
            <v>738.9</v>
          </cell>
          <cell r="AI78">
            <v>3.5</v>
          </cell>
          <cell r="AK78">
            <v>1890.54234</v>
          </cell>
          <cell r="AM78">
            <v>1753.9012</v>
          </cell>
          <cell r="AO78">
            <v>1956.8234900000002</v>
          </cell>
          <cell r="AP78" t="str">
            <v>Muestra tomada en la volqueta</v>
          </cell>
          <cell r="AQ78" t="str">
            <v>-</v>
          </cell>
          <cell r="AR78">
            <v>1969</v>
          </cell>
          <cell r="AS78">
            <v>3.4</v>
          </cell>
          <cell r="AV78">
            <v>2.464755184306306</v>
          </cell>
          <cell r="BS78">
            <v>2.581</v>
          </cell>
        </row>
        <row r="79">
          <cell r="A79">
            <v>77</v>
          </cell>
          <cell r="B79">
            <v>40228</v>
          </cell>
          <cell r="D79">
            <v>1500.6</v>
          </cell>
          <cell r="E79">
            <v>1426.6</v>
          </cell>
          <cell r="G79" t="str">
            <v>Parcheo elaboración de fallos en vías urbanas y rurales del municipio de Medellín; Obra las Palmas. Estyma S.A.</v>
          </cell>
          <cell r="H79" t="str">
            <v>1/2</v>
          </cell>
          <cell r="I79">
            <v>0</v>
          </cell>
          <cell r="J79">
            <v>172.6</v>
          </cell>
          <cell r="K79">
            <v>193.8</v>
          </cell>
          <cell r="L79">
            <v>312</v>
          </cell>
          <cell r="M79">
            <v>279.8</v>
          </cell>
          <cell r="N79">
            <v>227.1</v>
          </cell>
          <cell r="O79">
            <v>78.400000000000006</v>
          </cell>
          <cell r="P79">
            <v>73.7</v>
          </cell>
          <cell r="Q79">
            <v>89.2</v>
          </cell>
          <cell r="S79">
            <v>25</v>
          </cell>
          <cell r="T79" t="str">
            <v>1</v>
          </cell>
          <cell r="U79">
            <v>1234.7</v>
          </cell>
          <cell r="V79">
            <v>1235.5</v>
          </cell>
          <cell r="W79">
            <v>735.6</v>
          </cell>
          <cell r="Y79">
            <v>3.6</v>
          </cell>
          <cell r="Z79">
            <v>1232.0999999999999</v>
          </cell>
          <cell r="AA79">
            <v>1233.2</v>
          </cell>
          <cell r="AB79">
            <v>733.1</v>
          </cell>
          <cell r="AD79">
            <v>3.5</v>
          </cell>
          <cell r="AE79">
            <v>1228.5999999999999</v>
          </cell>
          <cell r="AF79">
            <v>1229.5999999999999</v>
          </cell>
          <cell r="AG79">
            <v>731</v>
          </cell>
          <cell r="AI79">
            <v>3.4</v>
          </cell>
          <cell r="AK79">
            <v>1625.4177400000001</v>
          </cell>
          <cell r="AM79">
            <v>1487.7568900000001</v>
          </cell>
          <cell r="AO79">
            <v>1738.6055500000002</v>
          </cell>
          <cell r="AP79" t="str">
            <v>Muestra tomada en el elevador</v>
          </cell>
          <cell r="AQ79" t="str">
            <v>-</v>
          </cell>
          <cell r="AR79">
            <v>1707</v>
          </cell>
          <cell r="AS79">
            <v>3.5</v>
          </cell>
          <cell r="AV79">
            <v>2.458687480430001</v>
          </cell>
          <cell r="BS79">
            <v>2.5760000000000001</v>
          </cell>
        </row>
        <row r="80">
          <cell r="A80">
            <v>78</v>
          </cell>
          <cell r="B80">
            <v>40228</v>
          </cell>
          <cell r="D80">
            <v>1500.8</v>
          </cell>
          <cell r="E80">
            <v>1427.9</v>
          </cell>
          <cell r="G80" t="str">
            <v>Parcheo elaboración de fallos en vías urbanas y rurales del municipio de Medellín; Obra las Palmas. Estyma S.A.</v>
          </cell>
          <cell r="H80" t="str">
            <v>2/2</v>
          </cell>
          <cell r="I80">
            <v>0</v>
          </cell>
          <cell r="J80">
            <v>213.9</v>
          </cell>
          <cell r="K80">
            <v>195.8</v>
          </cell>
          <cell r="L80">
            <v>250.1</v>
          </cell>
          <cell r="M80">
            <v>284.2</v>
          </cell>
          <cell r="N80">
            <v>245.3</v>
          </cell>
          <cell r="O80">
            <v>85</v>
          </cell>
          <cell r="P80">
            <v>63.8</v>
          </cell>
          <cell r="Q80">
            <v>89.8</v>
          </cell>
          <cell r="S80">
            <v>25</v>
          </cell>
          <cell r="T80" t="str">
            <v>1</v>
          </cell>
          <cell r="U80">
            <v>1232.7</v>
          </cell>
          <cell r="V80">
            <v>1233</v>
          </cell>
          <cell r="W80">
            <v>735.2</v>
          </cell>
          <cell r="Y80">
            <v>3.1</v>
          </cell>
          <cell r="Z80">
            <v>1338.3</v>
          </cell>
          <cell r="AA80">
            <v>1328.9</v>
          </cell>
          <cell r="AB80">
            <v>782.66</v>
          </cell>
          <cell r="AD80">
            <v>3.5</v>
          </cell>
          <cell r="AE80">
            <v>1233</v>
          </cell>
          <cell r="AF80">
            <v>1233.5999999999999</v>
          </cell>
          <cell r="AG80">
            <v>733.3</v>
          </cell>
          <cell r="AI80">
            <v>3.5</v>
          </cell>
          <cell r="AK80">
            <v>1629.49658</v>
          </cell>
          <cell r="AM80">
            <v>1939.4884200000001</v>
          </cell>
          <cell r="AO80">
            <v>1718.2113500000003</v>
          </cell>
          <cell r="AP80" t="str">
            <v>Muestra tomada en la volqueta</v>
          </cell>
          <cell r="AQ80" t="str">
            <v>-</v>
          </cell>
          <cell r="AR80">
            <v>1768</v>
          </cell>
          <cell r="AS80">
            <v>3.4</v>
          </cell>
          <cell r="AV80">
            <v>2.4564069175765693</v>
          </cell>
          <cell r="BS80">
            <v>2.5760000000000001</v>
          </cell>
        </row>
        <row r="81">
          <cell r="A81">
            <v>79</v>
          </cell>
          <cell r="B81">
            <v>40229</v>
          </cell>
          <cell r="D81">
            <v>1501.1</v>
          </cell>
          <cell r="E81">
            <v>1422.3</v>
          </cell>
          <cell r="G81" t="str">
            <v>Parcheo elaboración de fallos en vías urbanas y rurales del municipio de Medellín; Obra las Palmas. Estyma S.A.</v>
          </cell>
          <cell r="H81" t="str">
            <v>1/2</v>
          </cell>
          <cell r="I81">
            <v>0</v>
          </cell>
          <cell r="J81">
            <v>154.4</v>
          </cell>
          <cell r="K81">
            <v>175.6</v>
          </cell>
          <cell r="L81">
            <v>267.7</v>
          </cell>
          <cell r="M81">
            <v>333.3</v>
          </cell>
          <cell r="N81">
            <v>242.1</v>
          </cell>
          <cell r="O81">
            <v>82.7</v>
          </cell>
          <cell r="P81">
            <v>78.900000000000006</v>
          </cell>
          <cell r="Q81">
            <v>87.6</v>
          </cell>
          <cell r="S81">
            <v>25</v>
          </cell>
          <cell r="T81" t="str">
            <v>1</v>
          </cell>
          <cell r="U81">
            <v>1235.5</v>
          </cell>
          <cell r="V81">
            <v>1239.4000000000001</v>
          </cell>
          <cell r="W81">
            <v>738.7</v>
          </cell>
          <cell r="Y81">
            <v>3.2</v>
          </cell>
          <cell r="Z81">
            <v>1237.2</v>
          </cell>
          <cell r="AA81">
            <v>1238.4000000000001</v>
          </cell>
          <cell r="AB81">
            <v>737.5</v>
          </cell>
          <cell r="AD81">
            <v>3.1</v>
          </cell>
          <cell r="AE81">
            <v>1234.7</v>
          </cell>
          <cell r="AF81">
            <v>1236.0999999999999</v>
          </cell>
          <cell r="AG81">
            <v>734.7</v>
          </cell>
          <cell r="AI81">
            <v>3.2</v>
          </cell>
          <cell r="AK81">
            <v>1853.83278</v>
          </cell>
          <cell r="AM81">
            <v>1723.3099</v>
          </cell>
          <cell r="AO81">
            <v>1700.87628</v>
          </cell>
          <cell r="AP81" t="str">
            <v>Muestra tomada en el elevador</v>
          </cell>
          <cell r="AQ81" t="str">
            <v>-</v>
          </cell>
          <cell r="AR81">
            <v>1848</v>
          </cell>
          <cell r="AS81">
            <v>3.2</v>
          </cell>
          <cell r="AV81">
            <v>2.4594531639673392</v>
          </cell>
          <cell r="BS81">
            <v>2.573</v>
          </cell>
        </row>
        <row r="82">
          <cell r="A82">
            <v>80</v>
          </cell>
          <cell r="B82">
            <v>40229</v>
          </cell>
          <cell r="D82">
            <v>1501</v>
          </cell>
          <cell r="E82">
            <v>1424.2</v>
          </cell>
          <cell r="G82" t="str">
            <v>Parcheo elaboración de fallos en vías urbanas y rurales del municipio de Medellín; Obra las Palmas. Estyma S.A.</v>
          </cell>
          <cell r="H82" t="str">
            <v>2/2</v>
          </cell>
          <cell r="I82">
            <v>0</v>
          </cell>
          <cell r="J82">
            <v>174.1</v>
          </cell>
          <cell r="K82">
            <v>197.4</v>
          </cell>
          <cell r="L82">
            <v>258.39999999999998</v>
          </cell>
          <cell r="M82">
            <v>324</v>
          </cell>
          <cell r="N82">
            <v>241.7</v>
          </cell>
          <cell r="O82">
            <v>82.3</v>
          </cell>
          <cell r="P82">
            <v>63.2</v>
          </cell>
          <cell r="Q82">
            <v>83.1</v>
          </cell>
          <cell r="S82">
            <v>25</v>
          </cell>
          <cell r="T82" t="str">
            <v>1</v>
          </cell>
          <cell r="U82">
            <v>1234.0999999999999</v>
          </cell>
          <cell r="V82">
            <v>1235.2</v>
          </cell>
          <cell r="W82">
            <v>729.2</v>
          </cell>
          <cell r="Y82">
            <v>3.5</v>
          </cell>
          <cell r="Z82">
            <v>1234.2</v>
          </cell>
          <cell r="AA82">
            <v>1235.5999999999999</v>
          </cell>
          <cell r="AB82">
            <v>729.7</v>
          </cell>
          <cell r="AD82">
            <v>3.4</v>
          </cell>
          <cell r="AE82">
            <v>1230</v>
          </cell>
          <cell r="AF82">
            <v>1232.5999999999999</v>
          </cell>
          <cell r="AG82">
            <v>723.7</v>
          </cell>
          <cell r="AI82">
            <v>3.5</v>
          </cell>
          <cell r="AK82">
            <v>1636.6345500000002</v>
          </cell>
          <cell r="AM82">
            <v>1673.34411</v>
          </cell>
          <cell r="AO82">
            <v>1462.26414</v>
          </cell>
          <cell r="AP82" t="str">
            <v>Muestra tomada en la volqueta</v>
          </cell>
          <cell r="AQ82" t="str">
            <v>-</v>
          </cell>
          <cell r="AR82">
            <v>1639</v>
          </cell>
          <cell r="AS82">
            <v>3.5</v>
          </cell>
          <cell r="AV82">
            <v>2.4247279226471856</v>
          </cell>
          <cell r="BS82">
            <v>2.573</v>
          </cell>
        </row>
        <row r="83">
          <cell r="A83">
            <v>81</v>
          </cell>
          <cell r="B83">
            <v>40230</v>
          </cell>
          <cell r="D83">
            <v>1501.1</v>
          </cell>
          <cell r="E83">
            <v>1423.3</v>
          </cell>
          <cell r="G83" t="str">
            <v>Parcheo elaboración de fallos en vías urbanas y rurales del municipio de Medellín.</v>
          </cell>
          <cell r="H83" t="str">
            <v>1/1</v>
          </cell>
          <cell r="I83">
            <v>0</v>
          </cell>
          <cell r="J83">
            <v>168.6</v>
          </cell>
          <cell r="K83">
            <v>157.4</v>
          </cell>
          <cell r="L83">
            <v>301.89999999999998</v>
          </cell>
          <cell r="M83">
            <v>317.7</v>
          </cell>
          <cell r="N83">
            <v>234.1</v>
          </cell>
          <cell r="O83">
            <v>74.900000000000006</v>
          </cell>
          <cell r="P83">
            <v>74.599999999999994</v>
          </cell>
          <cell r="Q83">
            <v>94.1</v>
          </cell>
          <cell r="S83">
            <v>25</v>
          </cell>
          <cell r="T83" t="str">
            <v>1</v>
          </cell>
          <cell r="U83">
            <v>1233.5</v>
          </cell>
          <cell r="V83">
            <v>1235.5</v>
          </cell>
          <cell r="W83">
            <v>733.9</v>
          </cell>
          <cell r="Y83">
            <v>3.4</v>
          </cell>
          <cell r="Z83">
            <v>1236.5999999999999</v>
          </cell>
          <cell r="AA83">
            <v>1237.3</v>
          </cell>
          <cell r="AB83">
            <v>735.2</v>
          </cell>
          <cell r="AD83">
            <v>3.5</v>
          </cell>
          <cell r="AE83">
            <v>1233.7</v>
          </cell>
          <cell r="AF83">
            <v>1234.5999999999999</v>
          </cell>
          <cell r="AG83">
            <v>734.1</v>
          </cell>
          <cell r="AI83">
            <v>3.4</v>
          </cell>
          <cell r="AK83">
            <v>1763.0785900000001</v>
          </cell>
          <cell r="AM83">
            <v>1863.01017</v>
          </cell>
          <cell r="AO83">
            <v>1953.7643600000001</v>
          </cell>
          <cell r="AP83" t="str">
            <v>Muestra tomada en el elevador</v>
          </cell>
          <cell r="AQ83" t="str">
            <v>-</v>
          </cell>
          <cell r="AR83">
            <v>1951</v>
          </cell>
          <cell r="AS83">
            <v>3.4</v>
          </cell>
          <cell r="AV83">
            <v>2.4551050349331298</v>
          </cell>
          <cell r="BS83">
            <v>2.569</v>
          </cell>
        </row>
        <row r="84">
          <cell r="A84">
            <v>82</v>
          </cell>
          <cell r="B84">
            <v>40231</v>
          </cell>
          <cell r="D84">
            <v>1500.3</v>
          </cell>
          <cell r="E84">
            <v>1420.1</v>
          </cell>
          <cell r="G84" t="str">
            <v>Parcheo elaboración de fallos en vías urbanas y rurales del municipio de Medellín.</v>
          </cell>
          <cell r="H84" t="str">
            <v>1/2</v>
          </cell>
          <cell r="I84">
            <v>0</v>
          </cell>
          <cell r="J84">
            <v>172.4</v>
          </cell>
          <cell r="K84">
            <v>182.1</v>
          </cell>
          <cell r="L84">
            <v>250.9</v>
          </cell>
          <cell r="M84">
            <v>303</v>
          </cell>
          <cell r="N84">
            <v>253.5</v>
          </cell>
          <cell r="O84">
            <v>91.7</v>
          </cell>
          <cell r="P84">
            <v>76.599999999999994</v>
          </cell>
          <cell r="Q84">
            <v>89.9</v>
          </cell>
          <cell r="S84">
            <v>25</v>
          </cell>
          <cell r="T84" t="str">
            <v>1</v>
          </cell>
          <cell r="U84">
            <v>1234.8</v>
          </cell>
          <cell r="V84">
            <v>1235.5999999999999</v>
          </cell>
          <cell r="W84">
            <v>735.5</v>
          </cell>
          <cell r="Y84">
            <v>3.2</v>
          </cell>
          <cell r="Z84">
            <v>1235.0999999999999</v>
          </cell>
          <cell r="AA84">
            <v>1236.3</v>
          </cell>
          <cell r="AB84">
            <v>733.5</v>
          </cell>
          <cell r="AD84">
            <v>3.5</v>
          </cell>
          <cell r="AE84">
            <v>1233.5999999999999</v>
          </cell>
          <cell r="AF84">
            <v>1235.0999999999999</v>
          </cell>
          <cell r="AG84">
            <v>733</v>
          </cell>
          <cell r="AI84">
            <v>3.4</v>
          </cell>
          <cell r="AK84">
            <v>1802.84728</v>
          </cell>
          <cell r="AM84">
            <v>1926.2321900000002</v>
          </cell>
          <cell r="AO84">
            <v>1879.3255300000001</v>
          </cell>
          <cell r="AP84" t="str">
            <v>Muestra tomada en el elevador</v>
          </cell>
          <cell r="AQ84" t="str">
            <v>-</v>
          </cell>
          <cell r="AR84">
            <v>1959</v>
          </cell>
          <cell r="AS84">
            <v>3.4</v>
          </cell>
          <cell r="AV84">
            <v>2.4536125269969067</v>
          </cell>
          <cell r="BS84">
            <v>2.5640000000000001</v>
          </cell>
        </row>
        <row r="85">
          <cell r="A85">
            <v>83</v>
          </cell>
          <cell r="B85">
            <v>40231</v>
          </cell>
          <cell r="D85">
            <v>1497.7</v>
          </cell>
          <cell r="E85">
            <v>1419.5</v>
          </cell>
          <cell r="G85" t="str">
            <v>Parcheo elaboración de fallos en vías urbanas y rurales del municipio de Medellín.</v>
          </cell>
          <cell r="H85" t="str">
            <v>2/2</v>
          </cell>
          <cell r="I85">
            <v>0</v>
          </cell>
          <cell r="J85">
            <v>173.4</v>
          </cell>
          <cell r="K85">
            <v>191</v>
          </cell>
          <cell r="L85">
            <v>254.1</v>
          </cell>
          <cell r="M85">
            <v>312.89999999999998</v>
          </cell>
          <cell r="N85">
            <v>237.7</v>
          </cell>
          <cell r="O85">
            <v>87.1</v>
          </cell>
          <cell r="P85">
            <v>73.2</v>
          </cell>
          <cell r="Q85">
            <v>90.1</v>
          </cell>
          <cell r="S85">
            <v>25</v>
          </cell>
          <cell r="T85" t="str">
            <v>1</v>
          </cell>
          <cell r="U85">
            <v>1233.0999999999999</v>
          </cell>
          <cell r="V85">
            <v>1235.8</v>
          </cell>
          <cell r="W85">
            <v>732.3</v>
          </cell>
          <cell r="Y85">
            <v>3.2</v>
          </cell>
          <cell r="Z85">
            <v>1234.4000000000001</v>
          </cell>
          <cell r="AA85">
            <v>1235.5</v>
          </cell>
          <cell r="AB85">
            <v>735.6</v>
          </cell>
          <cell r="AD85">
            <v>3.5</v>
          </cell>
          <cell r="AE85">
            <v>1235.4000000000001</v>
          </cell>
          <cell r="AF85">
            <v>1236.7</v>
          </cell>
          <cell r="AG85">
            <v>734.6</v>
          </cell>
          <cell r="AI85">
            <v>3.6</v>
          </cell>
          <cell r="AK85">
            <v>1515.2890600000001</v>
          </cell>
          <cell r="AM85">
            <v>1752.8814900000002</v>
          </cell>
          <cell r="AO85">
            <v>1723.3099</v>
          </cell>
          <cell r="AP85" t="str">
            <v>Muestra tomada en la volqueta</v>
          </cell>
          <cell r="AQ85" t="str">
            <v>-</v>
          </cell>
          <cell r="AR85">
            <v>1743</v>
          </cell>
          <cell r="AS85">
            <v>3.4</v>
          </cell>
          <cell r="AV85">
            <v>2.4524111556295733</v>
          </cell>
          <cell r="BS85">
            <v>2.5640000000000001</v>
          </cell>
        </row>
        <row r="86">
          <cell r="A86">
            <v>84</v>
          </cell>
          <cell r="B86">
            <v>40232</v>
          </cell>
          <cell r="D86">
            <v>1500.8</v>
          </cell>
          <cell r="E86">
            <v>1430.3</v>
          </cell>
          <cell r="G86" t="str">
            <v>Parcheo elaboración de fallos en vías urbanas y rurales del municipio de Medellín; Estyma S.A.</v>
          </cell>
          <cell r="H86" t="str">
            <v>1/2</v>
          </cell>
          <cell r="I86">
            <v>0</v>
          </cell>
          <cell r="J86">
            <v>198</v>
          </cell>
          <cell r="K86">
            <v>176</v>
          </cell>
          <cell r="L86">
            <v>304.89999999999998</v>
          </cell>
          <cell r="M86">
            <v>290.10000000000002</v>
          </cell>
          <cell r="N86">
            <v>222.3</v>
          </cell>
          <cell r="O86">
            <v>79.7</v>
          </cell>
          <cell r="P86">
            <v>70</v>
          </cell>
          <cell r="Q86">
            <v>89.3</v>
          </cell>
          <cell r="S86">
            <v>25</v>
          </cell>
          <cell r="T86" t="str">
            <v>1</v>
          </cell>
          <cell r="U86">
            <v>1236.8</v>
          </cell>
          <cell r="V86">
            <v>1237.9000000000001</v>
          </cell>
          <cell r="W86">
            <v>740.1</v>
          </cell>
          <cell r="Y86">
            <v>3.2</v>
          </cell>
          <cell r="Z86">
            <v>1231.5</v>
          </cell>
          <cell r="AA86">
            <v>1233.7</v>
          </cell>
          <cell r="AB86">
            <v>734.1</v>
          </cell>
          <cell r="AD86">
            <v>3.1</v>
          </cell>
          <cell r="AE86">
            <v>1232.5999999999999</v>
          </cell>
          <cell r="AF86">
            <v>1233.9000000000001</v>
          </cell>
          <cell r="AG86">
            <v>735.9</v>
          </cell>
          <cell r="AI86">
            <v>3.5</v>
          </cell>
          <cell r="AK86">
            <v>1838.5371300000002</v>
          </cell>
          <cell r="AM86">
            <v>1492.85544</v>
          </cell>
          <cell r="AO86">
            <v>1662.1273000000001</v>
          </cell>
          <cell r="AP86" t="str">
            <v>Muestra tomada en el elevador</v>
          </cell>
          <cell r="AQ86" t="str">
            <v>-</v>
          </cell>
          <cell r="AR86">
            <v>1763</v>
          </cell>
          <cell r="AS86">
            <v>3.3</v>
          </cell>
          <cell r="AV86">
            <v>2.4676291173638862</v>
          </cell>
          <cell r="BS86">
            <v>2.589</v>
          </cell>
        </row>
        <row r="87">
          <cell r="A87">
            <v>85</v>
          </cell>
          <cell r="B87">
            <v>40232</v>
          </cell>
          <cell r="D87">
            <v>1497.3</v>
          </cell>
          <cell r="E87">
            <v>1419.4</v>
          </cell>
          <cell r="G87" t="str">
            <v>Parcheo elaboración de fallos en vías urbanas y rurales del municipio de Medellín; Estyma S.A.</v>
          </cell>
          <cell r="H87" t="str">
            <v>2/2</v>
          </cell>
          <cell r="I87">
            <v>0</v>
          </cell>
          <cell r="J87">
            <v>178.7</v>
          </cell>
          <cell r="K87">
            <v>135.30000000000001</v>
          </cell>
          <cell r="L87">
            <v>292.89999999999998</v>
          </cell>
          <cell r="M87">
            <v>328.7</v>
          </cell>
          <cell r="N87">
            <v>235.5</v>
          </cell>
          <cell r="O87">
            <v>90.5</v>
          </cell>
          <cell r="P87">
            <v>66.7</v>
          </cell>
          <cell r="Q87">
            <v>91.1</v>
          </cell>
          <cell r="S87">
            <v>25</v>
          </cell>
          <cell r="T87" t="str">
            <v>1</v>
          </cell>
          <cell r="U87">
            <v>1236.5</v>
          </cell>
          <cell r="V87">
            <v>1237.7</v>
          </cell>
          <cell r="W87">
            <v>737.7</v>
          </cell>
          <cell r="Y87">
            <v>3.4</v>
          </cell>
          <cell r="Z87">
            <v>1231.8</v>
          </cell>
          <cell r="AA87">
            <v>1233</v>
          </cell>
          <cell r="AB87">
            <v>732.4</v>
          </cell>
          <cell r="AD87">
            <v>3.3</v>
          </cell>
          <cell r="AE87">
            <v>1234.4000000000001</v>
          </cell>
          <cell r="AF87">
            <v>1236.0999999999999</v>
          </cell>
          <cell r="AG87">
            <v>733.1</v>
          </cell>
          <cell r="AI87">
            <v>3.3</v>
          </cell>
          <cell r="AK87">
            <v>1539.7620999999999</v>
          </cell>
          <cell r="AM87">
            <v>1543.84094</v>
          </cell>
          <cell r="AO87">
            <v>1453.0867499999999</v>
          </cell>
          <cell r="AP87" t="str">
            <v>Muestra tomada en la volqueta</v>
          </cell>
          <cell r="AQ87" t="str">
            <v>-</v>
          </cell>
          <cell r="AR87">
            <v>1587</v>
          </cell>
          <cell r="AS87">
            <v>3.3</v>
          </cell>
          <cell r="AV87">
            <v>2.455371226983095</v>
          </cell>
          <cell r="BS87">
            <v>2.589</v>
          </cell>
        </row>
        <row r="88">
          <cell r="A88">
            <v>86</v>
          </cell>
          <cell r="B88">
            <v>40233</v>
          </cell>
          <cell r="D88">
            <v>1500.7</v>
          </cell>
          <cell r="E88">
            <v>1424</v>
          </cell>
          <cell r="G88" t="str">
            <v>Parcheo elaboración de fallos en vías urbanas y rurales del municipio de Medellín; Estyma S.A.; Union Temporal Medellín.</v>
          </cell>
          <cell r="H88" t="str">
            <v>1/2</v>
          </cell>
          <cell r="I88">
            <v>0</v>
          </cell>
          <cell r="J88">
            <v>170.7</v>
          </cell>
          <cell r="K88">
            <v>163.4</v>
          </cell>
          <cell r="L88">
            <v>290</v>
          </cell>
          <cell r="M88">
            <v>312.5</v>
          </cell>
          <cell r="N88">
            <v>242.2</v>
          </cell>
          <cell r="O88">
            <v>78</v>
          </cell>
          <cell r="P88">
            <v>76.900000000000006</v>
          </cell>
          <cell r="Q88">
            <v>90.3</v>
          </cell>
          <cell r="S88">
            <v>25</v>
          </cell>
          <cell r="T88" t="str">
            <v>1</v>
          </cell>
          <cell r="U88">
            <v>1235</v>
          </cell>
          <cell r="V88">
            <v>1237.3</v>
          </cell>
          <cell r="W88">
            <v>736.7</v>
          </cell>
          <cell r="Y88">
            <v>3.2</v>
          </cell>
          <cell r="Z88">
            <v>1235.9000000000001</v>
          </cell>
          <cell r="AA88">
            <v>1236.9000000000001</v>
          </cell>
          <cell r="AB88">
            <v>738.9</v>
          </cell>
          <cell r="AD88">
            <v>3.4</v>
          </cell>
          <cell r="AE88">
            <v>1237.7</v>
          </cell>
          <cell r="AF88">
            <v>1238.5999999999999</v>
          </cell>
          <cell r="AG88">
            <v>740.7</v>
          </cell>
          <cell r="AI88">
            <v>3.3</v>
          </cell>
          <cell r="AK88">
            <v>1299.1105400000001</v>
          </cell>
          <cell r="AM88">
            <v>1636.6345500000002</v>
          </cell>
          <cell r="AO88">
            <v>1709.0339600000002</v>
          </cell>
          <cell r="AP88" t="str">
            <v>Muestra tomada en la volqueta</v>
          </cell>
          <cell r="AQ88" t="str">
            <v>-</v>
          </cell>
          <cell r="AR88">
            <v>1638</v>
          </cell>
          <cell r="AS88">
            <v>3.3</v>
          </cell>
          <cell r="AV88">
            <v>2.4709535883158429</v>
          </cell>
          <cell r="BS88">
            <v>2.5870000000000002</v>
          </cell>
        </row>
        <row r="89">
          <cell r="A89">
            <v>87</v>
          </cell>
          <cell r="B89">
            <v>40233</v>
          </cell>
          <cell r="D89">
            <v>1500.3</v>
          </cell>
          <cell r="E89">
            <v>1423.5</v>
          </cell>
          <cell r="G89" t="str">
            <v>Parcheo elaboración de fallos en vías urbanas y rurales del municipio de Medellín; Estyma S.A.; Union Temporal Medellín.</v>
          </cell>
          <cell r="H89" t="str">
            <v>2/2</v>
          </cell>
          <cell r="I89">
            <v>0</v>
          </cell>
          <cell r="J89">
            <v>174.9</v>
          </cell>
          <cell r="K89">
            <v>146.1</v>
          </cell>
          <cell r="L89">
            <v>321.8</v>
          </cell>
          <cell r="M89">
            <v>324.60000000000002</v>
          </cell>
          <cell r="N89">
            <v>220.3</v>
          </cell>
          <cell r="O89">
            <v>81.099999999999994</v>
          </cell>
          <cell r="P89">
            <v>64</v>
          </cell>
          <cell r="Q89">
            <v>90.7</v>
          </cell>
          <cell r="S89">
            <v>25</v>
          </cell>
          <cell r="T89" t="str">
            <v>1</v>
          </cell>
          <cell r="U89">
            <v>1237.5999999999999</v>
          </cell>
          <cell r="V89">
            <v>1238.7</v>
          </cell>
          <cell r="W89">
            <v>740.5</v>
          </cell>
          <cell r="Y89">
            <v>3.4</v>
          </cell>
          <cell r="Z89">
            <v>1237.9000000000001</v>
          </cell>
          <cell r="AA89">
            <v>1240.5</v>
          </cell>
          <cell r="AB89">
            <v>741.1</v>
          </cell>
          <cell r="AD89">
            <v>3.5</v>
          </cell>
          <cell r="AE89">
            <v>1232.9000000000001</v>
          </cell>
          <cell r="AF89">
            <v>1235.3</v>
          </cell>
          <cell r="AG89">
            <v>738.3</v>
          </cell>
          <cell r="AI89">
            <v>3.3</v>
          </cell>
          <cell r="AK89">
            <v>1620.3191900000002</v>
          </cell>
          <cell r="AM89">
            <v>1618.2797699999999</v>
          </cell>
          <cell r="AO89">
            <v>1689.6594700000001</v>
          </cell>
          <cell r="AP89" t="str">
            <v>Muestra tomada en el elevador</v>
          </cell>
          <cell r="AQ89" t="str">
            <v>-</v>
          </cell>
          <cell r="AR89">
            <v>1741</v>
          </cell>
          <cell r="AS89">
            <v>3.4</v>
          </cell>
          <cell r="AV89">
            <v>2.4739430046752457</v>
          </cell>
          <cell r="BS89">
            <v>2.5870000000000002</v>
          </cell>
        </row>
        <row r="90">
          <cell r="A90">
            <v>88</v>
          </cell>
          <cell r="B90">
            <v>40234</v>
          </cell>
          <cell r="D90">
            <v>1500.3</v>
          </cell>
          <cell r="E90">
            <v>1427.5</v>
          </cell>
          <cell r="G90" t="str">
            <v>Parcheo elaboración de fallos en vías urbanas y rurales del municipio de Medellín; Estyma S.A.; Union Temporal Medellín.</v>
          </cell>
          <cell r="H90" t="str">
            <v>1/2</v>
          </cell>
          <cell r="I90">
            <v>0</v>
          </cell>
          <cell r="J90">
            <v>196.6</v>
          </cell>
          <cell r="K90">
            <v>157.19999999999999</v>
          </cell>
          <cell r="L90">
            <v>317.7</v>
          </cell>
          <cell r="M90">
            <v>281.89999999999998</v>
          </cell>
          <cell r="N90">
            <v>232.1</v>
          </cell>
          <cell r="O90">
            <v>78.3</v>
          </cell>
          <cell r="P90">
            <v>75.8</v>
          </cell>
          <cell r="Q90">
            <v>87.9</v>
          </cell>
          <cell r="S90">
            <v>25</v>
          </cell>
          <cell r="T90" t="str">
            <v>1</v>
          </cell>
          <cell r="U90">
            <v>1235.5</v>
          </cell>
          <cell r="V90">
            <v>1236.5</v>
          </cell>
          <cell r="W90">
            <v>739.6</v>
          </cell>
          <cell r="Y90">
            <v>3.4</v>
          </cell>
          <cell r="Z90">
            <v>1234.2</v>
          </cell>
          <cell r="AA90">
            <v>1235.8</v>
          </cell>
          <cell r="AB90">
            <v>735.2</v>
          </cell>
          <cell r="AD90">
            <v>3.1</v>
          </cell>
          <cell r="AE90">
            <v>1230.0999999999999</v>
          </cell>
          <cell r="AF90">
            <v>1231.5999999999999</v>
          </cell>
          <cell r="AG90">
            <v>732.4</v>
          </cell>
          <cell r="AI90">
            <v>2.9</v>
          </cell>
          <cell r="AK90">
            <v>1758.9997499999999</v>
          </cell>
          <cell r="AM90">
            <v>1635.61484</v>
          </cell>
          <cell r="AO90">
            <v>1511.2102200000002</v>
          </cell>
          <cell r="AP90" t="str">
            <v>Muestra tomada en la volqueta</v>
          </cell>
          <cell r="AQ90" t="str">
            <v>-</v>
          </cell>
          <cell r="AR90">
            <v>1730</v>
          </cell>
          <cell r="AS90">
            <v>3.1</v>
          </cell>
          <cell r="AV90">
            <v>2.4647693588750919</v>
          </cell>
          <cell r="BS90">
            <v>2.5910000000000002</v>
          </cell>
        </row>
        <row r="91">
          <cell r="A91">
            <v>89</v>
          </cell>
          <cell r="B91">
            <v>40234</v>
          </cell>
          <cell r="D91">
            <v>1500.4</v>
          </cell>
          <cell r="E91">
            <v>1426.9</v>
          </cell>
          <cell r="G91" t="str">
            <v>Parcheo elaboración de fallos en vías urbanas y rurales del municipio de Medellín; Estyma S.A.; Union Temporal Medellín.</v>
          </cell>
          <cell r="H91" t="str">
            <v>2/2</v>
          </cell>
          <cell r="I91">
            <v>0</v>
          </cell>
          <cell r="J91">
            <v>218.3</v>
          </cell>
          <cell r="K91">
            <v>170.8</v>
          </cell>
          <cell r="L91">
            <v>269.10000000000002</v>
          </cell>
          <cell r="M91">
            <v>297.60000000000002</v>
          </cell>
          <cell r="N91">
            <v>231.9</v>
          </cell>
          <cell r="O91">
            <v>76.400000000000006</v>
          </cell>
          <cell r="P91">
            <v>74</v>
          </cell>
          <cell r="Q91">
            <v>88.8</v>
          </cell>
          <cell r="S91">
            <v>25</v>
          </cell>
          <cell r="T91" t="str">
            <v>1</v>
          </cell>
          <cell r="U91">
            <v>1330.6</v>
          </cell>
          <cell r="V91">
            <v>1331.3</v>
          </cell>
          <cell r="W91">
            <v>793.5</v>
          </cell>
          <cell r="Y91">
            <v>3.4</v>
          </cell>
          <cell r="Z91">
            <v>1236.3</v>
          </cell>
          <cell r="AA91">
            <v>1237.0999999999999</v>
          </cell>
          <cell r="AB91">
            <v>738.5</v>
          </cell>
          <cell r="AD91">
            <v>3.4</v>
          </cell>
          <cell r="AE91">
            <v>1235.7</v>
          </cell>
          <cell r="AF91">
            <v>1238.0999999999999</v>
          </cell>
          <cell r="AG91">
            <v>738.3</v>
          </cell>
          <cell r="AI91">
            <v>3.3</v>
          </cell>
          <cell r="AK91">
            <v>2039.42</v>
          </cell>
          <cell r="AM91">
            <v>1618.2797699999999</v>
          </cell>
          <cell r="AO91">
            <v>1735.5464200000001</v>
          </cell>
          <cell r="AP91" t="str">
            <v>Muestra tomada en el elevador</v>
          </cell>
          <cell r="AQ91" t="str">
            <v>-</v>
          </cell>
          <cell r="AR91">
            <v>1816</v>
          </cell>
          <cell r="AS91">
            <v>3.4</v>
          </cell>
          <cell r="AV91">
            <v>2.4681214450975499</v>
          </cell>
          <cell r="BS91">
            <v>2.5910000000000002</v>
          </cell>
        </row>
        <row r="92">
          <cell r="A92">
            <v>90</v>
          </cell>
          <cell r="B92">
            <v>40235</v>
          </cell>
          <cell r="D92">
            <v>1500.8</v>
          </cell>
          <cell r="E92">
            <v>1428.8</v>
          </cell>
          <cell r="G92" t="str">
            <v>Parcheo elaboración de fallos en vías urbanas y rurales del municipio de Medellín; Estyma S.A.</v>
          </cell>
          <cell r="H92" t="str">
            <v>1/2</v>
          </cell>
          <cell r="I92">
            <v>0</v>
          </cell>
          <cell r="J92">
            <v>137.9</v>
          </cell>
          <cell r="K92">
            <v>175.3</v>
          </cell>
          <cell r="L92">
            <v>359.8</v>
          </cell>
          <cell r="M92">
            <v>302.39999999999998</v>
          </cell>
          <cell r="N92">
            <v>228.2</v>
          </cell>
          <cell r="O92">
            <v>74.5</v>
          </cell>
          <cell r="P92">
            <v>69</v>
          </cell>
          <cell r="Q92">
            <v>81.7</v>
          </cell>
          <cell r="S92">
            <v>25</v>
          </cell>
          <cell r="T92" t="str">
            <v>1</v>
          </cell>
          <cell r="U92">
            <v>1237.4000000000001</v>
          </cell>
          <cell r="V92">
            <v>1238.8</v>
          </cell>
          <cell r="W92">
            <v>733.1</v>
          </cell>
          <cell r="Y92">
            <v>3.2</v>
          </cell>
          <cell r="Z92">
            <v>1235.9000000000001</v>
          </cell>
          <cell r="AA92">
            <v>1237.8</v>
          </cell>
          <cell r="AB92">
            <v>733.6</v>
          </cell>
          <cell r="AD92">
            <v>3.35</v>
          </cell>
          <cell r="AE92">
            <v>1234.2</v>
          </cell>
          <cell r="AF92">
            <v>1237.5999999999999</v>
          </cell>
          <cell r="AG92">
            <v>731.7</v>
          </cell>
          <cell r="AI92">
            <v>3.5</v>
          </cell>
          <cell r="AK92">
            <v>1569.3336900000002</v>
          </cell>
          <cell r="AM92">
            <v>1447.9882</v>
          </cell>
          <cell r="AO92">
            <v>1568.3139800000001</v>
          </cell>
          <cell r="AP92" t="str">
            <v>Muestra tomada en la volqueta</v>
          </cell>
          <cell r="AQ92" t="str">
            <v>-</v>
          </cell>
          <cell r="AR92">
            <v>1583</v>
          </cell>
          <cell r="AS92">
            <v>3.4</v>
          </cell>
          <cell r="AV92">
            <v>2.4387549451136459</v>
          </cell>
          <cell r="BS92">
            <v>2.5920000000000001</v>
          </cell>
        </row>
        <row r="93">
          <cell r="A93">
            <v>91</v>
          </cell>
          <cell r="B93">
            <v>40235</v>
          </cell>
          <cell r="D93">
            <v>1500.8</v>
          </cell>
          <cell r="E93">
            <v>1428.5</v>
          </cell>
          <cell r="G93" t="str">
            <v>Parcheo elaboración de fallos en vías urbanas y rurales del municipio de Medellín; Estyma S.A.</v>
          </cell>
          <cell r="H93" t="str">
            <v>2/2</v>
          </cell>
          <cell r="I93">
            <v>0</v>
          </cell>
          <cell r="J93">
            <v>143.19999999999999</v>
          </cell>
          <cell r="K93">
            <v>210.4</v>
          </cell>
          <cell r="L93">
            <v>355.5</v>
          </cell>
          <cell r="M93">
            <v>270.3</v>
          </cell>
          <cell r="N93">
            <v>225.6</v>
          </cell>
          <cell r="O93">
            <v>70.8</v>
          </cell>
          <cell r="P93">
            <v>68.400000000000006</v>
          </cell>
          <cell r="Q93">
            <v>84.3</v>
          </cell>
          <cell r="S93">
            <v>25</v>
          </cell>
          <cell r="T93" t="str">
            <v>1</v>
          </cell>
          <cell r="U93">
            <v>1236.7</v>
          </cell>
          <cell r="V93">
            <v>1237.8</v>
          </cell>
          <cell r="W93">
            <v>738.5</v>
          </cell>
          <cell r="Y93">
            <v>2.9</v>
          </cell>
          <cell r="Z93">
            <v>1235.7</v>
          </cell>
          <cell r="AA93">
            <v>1237</v>
          </cell>
          <cell r="AB93">
            <v>737.3</v>
          </cell>
          <cell r="AD93">
            <v>3.2</v>
          </cell>
          <cell r="AE93">
            <v>1230.7</v>
          </cell>
          <cell r="AF93">
            <v>1232.9000000000001</v>
          </cell>
          <cell r="AG93">
            <v>729.6</v>
          </cell>
          <cell r="AI93">
            <v>3.3</v>
          </cell>
          <cell r="AK93">
            <v>1659.06817</v>
          </cell>
          <cell r="AM93">
            <v>1652.94991</v>
          </cell>
          <cell r="AO93">
            <v>1499.99341</v>
          </cell>
          <cell r="AP93" t="str">
            <v>Muestra tomada en el elevador</v>
          </cell>
          <cell r="AQ93" t="str">
            <v>-</v>
          </cell>
          <cell r="AR93">
            <v>1686</v>
          </cell>
          <cell r="AS93">
            <v>3.1</v>
          </cell>
          <cell r="AV93">
            <v>2.4577940695216434</v>
          </cell>
          <cell r="BS93">
            <v>2.5920000000000001</v>
          </cell>
        </row>
        <row r="94">
          <cell r="A94">
            <v>92</v>
          </cell>
          <cell r="B94">
            <v>40236</v>
          </cell>
          <cell r="D94">
            <v>1500.8</v>
          </cell>
          <cell r="E94">
            <v>1425.8</v>
          </cell>
          <cell r="G94" t="str">
            <v>Parcheo elaboración de fallos en vías urbanas y rurales del municipio de Medellín; Estyma S.A.</v>
          </cell>
          <cell r="H94" t="str">
            <v>1/1</v>
          </cell>
          <cell r="I94">
            <v>0</v>
          </cell>
          <cell r="J94">
            <v>184</v>
          </cell>
          <cell r="K94">
            <v>159.19999999999999</v>
          </cell>
          <cell r="L94">
            <v>270.7</v>
          </cell>
          <cell r="M94">
            <v>336.8</v>
          </cell>
          <cell r="N94">
            <v>237.3</v>
          </cell>
          <cell r="O94">
            <v>76.5</v>
          </cell>
          <cell r="P94">
            <v>71.3</v>
          </cell>
          <cell r="Q94">
            <v>90</v>
          </cell>
          <cell r="S94">
            <v>25</v>
          </cell>
          <cell r="T94" t="str">
            <v>1</v>
          </cell>
          <cell r="U94">
            <v>1235.0999999999999</v>
          </cell>
          <cell r="V94">
            <v>1236.4000000000001</v>
          </cell>
          <cell r="W94">
            <v>734.1</v>
          </cell>
          <cell r="Y94">
            <v>3.5</v>
          </cell>
          <cell r="Z94">
            <v>1236.5999999999999</v>
          </cell>
          <cell r="AA94">
            <v>1238.0999999999999</v>
          </cell>
          <cell r="AB94">
            <v>733</v>
          </cell>
          <cell r="AD94">
            <v>3.4</v>
          </cell>
          <cell r="AE94">
            <v>1234.7</v>
          </cell>
          <cell r="AF94">
            <v>1236.8</v>
          </cell>
          <cell r="AG94">
            <v>730.9</v>
          </cell>
          <cell r="AI94">
            <v>3.3</v>
          </cell>
          <cell r="AK94">
            <v>1569.3336900000002</v>
          </cell>
          <cell r="AM94">
            <v>1456.14588</v>
          </cell>
          <cell r="AO94">
            <v>1371.5099499999999</v>
          </cell>
          <cell r="AP94" t="str">
            <v>Muestra tomada en el elevador</v>
          </cell>
          <cell r="AQ94" t="str">
            <v>-</v>
          </cell>
          <cell r="AR94">
            <v>1523</v>
          </cell>
          <cell r="AS94">
            <v>3.4</v>
          </cell>
          <cell r="AV94">
            <v>2.4420753391969652</v>
          </cell>
          <cell r="BS94">
            <v>2.5870000000000002</v>
          </cell>
        </row>
        <row r="95">
          <cell r="A95">
            <v>93</v>
          </cell>
          <cell r="B95">
            <v>40237</v>
          </cell>
          <cell r="D95">
            <v>1500.1</v>
          </cell>
          <cell r="E95">
            <v>1425.1</v>
          </cell>
          <cell r="G95" t="str">
            <v>Parcheo elaboración de fallos en vías urbanas y rurales del municipio de Medellín.</v>
          </cell>
          <cell r="H95" t="str">
            <v>1/1</v>
          </cell>
          <cell r="I95">
            <v>0</v>
          </cell>
          <cell r="J95">
            <v>129.1</v>
          </cell>
          <cell r="K95">
            <v>210.3</v>
          </cell>
          <cell r="L95">
            <v>303.2</v>
          </cell>
          <cell r="M95">
            <v>301.3</v>
          </cell>
          <cell r="N95">
            <v>238</v>
          </cell>
          <cell r="O95">
            <v>83.5</v>
          </cell>
          <cell r="P95">
            <v>66.5</v>
          </cell>
          <cell r="Q95">
            <v>93.2</v>
          </cell>
          <cell r="S95">
            <v>25</v>
          </cell>
          <cell r="T95" t="str">
            <v>1</v>
          </cell>
          <cell r="U95">
            <v>1235.9000000000001</v>
          </cell>
          <cell r="V95">
            <v>1236.5</v>
          </cell>
          <cell r="W95">
            <v>734.4</v>
          </cell>
          <cell r="Y95">
            <v>2.8</v>
          </cell>
          <cell r="Z95">
            <v>1234.2</v>
          </cell>
          <cell r="AA95">
            <v>1236.5</v>
          </cell>
          <cell r="AB95">
            <v>732.7</v>
          </cell>
          <cell r="AD95">
            <v>2.7</v>
          </cell>
          <cell r="AE95">
            <v>1236.9000000000001</v>
          </cell>
          <cell r="AF95">
            <v>1238.2</v>
          </cell>
          <cell r="AG95">
            <v>734.1</v>
          </cell>
          <cell r="AI95">
            <v>3.6</v>
          </cell>
          <cell r="AK95">
            <v>1453.0867499999999</v>
          </cell>
          <cell r="AM95">
            <v>1370.4902400000001</v>
          </cell>
          <cell r="AO95">
            <v>1466.3429800000001</v>
          </cell>
          <cell r="AP95" t="str">
            <v>Muestra tomada en el elevador</v>
          </cell>
          <cell r="AQ95" t="str">
            <v>-</v>
          </cell>
          <cell r="AR95">
            <v>1490</v>
          </cell>
          <cell r="AS95">
            <v>3</v>
          </cell>
          <cell r="AV95">
            <v>2.4477936480743923</v>
          </cell>
          <cell r="BS95">
            <v>2.585</v>
          </cell>
        </row>
        <row r="96">
          <cell r="A96">
            <v>94</v>
          </cell>
          <cell r="B96">
            <v>40238</v>
          </cell>
          <cell r="D96">
            <v>1501.3</v>
          </cell>
          <cell r="E96">
            <v>1428.8</v>
          </cell>
          <cell r="G96" t="str">
            <v>Parcheo elaboración de fallos en vías urbanas y rurales del municipio de Medellín; Estyma S.A.</v>
          </cell>
          <cell r="H96" t="str">
            <v>1/2</v>
          </cell>
          <cell r="I96">
            <v>0</v>
          </cell>
          <cell r="J96">
            <v>225.7</v>
          </cell>
          <cell r="K96">
            <v>187.2</v>
          </cell>
          <cell r="L96">
            <v>268.39999999999998</v>
          </cell>
          <cell r="M96">
            <v>274.10000000000002</v>
          </cell>
          <cell r="N96">
            <v>233.5</v>
          </cell>
          <cell r="O96">
            <v>86</v>
          </cell>
          <cell r="P96">
            <v>66.3</v>
          </cell>
          <cell r="Q96">
            <v>87.6</v>
          </cell>
          <cell r="S96">
            <v>25</v>
          </cell>
          <cell r="T96" t="str">
            <v>1</v>
          </cell>
          <cell r="U96">
            <v>1233.9000000000001</v>
          </cell>
          <cell r="V96">
            <v>1235.4000000000001</v>
          </cell>
          <cell r="W96">
            <v>733.4</v>
          </cell>
          <cell r="Y96">
            <v>3.1</v>
          </cell>
          <cell r="Z96">
            <v>1233.2</v>
          </cell>
          <cell r="AA96">
            <v>1234.5</v>
          </cell>
          <cell r="AB96">
            <v>732.9</v>
          </cell>
          <cell r="AD96">
            <v>3.6</v>
          </cell>
          <cell r="AE96">
            <v>1232.2</v>
          </cell>
          <cell r="AF96">
            <v>1233.4000000000001</v>
          </cell>
          <cell r="AG96">
            <v>733.3</v>
          </cell>
          <cell r="AI96">
            <v>3.1</v>
          </cell>
          <cell r="AK96">
            <v>1573.4125300000001</v>
          </cell>
          <cell r="AM96">
            <v>1675.3835300000001</v>
          </cell>
          <cell r="AO96">
            <v>1511.2102200000002</v>
          </cell>
          <cell r="AP96" t="str">
            <v>Muestra tomada en el elevador</v>
          </cell>
          <cell r="AQ96" t="str">
            <v>-</v>
          </cell>
          <cell r="AR96">
            <v>1665</v>
          </cell>
          <cell r="AS96">
            <v>3.3</v>
          </cell>
          <cell r="AV96">
            <v>2.4529401159666575</v>
          </cell>
          <cell r="BS96">
            <v>2.5790000000000002</v>
          </cell>
        </row>
        <row r="97">
          <cell r="A97">
            <v>95</v>
          </cell>
          <cell r="B97">
            <v>40238</v>
          </cell>
          <cell r="D97">
            <v>1500.9</v>
          </cell>
          <cell r="E97">
            <v>1427.4</v>
          </cell>
          <cell r="G97" t="str">
            <v>Parcheo elaboración de fallos en vías urbanas y rurales del municipio de Medellín; Estyma S.A.</v>
          </cell>
          <cell r="H97" t="str">
            <v>2/2</v>
          </cell>
          <cell r="I97">
            <v>0</v>
          </cell>
          <cell r="J97">
            <v>217.2</v>
          </cell>
          <cell r="K97">
            <v>183.5</v>
          </cell>
          <cell r="L97">
            <v>276.89999999999998</v>
          </cell>
          <cell r="M97">
            <v>301</v>
          </cell>
          <cell r="N97">
            <v>216.2</v>
          </cell>
          <cell r="O97">
            <v>72.2</v>
          </cell>
          <cell r="P97">
            <v>70.900000000000006</v>
          </cell>
          <cell r="Q97">
            <v>89.5</v>
          </cell>
          <cell r="S97">
            <v>25</v>
          </cell>
          <cell r="T97" t="str">
            <v>1</v>
          </cell>
          <cell r="U97">
            <v>1235</v>
          </cell>
          <cell r="V97">
            <v>1236.4000000000001</v>
          </cell>
          <cell r="W97">
            <v>736.5</v>
          </cell>
          <cell r="Y97">
            <v>3.4</v>
          </cell>
          <cell r="Z97">
            <v>1233.3</v>
          </cell>
          <cell r="AA97">
            <v>1235.2</v>
          </cell>
          <cell r="AB97">
            <v>735.2</v>
          </cell>
          <cell r="AD97">
            <v>3.3</v>
          </cell>
          <cell r="AE97">
            <v>1233.5999999999999</v>
          </cell>
          <cell r="AF97">
            <v>1235.4000000000001</v>
          </cell>
          <cell r="AG97">
            <v>736.1</v>
          </cell>
          <cell r="AI97">
            <v>2.9</v>
          </cell>
          <cell r="AK97">
            <v>1689.6594700000001</v>
          </cell>
          <cell r="AM97">
            <v>1691.6988900000001</v>
          </cell>
          <cell r="AO97">
            <v>1530.5847100000001</v>
          </cell>
          <cell r="AP97" t="str">
            <v>Muestra tomada en la volqueta</v>
          </cell>
          <cell r="AQ97" t="str">
            <v>-</v>
          </cell>
          <cell r="AR97">
            <v>1727</v>
          </cell>
          <cell r="AS97">
            <v>3.2</v>
          </cell>
          <cell r="AV97">
            <v>2.4620284479079722</v>
          </cell>
          <cell r="BS97">
            <v>2.5790000000000002</v>
          </cell>
        </row>
        <row r="98">
          <cell r="A98">
            <v>96</v>
          </cell>
          <cell r="B98">
            <v>40239</v>
          </cell>
          <cell r="D98">
            <v>1500.4</v>
          </cell>
          <cell r="E98">
            <v>1422.4</v>
          </cell>
          <cell r="G98" t="str">
            <v>Parcheo elaboración de fallos en vías urbanas y rurales del municipio de Medellín; Estyma S.A.</v>
          </cell>
          <cell r="H98" t="str">
            <v>1/2</v>
          </cell>
          <cell r="I98">
            <v>0</v>
          </cell>
          <cell r="J98">
            <v>183.5</v>
          </cell>
          <cell r="K98">
            <v>166.6</v>
          </cell>
          <cell r="L98">
            <v>273.60000000000002</v>
          </cell>
          <cell r="M98">
            <v>305.3</v>
          </cell>
          <cell r="N98">
            <v>243.5</v>
          </cell>
          <cell r="O98">
            <v>84.4</v>
          </cell>
          <cell r="P98">
            <v>75.099999999999994</v>
          </cell>
          <cell r="Q98">
            <v>90.4</v>
          </cell>
          <cell r="S98">
            <v>25</v>
          </cell>
          <cell r="T98" t="str">
            <v>1</v>
          </cell>
          <cell r="U98">
            <v>1236.2</v>
          </cell>
          <cell r="V98">
            <v>1237.8</v>
          </cell>
          <cell r="W98">
            <v>735.8</v>
          </cell>
          <cell r="Y98">
            <v>3.6</v>
          </cell>
          <cell r="Z98">
            <v>1235.2</v>
          </cell>
          <cell r="AA98">
            <v>1236.2</v>
          </cell>
          <cell r="AB98">
            <v>737.4</v>
          </cell>
          <cell r="AD98">
            <v>3.3</v>
          </cell>
          <cell r="AE98">
            <v>1235.0999999999999</v>
          </cell>
          <cell r="AF98">
            <v>1236.5</v>
          </cell>
          <cell r="AG98">
            <v>737.5</v>
          </cell>
          <cell r="AI98">
            <v>3.1</v>
          </cell>
          <cell r="AK98">
            <v>1582.5899200000001</v>
          </cell>
          <cell r="AM98">
            <v>1585.6490500000002</v>
          </cell>
          <cell r="AO98">
            <v>1492.85544</v>
          </cell>
          <cell r="AP98" t="str">
            <v>Muestra tomada en el elevador</v>
          </cell>
          <cell r="AQ98" t="str">
            <v>-</v>
          </cell>
          <cell r="AR98">
            <v>1637</v>
          </cell>
          <cell r="AS98">
            <v>3.3</v>
          </cell>
          <cell r="AV98">
            <v>2.4641190828029882</v>
          </cell>
          <cell r="BS98">
            <v>2.5790000000000002</v>
          </cell>
        </row>
        <row r="99">
          <cell r="A99">
            <v>97</v>
          </cell>
          <cell r="B99">
            <v>40239</v>
          </cell>
          <cell r="D99">
            <v>1500.5</v>
          </cell>
          <cell r="E99">
            <v>1427.1</v>
          </cell>
          <cell r="G99" t="str">
            <v>Parcheo elaboración de fallos en vías urbanas y rurales del municipio de Medellín; Estyma S.A.</v>
          </cell>
          <cell r="H99" t="str">
            <v>2/2</v>
          </cell>
          <cell r="I99">
            <v>0</v>
          </cell>
          <cell r="J99">
            <v>200</v>
          </cell>
          <cell r="K99">
            <v>206.5</v>
          </cell>
          <cell r="L99">
            <v>274.60000000000002</v>
          </cell>
          <cell r="M99">
            <v>268.8</v>
          </cell>
          <cell r="N99">
            <v>256.60000000000002</v>
          </cell>
          <cell r="O99">
            <v>81.400000000000006</v>
          </cell>
          <cell r="P99">
            <v>62.7</v>
          </cell>
          <cell r="Q99">
            <v>76.5</v>
          </cell>
          <cell r="S99">
            <v>25</v>
          </cell>
          <cell r="T99" t="str">
            <v>1</v>
          </cell>
          <cell r="U99">
            <v>1231</v>
          </cell>
          <cell r="V99">
            <v>1231.9000000000001</v>
          </cell>
          <cell r="W99">
            <v>731.6</v>
          </cell>
          <cell r="Y99">
            <v>3.4</v>
          </cell>
          <cell r="Z99">
            <v>1234</v>
          </cell>
          <cell r="AA99">
            <v>1234.5999999999999</v>
          </cell>
          <cell r="AB99">
            <v>734.4</v>
          </cell>
          <cell r="AD99">
            <v>3.1</v>
          </cell>
          <cell r="AE99">
            <v>1234.7</v>
          </cell>
          <cell r="AF99">
            <v>1235.9000000000001</v>
          </cell>
          <cell r="AG99">
            <v>730.6</v>
          </cell>
          <cell r="AI99">
            <v>3.4</v>
          </cell>
          <cell r="AK99">
            <v>1513.24964</v>
          </cell>
          <cell r="AM99">
            <v>1540.78181</v>
          </cell>
          <cell r="AO99">
            <v>1495.9145700000001</v>
          </cell>
          <cell r="AP99" t="str">
            <v>Muestra tomada en la volqueta</v>
          </cell>
          <cell r="AQ99" t="str">
            <v>-</v>
          </cell>
          <cell r="AR99">
            <v>1588</v>
          </cell>
          <cell r="AS99">
            <v>3.3</v>
          </cell>
          <cell r="AV99">
            <v>2.449825170785533</v>
          </cell>
          <cell r="BS99">
            <v>2.5790000000000002</v>
          </cell>
        </row>
        <row r="100">
          <cell r="A100">
            <v>98</v>
          </cell>
          <cell r="B100">
            <v>40240</v>
          </cell>
          <cell r="D100">
            <v>1500.4</v>
          </cell>
          <cell r="E100">
            <v>1424.9</v>
          </cell>
          <cell r="G100" t="str">
            <v>Parcheo elaboración de fallos en vías urbanas y rurales del municipio de Medellín; Estyma S.A.</v>
          </cell>
          <cell r="H100" t="str">
            <v>1/2</v>
          </cell>
          <cell r="I100">
            <v>0</v>
          </cell>
          <cell r="J100">
            <v>165.8</v>
          </cell>
          <cell r="K100">
            <v>144.69999999999999</v>
          </cell>
          <cell r="L100">
            <v>320.8</v>
          </cell>
          <cell r="M100">
            <v>341.3</v>
          </cell>
          <cell r="N100">
            <v>224.2</v>
          </cell>
          <cell r="O100">
            <v>71.3</v>
          </cell>
          <cell r="P100">
            <v>68.900000000000006</v>
          </cell>
          <cell r="Q100">
            <v>87.9</v>
          </cell>
          <cell r="S100">
            <v>25</v>
          </cell>
          <cell r="T100" t="str">
            <v>1</v>
          </cell>
          <cell r="U100">
            <v>1233.9000000000001</v>
          </cell>
          <cell r="V100">
            <v>1236.3</v>
          </cell>
          <cell r="W100">
            <v>732.2</v>
          </cell>
          <cell r="Y100">
            <v>3.3</v>
          </cell>
          <cell r="Z100">
            <v>1234.8</v>
          </cell>
          <cell r="AA100">
            <v>1236.0999999999999</v>
          </cell>
          <cell r="AB100">
            <v>731.2</v>
          </cell>
          <cell r="AD100">
            <v>3.6</v>
          </cell>
          <cell r="AE100">
            <v>1236.4000000000001</v>
          </cell>
          <cell r="AF100">
            <v>1238.5999999999999</v>
          </cell>
          <cell r="AG100">
            <v>732.3</v>
          </cell>
          <cell r="AI100">
            <v>3.1</v>
          </cell>
          <cell r="AK100">
            <v>1455.12617</v>
          </cell>
          <cell r="AM100">
            <v>1450.0276200000001</v>
          </cell>
          <cell r="AO100">
            <v>1510.1905100000001</v>
          </cell>
          <cell r="AP100" t="str">
            <v>Muestra tomada en el elevador</v>
          </cell>
          <cell r="AQ100" t="str">
            <v>-</v>
          </cell>
          <cell r="AR100">
            <v>1525</v>
          </cell>
          <cell r="AS100">
            <v>3.3</v>
          </cell>
          <cell r="AV100">
            <v>2.4379786064873206</v>
          </cell>
          <cell r="BS100">
            <v>2.5739999999999998</v>
          </cell>
        </row>
        <row r="101">
          <cell r="A101">
            <v>99</v>
          </cell>
          <cell r="B101">
            <v>40240</v>
          </cell>
          <cell r="D101">
            <v>1500.6</v>
          </cell>
          <cell r="E101">
            <v>1426.1</v>
          </cell>
          <cell r="G101" t="str">
            <v>Parcheo elaboración de fallos en vías urbanas y rurales del municipio de Medellín; Estyma S.A.</v>
          </cell>
          <cell r="H101" t="str">
            <v>2/2</v>
          </cell>
          <cell r="I101">
            <v>0</v>
          </cell>
          <cell r="J101">
            <v>146.1</v>
          </cell>
          <cell r="K101">
            <v>167</v>
          </cell>
          <cell r="L101">
            <v>324</v>
          </cell>
          <cell r="M101">
            <v>336.3</v>
          </cell>
          <cell r="N101">
            <v>224.9</v>
          </cell>
          <cell r="O101">
            <v>79.8</v>
          </cell>
          <cell r="P101">
            <v>62.2</v>
          </cell>
          <cell r="Q101">
            <v>85.8</v>
          </cell>
          <cell r="S101">
            <v>25</v>
          </cell>
          <cell r="T101" t="str">
            <v>1</v>
          </cell>
          <cell r="U101">
            <v>1233.5</v>
          </cell>
          <cell r="V101">
            <v>1234.5999999999999</v>
          </cell>
          <cell r="W101">
            <v>732</v>
          </cell>
          <cell r="Y101">
            <v>3.1</v>
          </cell>
          <cell r="Z101">
            <v>1234.9000000000001</v>
          </cell>
          <cell r="AA101">
            <v>1236.4000000000001</v>
          </cell>
          <cell r="AB101">
            <v>730.5</v>
          </cell>
          <cell r="AD101">
            <v>3.3</v>
          </cell>
          <cell r="AE101">
            <v>1234</v>
          </cell>
          <cell r="AF101">
            <v>1236.4000000000001</v>
          </cell>
          <cell r="AG101">
            <v>730.5</v>
          </cell>
          <cell r="AI101">
            <v>3.3</v>
          </cell>
          <cell r="AK101">
            <v>1481.6386299999999</v>
          </cell>
          <cell r="AM101">
            <v>1455.12617</v>
          </cell>
          <cell r="AO101">
            <v>1444.9290700000001</v>
          </cell>
          <cell r="AP101" t="str">
            <v>Muestra tomada en la volqueta</v>
          </cell>
          <cell r="AQ101" t="str">
            <v>-</v>
          </cell>
          <cell r="AR101">
            <v>1515</v>
          </cell>
          <cell r="AS101">
            <v>3.2</v>
          </cell>
          <cell r="AV101">
            <v>2.4376660576824323</v>
          </cell>
          <cell r="BS101">
            <v>2.5739999999999998</v>
          </cell>
        </row>
        <row r="102">
          <cell r="A102">
            <v>100</v>
          </cell>
          <cell r="B102">
            <v>40241</v>
          </cell>
          <cell r="D102">
            <v>1500.8</v>
          </cell>
          <cell r="E102">
            <v>1427</v>
          </cell>
          <cell r="G102" t="str">
            <v>Parcheo elaboración de fallos en vías urbanas y rurales del municipio de Medellín; Estyma S.A.; Consorcio Vial Santa Elena (Parque Arví)</v>
          </cell>
          <cell r="H102" t="str">
            <v>1/2</v>
          </cell>
          <cell r="I102">
            <v>0</v>
          </cell>
          <cell r="J102">
            <v>202.5</v>
          </cell>
          <cell r="K102">
            <v>212.6</v>
          </cell>
          <cell r="L102">
            <v>263.5</v>
          </cell>
          <cell r="M102">
            <v>297.60000000000002</v>
          </cell>
          <cell r="N102">
            <v>219.4</v>
          </cell>
          <cell r="O102">
            <v>73.5</v>
          </cell>
          <cell r="P102">
            <v>71.3</v>
          </cell>
          <cell r="Q102">
            <v>86.6</v>
          </cell>
          <cell r="S102">
            <v>25</v>
          </cell>
          <cell r="T102" t="str">
            <v>1</v>
          </cell>
          <cell r="U102">
            <v>1236.3</v>
          </cell>
          <cell r="V102">
            <v>1237.3</v>
          </cell>
          <cell r="W102">
            <v>736.8</v>
          </cell>
          <cell r="Y102">
            <v>3.2</v>
          </cell>
          <cell r="Z102">
            <v>1233.5999999999999</v>
          </cell>
          <cell r="AA102">
            <v>1234.5999999999999</v>
          </cell>
          <cell r="AB102">
            <v>735.4</v>
          </cell>
          <cell r="AD102">
            <v>3.3</v>
          </cell>
          <cell r="AE102">
            <v>1235.5999999999999</v>
          </cell>
          <cell r="AF102">
            <v>1236.9000000000001</v>
          </cell>
          <cell r="AG102">
            <v>735.3</v>
          </cell>
          <cell r="AI102">
            <v>3.6</v>
          </cell>
          <cell r="AK102">
            <v>1513.24964</v>
          </cell>
          <cell r="AM102">
            <v>1556.07746</v>
          </cell>
          <cell r="AO102">
            <v>1720.2507700000001</v>
          </cell>
          <cell r="AP102" t="str">
            <v>Muestra tomada en el elevador</v>
          </cell>
          <cell r="AQ102" t="str">
            <v>-</v>
          </cell>
          <cell r="AR102">
            <v>1680</v>
          </cell>
          <cell r="AS102">
            <v>3.4</v>
          </cell>
          <cell r="AV102">
            <v>2.4609808808114395</v>
          </cell>
          <cell r="BS102">
            <v>2.57</v>
          </cell>
        </row>
        <row r="103">
          <cell r="A103">
            <v>101</v>
          </cell>
          <cell r="B103">
            <v>40241</v>
          </cell>
          <cell r="D103">
            <v>1500.5</v>
          </cell>
          <cell r="E103">
            <v>1425.4</v>
          </cell>
          <cell r="G103" t="str">
            <v>Parcheo elaboración de fallos en vías urbanas y rurales del municipio de Medellín; Estyma S.A.; Consorcio Vial Santa Elena (Parque Arví)</v>
          </cell>
          <cell r="H103" t="str">
            <v>2/2</v>
          </cell>
          <cell r="I103">
            <v>0</v>
          </cell>
          <cell r="J103">
            <v>156.6</v>
          </cell>
          <cell r="K103">
            <v>171.3</v>
          </cell>
          <cell r="L103">
            <v>318.89999999999998</v>
          </cell>
          <cell r="M103">
            <v>305.2</v>
          </cell>
          <cell r="N103">
            <v>229.8</v>
          </cell>
          <cell r="O103">
            <v>85.3</v>
          </cell>
          <cell r="P103">
            <v>66.7</v>
          </cell>
          <cell r="Q103">
            <v>91.6</v>
          </cell>
          <cell r="S103">
            <v>25</v>
          </cell>
          <cell r="T103" t="str">
            <v>1</v>
          </cell>
          <cell r="U103">
            <v>1232.5</v>
          </cell>
          <cell r="V103">
            <v>1233.5999999999999</v>
          </cell>
          <cell r="W103">
            <v>733.5</v>
          </cell>
          <cell r="Y103">
            <v>3.4</v>
          </cell>
          <cell r="Z103">
            <v>1235.2</v>
          </cell>
          <cell r="AA103">
            <v>1236.4000000000001</v>
          </cell>
          <cell r="AB103">
            <v>737.6</v>
          </cell>
          <cell r="AD103">
            <v>3.4</v>
          </cell>
          <cell r="AE103">
            <v>1235.5999999999999</v>
          </cell>
          <cell r="AF103">
            <v>1237.5</v>
          </cell>
          <cell r="AG103">
            <v>733.3</v>
          </cell>
          <cell r="AI103">
            <v>3.4</v>
          </cell>
          <cell r="AK103">
            <v>1596.8658600000001</v>
          </cell>
          <cell r="AM103">
            <v>1801.8275700000002</v>
          </cell>
          <cell r="AO103">
            <v>1575.4519499999999</v>
          </cell>
          <cell r="AP103" t="str">
            <v>Muestra tomada en la volqueta</v>
          </cell>
          <cell r="AQ103" t="str">
            <v>-</v>
          </cell>
          <cell r="AR103">
            <v>1742</v>
          </cell>
          <cell r="AS103">
            <v>3.4</v>
          </cell>
          <cell r="AV103">
            <v>2.4566150407045884</v>
          </cell>
          <cell r="BS103">
            <v>2.57</v>
          </cell>
        </row>
        <row r="104">
          <cell r="A104">
            <v>102</v>
          </cell>
          <cell r="B104">
            <v>40242</v>
          </cell>
          <cell r="D104">
            <v>1500.4</v>
          </cell>
          <cell r="E104">
            <v>1429.7</v>
          </cell>
          <cell r="G104" t="str">
            <v>Parcheo elaboración de fallos en vías urbanas y rurales del municipio de Medellín; Estyma S.A.; Consorcio Vial Santa Elena (Parque Arví)</v>
          </cell>
          <cell r="H104" t="str">
            <v>1/2</v>
          </cell>
          <cell r="I104">
            <v>0</v>
          </cell>
          <cell r="J104">
            <v>153.6</v>
          </cell>
          <cell r="K104">
            <v>183.4</v>
          </cell>
          <cell r="L104">
            <v>311.8</v>
          </cell>
          <cell r="M104">
            <v>328.6</v>
          </cell>
          <cell r="N104">
            <v>218.4</v>
          </cell>
          <cell r="O104">
            <v>79.900000000000006</v>
          </cell>
          <cell r="P104">
            <v>70.7</v>
          </cell>
          <cell r="Q104">
            <v>83.3</v>
          </cell>
          <cell r="S104">
            <v>25</v>
          </cell>
          <cell r="T104" t="str">
            <v>1</v>
          </cell>
          <cell r="U104">
            <v>1238.5</v>
          </cell>
          <cell r="V104">
            <v>1240.3</v>
          </cell>
          <cell r="W104">
            <v>735.1</v>
          </cell>
          <cell r="Y104">
            <v>3.2</v>
          </cell>
          <cell r="Z104">
            <v>1234.8</v>
          </cell>
          <cell r="AA104">
            <v>1236.0999999999999</v>
          </cell>
          <cell r="AB104">
            <v>730.4</v>
          </cell>
          <cell r="AD104">
            <v>2.9</v>
          </cell>
          <cell r="AE104">
            <v>1234.3</v>
          </cell>
          <cell r="AF104">
            <v>1236.2</v>
          </cell>
          <cell r="AG104">
            <v>731.4</v>
          </cell>
          <cell r="AI104">
            <v>3.1</v>
          </cell>
          <cell r="AK104">
            <v>1708.0142500000002</v>
          </cell>
          <cell r="AM104">
            <v>1673.34411</v>
          </cell>
          <cell r="AO104">
            <v>1486.7371800000001</v>
          </cell>
          <cell r="AP104" t="str">
            <v>Muestra tomada en el elevador</v>
          </cell>
          <cell r="AQ104" t="str">
            <v>-</v>
          </cell>
          <cell r="AR104">
            <v>1681</v>
          </cell>
          <cell r="AS104">
            <v>3.1</v>
          </cell>
          <cell r="AV104">
            <v>2.4389767412567247</v>
          </cell>
          <cell r="BS104">
            <v>2.5790000000000002</v>
          </cell>
        </row>
        <row r="105">
          <cell r="A105">
            <v>103</v>
          </cell>
          <cell r="B105">
            <v>40242</v>
          </cell>
          <cell r="D105">
            <v>1501.7</v>
          </cell>
          <cell r="E105">
            <v>1430.1</v>
          </cell>
          <cell r="G105" t="str">
            <v>Parcheo elaboración de fallos en vías urbanas y rurales del municipio de Medellín; Estyma S.A.; Consorcio Vial Santa Elena (Parque Arví)</v>
          </cell>
          <cell r="H105" t="str">
            <v>2/2</v>
          </cell>
          <cell r="I105">
            <v>0</v>
          </cell>
          <cell r="J105">
            <v>205.4</v>
          </cell>
          <cell r="K105">
            <v>200.6</v>
          </cell>
          <cell r="L105">
            <v>302.2</v>
          </cell>
          <cell r="M105">
            <v>266.3</v>
          </cell>
          <cell r="N105">
            <v>230.3</v>
          </cell>
          <cell r="O105">
            <v>78.8</v>
          </cell>
          <cell r="P105">
            <v>65.2</v>
          </cell>
          <cell r="Q105">
            <v>81.3</v>
          </cell>
          <cell r="S105">
            <v>25</v>
          </cell>
          <cell r="T105" t="str">
            <v>1</v>
          </cell>
          <cell r="U105">
            <v>1236.5999999999999</v>
          </cell>
          <cell r="V105">
            <v>1239.9000000000001</v>
          </cell>
          <cell r="W105">
            <v>734</v>
          </cell>
          <cell r="Y105">
            <v>3.4</v>
          </cell>
          <cell r="Z105">
            <v>1233.8</v>
          </cell>
          <cell r="AA105">
            <v>1236.2</v>
          </cell>
          <cell r="AB105">
            <v>733.1</v>
          </cell>
          <cell r="AD105">
            <v>3</v>
          </cell>
          <cell r="AE105">
            <v>1235.5</v>
          </cell>
          <cell r="AF105">
            <v>1239</v>
          </cell>
          <cell r="AG105">
            <v>732.5</v>
          </cell>
          <cell r="AI105">
            <v>3.5</v>
          </cell>
          <cell r="AK105">
            <v>1551.9986200000001</v>
          </cell>
          <cell r="AM105">
            <v>1781.43337</v>
          </cell>
          <cell r="AO105">
            <v>1662.1273000000001</v>
          </cell>
          <cell r="AP105" t="str">
            <v>Muestra tomada en la volqueta</v>
          </cell>
          <cell r="AQ105" t="str">
            <v>-</v>
          </cell>
          <cell r="AR105">
            <v>1726</v>
          </cell>
          <cell r="AS105">
            <v>3.3</v>
          </cell>
          <cell r="AV105">
            <v>2.4381943540967272</v>
          </cell>
          <cell r="BS105">
            <v>2.5790000000000002</v>
          </cell>
        </row>
        <row r="106">
          <cell r="A106">
            <v>104</v>
          </cell>
          <cell r="B106">
            <v>40243</v>
          </cell>
          <cell r="D106">
            <v>1500.6</v>
          </cell>
          <cell r="E106">
            <v>1423.7</v>
          </cell>
          <cell r="G106" t="str">
            <v>Parcheo elaboración de fallos en vías urbanas y rurales del municipio de Medellín. Consorcio Vial Santa Elena (Parque Arví)</v>
          </cell>
          <cell r="H106" t="str">
            <v>1/2</v>
          </cell>
          <cell r="I106">
            <v>0</v>
          </cell>
          <cell r="J106">
            <v>179.1</v>
          </cell>
          <cell r="K106">
            <v>212.8</v>
          </cell>
          <cell r="L106">
            <v>283</v>
          </cell>
          <cell r="M106">
            <v>302.5</v>
          </cell>
          <cell r="N106">
            <v>228.5</v>
          </cell>
          <cell r="O106">
            <v>69.599999999999994</v>
          </cell>
          <cell r="P106">
            <v>66.8</v>
          </cell>
          <cell r="Q106">
            <v>81.400000000000006</v>
          </cell>
          <cell r="S106">
            <v>25</v>
          </cell>
          <cell r="T106" t="str">
            <v>1</v>
          </cell>
          <cell r="U106">
            <v>1238.0999999999999</v>
          </cell>
          <cell r="V106">
            <v>1239.5999999999999</v>
          </cell>
          <cell r="W106">
            <v>732.6</v>
          </cell>
          <cell r="Y106">
            <v>3.6</v>
          </cell>
          <cell r="Z106">
            <v>1235.5999999999999</v>
          </cell>
          <cell r="AA106">
            <v>1237.5</v>
          </cell>
          <cell r="AB106">
            <v>730.2</v>
          </cell>
          <cell r="AD106">
            <v>3.4</v>
          </cell>
          <cell r="AE106">
            <v>1233.9000000000001</v>
          </cell>
          <cell r="AF106">
            <v>1236.0999999999999</v>
          </cell>
          <cell r="AG106">
            <v>731.8</v>
          </cell>
          <cell r="AI106">
            <v>3.4</v>
          </cell>
          <cell r="AK106">
            <v>1645.81194</v>
          </cell>
          <cell r="AM106">
            <v>1411.27864</v>
          </cell>
          <cell r="AO106">
            <v>1722.2901900000002</v>
          </cell>
          <cell r="AP106" t="str">
            <v>Muestra tomada en el elevador</v>
          </cell>
          <cell r="AQ106" t="str">
            <v>-</v>
          </cell>
          <cell r="AR106">
            <v>1645</v>
          </cell>
          <cell r="AS106">
            <v>3.5</v>
          </cell>
          <cell r="AV106">
            <v>2.4343284933511629</v>
          </cell>
          <cell r="BS106">
            <v>2.585</v>
          </cell>
        </row>
        <row r="107">
          <cell r="A107">
            <v>105</v>
          </cell>
          <cell r="B107">
            <v>40243</v>
          </cell>
          <cell r="D107">
            <v>1500.6</v>
          </cell>
          <cell r="E107">
            <v>1429.3</v>
          </cell>
          <cell r="G107" t="str">
            <v>Parcheo elaboración de fallos en vías urbanas y rurales del municipio de Medellín. Consorcio Vial Santa Elena (Parque Arví)</v>
          </cell>
          <cell r="H107" t="str">
            <v>2/2</v>
          </cell>
          <cell r="I107">
            <v>0</v>
          </cell>
          <cell r="J107">
            <v>166</v>
          </cell>
          <cell r="K107">
            <v>186.3</v>
          </cell>
          <cell r="L107">
            <v>330.5</v>
          </cell>
          <cell r="M107">
            <v>300.3</v>
          </cell>
          <cell r="N107">
            <v>202.9</v>
          </cell>
          <cell r="O107">
            <v>84.8</v>
          </cell>
          <cell r="P107">
            <v>67.8</v>
          </cell>
          <cell r="Q107">
            <v>90.7</v>
          </cell>
          <cell r="S107">
            <v>25</v>
          </cell>
          <cell r="T107" t="str">
            <v>1</v>
          </cell>
          <cell r="U107">
            <v>1234.2</v>
          </cell>
          <cell r="V107">
            <v>1237.9000000000001</v>
          </cell>
          <cell r="W107">
            <v>731.7</v>
          </cell>
          <cell r="Y107">
            <v>3.5</v>
          </cell>
          <cell r="Z107">
            <v>1232.7</v>
          </cell>
          <cell r="AA107">
            <v>1235.5999999999999</v>
          </cell>
          <cell r="AB107">
            <v>730.6</v>
          </cell>
          <cell r="AD107">
            <v>3.4</v>
          </cell>
          <cell r="AE107">
            <v>1236.9000000000001</v>
          </cell>
          <cell r="AF107">
            <v>1240.5999999999999</v>
          </cell>
          <cell r="AG107">
            <v>736.1</v>
          </cell>
          <cell r="AI107">
            <v>3.3</v>
          </cell>
          <cell r="AK107">
            <v>1609.10238</v>
          </cell>
          <cell r="AM107">
            <v>1501.0131200000001</v>
          </cell>
          <cell r="AO107">
            <v>1587.6884700000001</v>
          </cell>
          <cell r="AP107" t="str">
            <v>Muestra tomada en la volqueta</v>
          </cell>
          <cell r="AQ107" t="str">
            <v>-</v>
          </cell>
          <cell r="AR107">
            <v>1622</v>
          </cell>
          <cell r="AS107">
            <v>3.4</v>
          </cell>
          <cell r="AV107">
            <v>2.436482788395979</v>
          </cell>
          <cell r="BS107">
            <v>2.585</v>
          </cell>
        </row>
        <row r="108">
          <cell r="A108">
            <v>106</v>
          </cell>
          <cell r="B108">
            <v>40245</v>
          </cell>
          <cell r="D108">
            <v>1501.4</v>
          </cell>
          <cell r="E108">
            <v>1423.6</v>
          </cell>
          <cell r="G108" t="str">
            <v>Parcheo elaboración de fallos en vías urbanas y rurales del municipio de Medellín; Estyma S.A.; Consorcio Vial Santa Elena</v>
          </cell>
          <cell r="H108" t="str">
            <v>1/2</v>
          </cell>
          <cell r="I108">
            <v>0</v>
          </cell>
          <cell r="J108">
            <v>148.69999999999999</v>
          </cell>
          <cell r="K108">
            <v>176.4</v>
          </cell>
          <cell r="L108">
            <v>321.5</v>
          </cell>
          <cell r="M108">
            <v>300.5</v>
          </cell>
          <cell r="N108">
            <v>227.9</v>
          </cell>
          <cell r="O108">
            <v>79</v>
          </cell>
          <cell r="P108">
            <v>75</v>
          </cell>
          <cell r="Q108">
            <v>94.6</v>
          </cell>
          <cell r="S108">
            <v>25</v>
          </cell>
          <cell r="T108" t="str">
            <v>1</v>
          </cell>
          <cell r="U108">
            <v>1234.8</v>
          </cell>
          <cell r="V108">
            <v>1236.4000000000001</v>
          </cell>
          <cell r="W108">
            <v>732.3</v>
          </cell>
          <cell r="Y108">
            <v>3.5</v>
          </cell>
          <cell r="Z108">
            <v>1237.0999999999999</v>
          </cell>
          <cell r="AA108">
            <v>1239.2</v>
          </cell>
          <cell r="AB108">
            <v>732.5</v>
          </cell>
          <cell r="AD108">
            <v>3.4</v>
          </cell>
          <cell r="AE108">
            <v>1236.2</v>
          </cell>
          <cell r="AF108">
            <v>1238.3</v>
          </cell>
          <cell r="AG108">
            <v>733.3</v>
          </cell>
          <cell r="AI108">
            <v>3.1</v>
          </cell>
          <cell r="AK108">
            <v>1554.0380400000001</v>
          </cell>
          <cell r="AM108">
            <v>1408.2195100000001</v>
          </cell>
          <cell r="AO108">
            <v>1460.2247200000002</v>
          </cell>
          <cell r="AP108" t="str">
            <v>Muestra tomada en el elevador</v>
          </cell>
          <cell r="AQ108" t="str">
            <v>-</v>
          </cell>
          <cell r="AR108">
            <v>1527</v>
          </cell>
          <cell r="AS108">
            <v>3.3</v>
          </cell>
          <cell r="AV108">
            <v>2.4391508508442667</v>
          </cell>
          <cell r="BS108">
            <v>2.5640000000000001</v>
          </cell>
        </row>
        <row r="109">
          <cell r="A109">
            <v>107</v>
          </cell>
          <cell r="B109">
            <v>40245</v>
          </cell>
          <cell r="D109">
            <v>1500.7</v>
          </cell>
          <cell r="E109">
            <v>1428.6</v>
          </cell>
          <cell r="G109" t="str">
            <v>Parcheo elaboración de fallos en vías urbanas y rurales del municipio de Medellín; Estyma S.A.; Consorcio Vial Santa Elena (Parque Arví)</v>
          </cell>
          <cell r="H109" t="str">
            <v>2/2</v>
          </cell>
          <cell r="I109">
            <v>0</v>
          </cell>
          <cell r="J109">
            <v>163.69999999999999</v>
          </cell>
          <cell r="K109">
            <v>183.9</v>
          </cell>
          <cell r="L109">
            <v>326.8</v>
          </cell>
          <cell r="M109">
            <v>296.8</v>
          </cell>
          <cell r="N109">
            <v>210.3</v>
          </cell>
          <cell r="O109">
            <v>84.9</v>
          </cell>
          <cell r="P109">
            <v>76.2</v>
          </cell>
          <cell r="Q109">
            <v>86</v>
          </cell>
          <cell r="S109">
            <v>25</v>
          </cell>
          <cell r="T109" t="str">
            <v>1</v>
          </cell>
          <cell r="U109">
            <v>1235.9000000000001</v>
          </cell>
          <cell r="V109">
            <v>1238.2</v>
          </cell>
          <cell r="W109">
            <v>732.8</v>
          </cell>
          <cell r="Y109">
            <v>3.2</v>
          </cell>
          <cell r="Z109">
            <v>1236.2</v>
          </cell>
          <cell r="AA109">
            <v>1238.3</v>
          </cell>
          <cell r="AB109">
            <v>734.9</v>
          </cell>
          <cell r="AD109">
            <v>3.5</v>
          </cell>
          <cell r="AE109">
            <v>1236.9000000000001</v>
          </cell>
          <cell r="AF109">
            <v>1239.3</v>
          </cell>
          <cell r="AG109">
            <v>733.4</v>
          </cell>
          <cell r="AI109">
            <v>3.34</v>
          </cell>
          <cell r="AK109">
            <v>1415.3574800000001</v>
          </cell>
          <cell r="AM109">
            <v>1594.82644</v>
          </cell>
          <cell r="AO109">
            <v>1358.2537200000002</v>
          </cell>
          <cell r="AP109" t="str">
            <v>Muestra tomada en la volqueta</v>
          </cell>
          <cell r="AQ109" t="str">
            <v>-</v>
          </cell>
          <cell r="AR109">
            <v>1510</v>
          </cell>
          <cell r="AS109">
            <v>3.3</v>
          </cell>
          <cell r="AV109">
            <v>2.441517815955967</v>
          </cell>
          <cell r="BS109">
            <v>2.5640000000000001</v>
          </cell>
        </row>
        <row r="110">
          <cell r="A110">
            <v>108</v>
          </cell>
          <cell r="B110">
            <v>40246</v>
          </cell>
          <cell r="D110">
            <v>1500.9</v>
          </cell>
          <cell r="E110">
            <v>1426.2</v>
          </cell>
          <cell r="G110" t="str">
            <v>Parcheo elaboración de fallos en vías urbanas y rurales del municipio de Medellín; Estyma S.A.; Consorcio Vial Santa Elena (Parque Arví)</v>
          </cell>
          <cell r="H110" t="str">
            <v>1/2</v>
          </cell>
          <cell r="I110">
            <v>0</v>
          </cell>
          <cell r="J110">
            <v>154.19999999999999</v>
          </cell>
          <cell r="K110">
            <v>151.9</v>
          </cell>
          <cell r="L110">
            <v>322.10000000000002</v>
          </cell>
          <cell r="M110">
            <v>323.5</v>
          </cell>
          <cell r="N110">
            <v>233.4</v>
          </cell>
          <cell r="O110">
            <v>78.900000000000006</v>
          </cell>
          <cell r="P110">
            <v>77.7</v>
          </cell>
          <cell r="Q110">
            <v>84.5</v>
          </cell>
          <cell r="S110">
            <v>25</v>
          </cell>
          <cell r="T110" t="str">
            <v>1</v>
          </cell>
          <cell r="U110">
            <v>1237.4000000000001</v>
          </cell>
          <cell r="V110">
            <v>1238.4000000000001</v>
          </cell>
          <cell r="W110">
            <v>735.1</v>
          </cell>
          <cell r="Y110">
            <v>3.2</v>
          </cell>
          <cell r="Z110">
            <v>1234.5</v>
          </cell>
          <cell r="AA110">
            <v>1237</v>
          </cell>
          <cell r="AB110">
            <v>726.9</v>
          </cell>
          <cell r="AD110">
            <v>3.3</v>
          </cell>
          <cell r="AE110">
            <v>1233.7</v>
          </cell>
          <cell r="AF110">
            <v>1235.7</v>
          </cell>
          <cell r="AG110">
            <v>728</v>
          </cell>
          <cell r="AI110">
            <v>3.6</v>
          </cell>
          <cell r="AK110">
            <v>1469.40211</v>
          </cell>
          <cell r="AM110">
            <v>1250.16446</v>
          </cell>
          <cell r="AO110">
            <v>1433.71226</v>
          </cell>
          <cell r="AP110" t="str">
            <v>Muestra tomada en el elevador</v>
          </cell>
          <cell r="AQ110" t="str">
            <v>-</v>
          </cell>
          <cell r="AR110">
            <v>1427</v>
          </cell>
          <cell r="AS110">
            <v>3.4</v>
          </cell>
          <cell r="AV110">
            <v>2.4290958686223396</v>
          </cell>
          <cell r="BS110">
            <v>2.5819999999999999</v>
          </cell>
        </row>
        <row r="111">
          <cell r="A111">
            <v>109</v>
          </cell>
          <cell r="B111">
            <v>40246</v>
          </cell>
          <cell r="D111">
            <v>1500.3</v>
          </cell>
          <cell r="E111">
            <v>1421.7</v>
          </cell>
          <cell r="G111" t="str">
            <v>Parcheo elaboración de fallos en vías urbanas y rurales del municipio de Medellín.</v>
          </cell>
          <cell r="H111" t="str">
            <v>2/2</v>
          </cell>
          <cell r="I111">
            <v>0</v>
          </cell>
          <cell r="J111">
            <v>185.6</v>
          </cell>
          <cell r="K111">
            <v>188.4</v>
          </cell>
          <cell r="L111">
            <v>291.5</v>
          </cell>
          <cell r="M111">
            <v>279.5</v>
          </cell>
          <cell r="N111">
            <v>226.4</v>
          </cell>
          <cell r="O111">
            <v>83.8</v>
          </cell>
          <cell r="P111">
            <v>76.5</v>
          </cell>
          <cell r="Q111">
            <v>90</v>
          </cell>
          <cell r="S111">
            <v>25</v>
          </cell>
          <cell r="T111" t="str">
            <v>1</v>
          </cell>
          <cell r="U111">
            <v>1234.8</v>
          </cell>
          <cell r="V111">
            <v>1235.5</v>
          </cell>
          <cell r="W111">
            <v>738.5</v>
          </cell>
          <cell r="Y111">
            <v>3.4</v>
          </cell>
          <cell r="Z111">
            <v>1233.5</v>
          </cell>
          <cell r="AA111">
            <v>1235</v>
          </cell>
          <cell r="AB111">
            <v>734</v>
          </cell>
          <cell r="AD111">
            <v>3.5</v>
          </cell>
          <cell r="AE111">
            <v>1231.8</v>
          </cell>
          <cell r="AF111">
            <v>1233.8</v>
          </cell>
          <cell r="AG111">
            <v>733.3</v>
          </cell>
          <cell r="AI111">
            <v>3.4</v>
          </cell>
          <cell r="AK111">
            <v>1753.9012</v>
          </cell>
          <cell r="AM111">
            <v>1493.8751500000001</v>
          </cell>
          <cell r="AO111">
            <v>1444.9290700000001</v>
          </cell>
          <cell r="AP111" t="str">
            <v>Muestra tomada en la volqueta</v>
          </cell>
          <cell r="AQ111" t="str">
            <v>-</v>
          </cell>
          <cell r="AR111">
            <v>1652</v>
          </cell>
          <cell r="AS111">
            <v>3.4</v>
          </cell>
          <cell r="AV111">
            <v>2.4620180551906889</v>
          </cell>
          <cell r="BS111">
            <v>2.5819999999999999</v>
          </cell>
        </row>
        <row r="112">
          <cell r="A112">
            <v>110</v>
          </cell>
          <cell r="B112">
            <v>40247</v>
          </cell>
          <cell r="D112">
            <v>1500.6</v>
          </cell>
          <cell r="E112">
            <v>1428.6</v>
          </cell>
          <cell r="G112" t="str">
            <v>Parcheo elaboración de fallos en vías urbanas y rurales del municipio de Medellín; Estyma S.A.; Consorcio Vial Santa Elena (Parque Arví), Magma</v>
          </cell>
          <cell r="H112" t="str">
            <v>1/2</v>
          </cell>
          <cell r="I112">
            <v>0</v>
          </cell>
          <cell r="J112">
            <v>182.6</v>
          </cell>
          <cell r="K112">
            <v>224.6</v>
          </cell>
          <cell r="L112">
            <v>282.60000000000002</v>
          </cell>
          <cell r="M112">
            <v>273.60000000000002</v>
          </cell>
          <cell r="N112">
            <v>222.3</v>
          </cell>
          <cell r="O112">
            <v>82.5</v>
          </cell>
          <cell r="P112">
            <v>78.900000000000006</v>
          </cell>
          <cell r="Q112">
            <v>81.5</v>
          </cell>
          <cell r="S112">
            <v>25</v>
          </cell>
          <cell r="T112" t="str">
            <v>1</v>
          </cell>
          <cell r="U112">
            <v>1235.2</v>
          </cell>
          <cell r="V112">
            <v>1238.5</v>
          </cell>
          <cell r="W112">
            <v>729.5</v>
          </cell>
          <cell r="Y112">
            <v>3.5</v>
          </cell>
          <cell r="Z112">
            <v>1236.4000000000001</v>
          </cell>
          <cell r="AA112">
            <v>1239.0999999999999</v>
          </cell>
          <cell r="AB112">
            <v>730.4</v>
          </cell>
          <cell r="AD112">
            <v>3.3</v>
          </cell>
          <cell r="AE112">
            <v>1236.5</v>
          </cell>
          <cell r="AF112">
            <v>1239.5999999999999</v>
          </cell>
          <cell r="AG112">
            <v>732.4</v>
          </cell>
          <cell r="AI112">
            <v>3.1</v>
          </cell>
          <cell r="AK112">
            <v>1317.46532</v>
          </cell>
          <cell r="AM112">
            <v>1494.8948600000001</v>
          </cell>
          <cell r="AO112">
            <v>1452.0670400000001</v>
          </cell>
          <cell r="AP112" t="str">
            <v>Muestra tomada en el elevador</v>
          </cell>
          <cell r="AQ112" t="str">
            <v>-</v>
          </cell>
          <cell r="AR112">
            <v>1458</v>
          </cell>
          <cell r="AS112">
            <v>3.3</v>
          </cell>
          <cell r="AV112">
            <v>2.4245947621061488</v>
          </cell>
          <cell r="BS112">
            <v>2.5819999999999999</v>
          </cell>
        </row>
        <row r="113">
          <cell r="A113">
            <v>111</v>
          </cell>
          <cell r="B113">
            <v>40247</v>
          </cell>
          <cell r="D113">
            <v>1501.1</v>
          </cell>
          <cell r="E113">
            <v>1427.9</v>
          </cell>
          <cell r="G113" t="str">
            <v>Parcheo elaboración de fallos en vías urbanas y rurales del municipio de Medellín; Estyma S.A.; Consorcio Vial Santa Elena (Parque Arví), Magma</v>
          </cell>
          <cell r="H113" t="str">
            <v>2/2</v>
          </cell>
          <cell r="I113">
            <v>0</v>
          </cell>
          <cell r="J113">
            <v>125.7</v>
          </cell>
          <cell r="K113">
            <v>204.2</v>
          </cell>
          <cell r="L113">
            <v>321.3</v>
          </cell>
          <cell r="M113">
            <v>301</v>
          </cell>
          <cell r="N113">
            <v>229.8</v>
          </cell>
          <cell r="O113">
            <v>78.400000000000006</v>
          </cell>
          <cell r="P113">
            <v>79.7</v>
          </cell>
          <cell r="Q113">
            <v>87.8</v>
          </cell>
          <cell r="S113">
            <v>25</v>
          </cell>
          <cell r="T113" t="str">
            <v>1</v>
          </cell>
          <cell r="U113">
            <v>1235.7</v>
          </cell>
          <cell r="V113">
            <v>1236.9000000000001</v>
          </cell>
          <cell r="W113">
            <v>732.9</v>
          </cell>
          <cell r="Y113">
            <v>3.3</v>
          </cell>
          <cell r="Z113">
            <v>1235.8</v>
          </cell>
          <cell r="AA113">
            <v>1237.0999999999999</v>
          </cell>
          <cell r="AB113">
            <v>731.5</v>
          </cell>
          <cell r="AD113">
            <v>3.1</v>
          </cell>
          <cell r="AE113">
            <v>1234</v>
          </cell>
          <cell r="AF113">
            <v>1235.5999999999999</v>
          </cell>
          <cell r="AG113">
            <v>737.3</v>
          </cell>
          <cell r="AI113">
            <v>3.2</v>
          </cell>
          <cell r="AK113">
            <v>1515.2890600000001</v>
          </cell>
          <cell r="AM113">
            <v>1440.8502300000002</v>
          </cell>
          <cell r="AO113">
            <v>1367.43111</v>
          </cell>
          <cell r="AP113" t="str">
            <v>Muestra tomada en la volqueta</v>
          </cell>
          <cell r="AQ113" t="str">
            <v>-</v>
          </cell>
          <cell r="AR113">
            <v>1505</v>
          </cell>
          <cell r="AS113">
            <v>3.2</v>
          </cell>
          <cell r="AV113">
            <v>2.4502886222781286</v>
          </cell>
          <cell r="BS113">
            <v>2.5819999999999999</v>
          </cell>
        </row>
        <row r="114">
          <cell r="A114">
            <v>112</v>
          </cell>
          <cell r="B114">
            <v>40248</v>
          </cell>
          <cell r="D114">
            <v>1500.5</v>
          </cell>
          <cell r="E114">
            <v>1426.3</v>
          </cell>
          <cell r="G114" t="str">
            <v>Parcheo elaboración de fallos en vías urbanas y rurales del municipio de Medellín; Estyma S.A.; Consorcio Vial Santa Elena, Magma</v>
          </cell>
          <cell r="H114" t="str">
            <v>1/2</v>
          </cell>
          <cell r="I114">
            <v>0</v>
          </cell>
          <cell r="J114">
            <v>150.1</v>
          </cell>
          <cell r="K114">
            <v>167.1</v>
          </cell>
          <cell r="L114">
            <v>357.9</v>
          </cell>
          <cell r="M114">
            <v>301.3</v>
          </cell>
          <cell r="N114">
            <v>213.6</v>
          </cell>
          <cell r="O114">
            <v>89.8</v>
          </cell>
          <cell r="P114">
            <v>69.2</v>
          </cell>
          <cell r="Q114">
            <v>77.3</v>
          </cell>
          <cell r="S114">
            <v>25</v>
          </cell>
          <cell r="T114" t="str">
            <v>1</v>
          </cell>
          <cell r="U114">
            <v>1235.2</v>
          </cell>
          <cell r="V114">
            <v>1238.5</v>
          </cell>
          <cell r="W114">
            <v>729.5</v>
          </cell>
          <cell r="Y114">
            <v>3.5</v>
          </cell>
          <cell r="Z114">
            <v>1236.4000000000001</v>
          </cell>
          <cell r="AA114">
            <v>1239.0999999999999</v>
          </cell>
          <cell r="AB114">
            <v>730.4</v>
          </cell>
          <cell r="AD114">
            <v>3.3</v>
          </cell>
          <cell r="AE114">
            <v>1236.5</v>
          </cell>
          <cell r="AF114">
            <v>1239.5999999999999</v>
          </cell>
          <cell r="AG114">
            <v>732.4</v>
          </cell>
          <cell r="AI114">
            <v>3.1</v>
          </cell>
          <cell r="AK114">
            <v>1317.46532</v>
          </cell>
          <cell r="AM114">
            <v>1494.8948600000001</v>
          </cell>
          <cell r="AO114">
            <v>1452.0670400000001</v>
          </cell>
          <cell r="AP114" t="str">
            <v>Muestra tomada en el elevador</v>
          </cell>
          <cell r="AQ114" t="str">
            <v>-</v>
          </cell>
          <cell r="AR114">
            <v>1458</v>
          </cell>
          <cell r="AS114">
            <v>3.3</v>
          </cell>
          <cell r="AV114">
            <v>2.4245947621061488</v>
          </cell>
          <cell r="BS114">
            <v>2.569</v>
          </cell>
        </row>
        <row r="115">
          <cell r="A115">
            <v>113</v>
          </cell>
          <cell r="B115">
            <v>40248</v>
          </cell>
          <cell r="D115">
            <v>1500.3</v>
          </cell>
          <cell r="E115">
            <v>1420.3</v>
          </cell>
          <cell r="G115" t="str">
            <v>Parcheo elaboración de fallos en vías urbanas y rurales del municipio de Medellín; Estyma S.A.; Consorcio Vial Santa Elena, Magma</v>
          </cell>
          <cell r="H115" t="str">
            <v>2/2</v>
          </cell>
          <cell r="I115">
            <v>0</v>
          </cell>
          <cell r="J115">
            <v>181.1</v>
          </cell>
          <cell r="K115">
            <v>128.5</v>
          </cell>
          <cell r="L115">
            <v>304.8</v>
          </cell>
          <cell r="M115">
            <v>307.39999999999998</v>
          </cell>
          <cell r="N115">
            <v>245.1</v>
          </cell>
          <cell r="O115">
            <v>80</v>
          </cell>
          <cell r="P115">
            <v>82.2</v>
          </cell>
          <cell r="Q115">
            <v>91.2</v>
          </cell>
          <cell r="S115">
            <v>25</v>
          </cell>
          <cell r="T115" t="str">
            <v>1</v>
          </cell>
          <cell r="U115">
            <v>1235.7</v>
          </cell>
          <cell r="V115">
            <v>1236.7</v>
          </cell>
          <cell r="W115">
            <v>732.9</v>
          </cell>
          <cell r="Y115">
            <v>3.3</v>
          </cell>
          <cell r="Z115">
            <v>1235.8</v>
          </cell>
          <cell r="AA115">
            <v>1237.0999999999999</v>
          </cell>
          <cell r="AB115">
            <v>731.5</v>
          </cell>
          <cell r="AD115">
            <v>3.1</v>
          </cell>
          <cell r="AE115">
            <v>1234</v>
          </cell>
          <cell r="AF115">
            <v>1235.5999999999999</v>
          </cell>
          <cell r="AG115">
            <v>727.3</v>
          </cell>
          <cell r="AI115">
            <v>3.2</v>
          </cell>
          <cell r="AK115">
            <v>1617.2600600000001</v>
          </cell>
          <cell r="AM115">
            <v>1437.7910999999999</v>
          </cell>
          <cell r="AO115">
            <v>1367.43111</v>
          </cell>
          <cell r="AP115" t="str">
            <v>Muestra tomada en la volqueta</v>
          </cell>
          <cell r="AQ115" t="str">
            <v>-</v>
          </cell>
          <cell r="AR115">
            <v>1524</v>
          </cell>
          <cell r="AS115">
            <v>3.2</v>
          </cell>
          <cell r="AV115">
            <v>2.4344197305275812</v>
          </cell>
          <cell r="BS115">
            <v>2.569</v>
          </cell>
        </row>
        <row r="116">
          <cell r="A116">
            <v>114</v>
          </cell>
          <cell r="B116">
            <v>40249</v>
          </cell>
          <cell r="D116">
            <v>1500.5</v>
          </cell>
          <cell r="E116">
            <v>1425.1</v>
          </cell>
          <cell r="G116" t="str">
            <v>Parcheo elaboración de fallos en vías urbanas y rurales del municipio de Medellín; Estyma S.A.; Consorcio Vial Santa Elena, Magma</v>
          </cell>
          <cell r="H116" t="str">
            <v>1/2</v>
          </cell>
          <cell r="I116">
            <v>0</v>
          </cell>
          <cell r="J116">
            <v>135</v>
          </cell>
          <cell r="K116">
            <v>178.7</v>
          </cell>
          <cell r="L116">
            <v>359.5</v>
          </cell>
          <cell r="M116">
            <v>306.2</v>
          </cell>
          <cell r="N116">
            <v>213</v>
          </cell>
          <cell r="O116">
            <v>70.400000000000006</v>
          </cell>
          <cell r="P116">
            <v>71.400000000000006</v>
          </cell>
          <cell r="Q116">
            <v>90.9</v>
          </cell>
          <cell r="S116">
            <v>25</v>
          </cell>
          <cell r="T116" t="str">
            <v>1</v>
          </cell>
          <cell r="U116">
            <v>1238.0999999999999</v>
          </cell>
          <cell r="V116">
            <v>1239</v>
          </cell>
          <cell r="W116">
            <v>733.8</v>
          </cell>
          <cell r="Y116">
            <v>3.1</v>
          </cell>
          <cell r="Z116">
            <v>1233.8</v>
          </cell>
          <cell r="AA116">
            <v>1235.2</v>
          </cell>
          <cell r="AB116">
            <v>730.3</v>
          </cell>
          <cell r="AD116">
            <v>3.3</v>
          </cell>
          <cell r="AE116">
            <v>1234.3</v>
          </cell>
          <cell r="AF116">
            <v>1235.9000000000001</v>
          </cell>
          <cell r="AG116">
            <v>729.8</v>
          </cell>
          <cell r="AI116">
            <v>3.5</v>
          </cell>
          <cell r="AK116">
            <v>1499.99341</v>
          </cell>
          <cell r="AM116">
            <v>1471.4415300000001</v>
          </cell>
          <cell r="AO116">
            <v>1316.44561</v>
          </cell>
          <cell r="AP116" t="str">
            <v>Muestra tomada en el elevador</v>
          </cell>
          <cell r="AQ116" t="str">
            <v>-</v>
          </cell>
          <cell r="AR116">
            <v>1480</v>
          </cell>
          <cell r="AS116">
            <v>3.3</v>
          </cell>
          <cell r="AV116">
            <v>2.437253744490584</v>
          </cell>
          <cell r="BS116">
            <v>2.5739999999999998</v>
          </cell>
        </row>
        <row r="117">
          <cell r="A117">
            <v>115</v>
          </cell>
          <cell r="B117">
            <v>40249</v>
          </cell>
          <cell r="D117">
            <v>1500.5</v>
          </cell>
          <cell r="E117">
            <v>1423.8</v>
          </cell>
          <cell r="G117" t="str">
            <v>Parcheo elaboración de fallos en vías urbanas y rurales del municipio de Medellín; Estyma S.A.; Consorcio Vial Santa Elena, Magma</v>
          </cell>
          <cell r="H117" t="str">
            <v>2/2</v>
          </cell>
          <cell r="I117">
            <v>0</v>
          </cell>
          <cell r="J117">
            <v>141.30000000000001</v>
          </cell>
          <cell r="K117">
            <v>244.8</v>
          </cell>
          <cell r="L117">
            <v>268</v>
          </cell>
          <cell r="M117">
            <v>296.60000000000002</v>
          </cell>
          <cell r="N117">
            <v>237.5</v>
          </cell>
          <cell r="O117">
            <v>82.3</v>
          </cell>
          <cell r="P117">
            <v>65.3</v>
          </cell>
          <cell r="Q117">
            <v>88</v>
          </cell>
          <cell r="S117">
            <v>25</v>
          </cell>
          <cell r="T117" t="str">
            <v>1</v>
          </cell>
          <cell r="U117">
            <v>1236.0999999999999</v>
          </cell>
          <cell r="V117">
            <v>1237.9000000000001</v>
          </cell>
          <cell r="W117">
            <v>733.1</v>
          </cell>
          <cell r="Y117">
            <v>3</v>
          </cell>
          <cell r="Z117">
            <v>1233.8</v>
          </cell>
          <cell r="AA117">
            <v>1235.8</v>
          </cell>
          <cell r="AB117">
            <v>732</v>
          </cell>
          <cell r="AD117">
            <v>3.2</v>
          </cell>
          <cell r="AE117">
            <v>1234</v>
          </cell>
          <cell r="AF117">
            <v>1235.7</v>
          </cell>
          <cell r="AG117">
            <v>731.3</v>
          </cell>
          <cell r="AI117">
            <v>3.5</v>
          </cell>
          <cell r="AK117">
            <v>1490.81602</v>
          </cell>
          <cell r="AM117">
            <v>1434.73197</v>
          </cell>
          <cell r="AO117">
            <v>1502.0328300000001</v>
          </cell>
          <cell r="AP117" t="str">
            <v>Muestra tomada en la volqueta</v>
          </cell>
          <cell r="AQ117" t="str">
            <v>-</v>
          </cell>
          <cell r="AR117">
            <v>1533</v>
          </cell>
          <cell r="AS117">
            <v>3.2</v>
          </cell>
          <cell r="AV117">
            <v>2.4408898857338079</v>
          </cell>
          <cell r="BS117">
            <v>2.5739999999999998</v>
          </cell>
        </row>
        <row r="118">
          <cell r="A118">
            <v>116</v>
          </cell>
          <cell r="B118">
            <v>40252</v>
          </cell>
          <cell r="D118">
            <v>1500.6</v>
          </cell>
          <cell r="E118">
            <v>1424.4</v>
          </cell>
          <cell r="G118" t="str">
            <v>Parcheo elaboración de fallos en vías urbanas y rurales del municipio de Medellín; Consorcio Vial Santa Elena.</v>
          </cell>
          <cell r="H118" t="str">
            <v>1/3</v>
          </cell>
          <cell r="I118">
            <v>0</v>
          </cell>
          <cell r="J118">
            <v>158.69999999999999</v>
          </cell>
          <cell r="K118">
            <v>234</v>
          </cell>
          <cell r="L118">
            <v>264.8</v>
          </cell>
          <cell r="M118">
            <v>304.7</v>
          </cell>
          <cell r="N118">
            <v>236.7</v>
          </cell>
          <cell r="O118">
            <v>70.900000000000006</v>
          </cell>
          <cell r="P118">
            <v>72.3</v>
          </cell>
          <cell r="Q118">
            <v>82.3</v>
          </cell>
          <cell r="S118">
            <v>25</v>
          </cell>
          <cell r="T118" t="str">
            <v>1</v>
          </cell>
          <cell r="U118">
            <v>1235.7</v>
          </cell>
          <cell r="V118">
            <v>1236.8</v>
          </cell>
          <cell r="W118">
            <v>733.3</v>
          </cell>
          <cell r="Y118">
            <v>3.4</v>
          </cell>
          <cell r="Z118">
            <v>1237.4000000000001</v>
          </cell>
          <cell r="AA118">
            <v>1239.9000000000001</v>
          </cell>
          <cell r="AB118">
            <v>731</v>
          </cell>
          <cell r="AD118">
            <v>2.92</v>
          </cell>
          <cell r="AE118">
            <v>1231.5999999999999</v>
          </cell>
          <cell r="AF118">
            <v>1233.0999999999999</v>
          </cell>
          <cell r="AG118">
            <v>725.5</v>
          </cell>
          <cell r="AI118">
            <v>3.5</v>
          </cell>
          <cell r="AK118">
            <v>1599.92499</v>
          </cell>
          <cell r="AM118">
            <v>1217.5337400000001</v>
          </cell>
          <cell r="AO118">
            <v>1361.31285</v>
          </cell>
          <cell r="AP118" t="str">
            <v>Muestra tomada en el elevador</v>
          </cell>
          <cell r="AQ118" t="str">
            <v>-</v>
          </cell>
          <cell r="AR118">
            <v>1437</v>
          </cell>
          <cell r="AS118">
            <v>3.3</v>
          </cell>
          <cell r="AV118">
            <v>2.4302238608705724</v>
          </cell>
          <cell r="BS118">
            <v>2.5680000000000001</v>
          </cell>
        </row>
        <row r="119">
          <cell r="A119">
            <v>117</v>
          </cell>
          <cell r="B119">
            <v>40252</v>
          </cell>
          <cell r="D119">
            <v>1500.5</v>
          </cell>
          <cell r="E119">
            <v>1426.9</v>
          </cell>
          <cell r="G119" t="str">
            <v>Parcheo elaboración de fallos en vías urbanas y rurales del municipio de Medellín; Consorcio Vial Santa Elena.</v>
          </cell>
          <cell r="H119" t="str">
            <v>2/3</v>
          </cell>
          <cell r="I119">
            <v>0</v>
          </cell>
          <cell r="J119">
            <v>176.4</v>
          </cell>
          <cell r="K119">
            <v>239.4</v>
          </cell>
          <cell r="L119">
            <v>265.8</v>
          </cell>
          <cell r="M119">
            <v>288.5</v>
          </cell>
          <cell r="N119">
            <v>224</v>
          </cell>
          <cell r="O119">
            <v>79.7</v>
          </cell>
          <cell r="P119">
            <v>65</v>
          </cell>
          <cell r="Q119">
            <v>88.1</v>
          </cell>
          <cell r="S119">
            <v>25</v>
          </cell>
          <cell r="T119" t="str">
            <v>1</v>
          </cell>
          <cell r="U119">
            <v>1237.2</v>
          </cell>
          <cell r="V119">
            <v>1238.5</v>
          </cell>
          <cell r="W119">
            <v>737.2</v>
          </cell>
          <cell r="Y119">
            <v>3.3</v>
          </cell>
          <cell r="Z119">
            <v>1234.4000000000001</v>
          </cell>
          <cell r="AA119">
            <v>1236.4000000000001</v>
          </cell>
          <cell r="AB119">
            <v>734.8</v>
          </cell>
          <cell r="AD119">
            <v>3.4</v>
          </cell>
          <cell r="AE119">
            <v>1234.3</v>
          </cell>
          <cell r="AF119">
            <v>1236.3</v>
          </cell>
          <cell r="AG119">
            <v>734.6</v>
          </cell>
          <cell r="AI119">
            <v>3.6</v>
          </cell>
          <cell r="AK119">
            <v>1511.2102200000002</v>
          </cell>
          <cell r="AM119">
            <v>1369.4705300000001</v>
          </cell>
          <cell r="AO119">
            <v>1677.4229499999999</v>
          </cell>
          <cell r="AP119" t="str">
            <v>Muestra tomada en la volqueta</v>
          </cell>
          <cell r="AQ119" t="str">
            <v>-</v>
          </cell>
          <cell r="AR119">
            <v>1593</v>
          </cell>
          <cell r="AS119">
            <v>3.4</v>
          </cell>
          <cell r="AV119">
            <v>2.4558434130226865</v>
          </cell>
          <cell r="BS119">
            <v>2.5680000000000001</v>
          </cell>
        </row>
        <row r="120">
          <cell r="A120">
            <v>118</v>
          </cell>
          <cell r="B120">
            <v>40252</v>
          </cell>
          <cell r="D120">
            <v>1500.3</v>
          </cell>
          <cell r="E120">
            <v>1426.3</v>
          </cell>
          <cell r="G120" t="str">
            <v>Parcheo elaboración de fallos en vías urbanas y rurales del municipio de Medellín.</v>
          </cell>
          <cell r="H120" t="str">
            <v>3/3</v>
          </cell>
          <cell r="I120">
            <v>0</v>
          </cell>
          <cell r="J120">
            <v>180.5</v>
          </cell>
          <cell r="K120">
            <v>195.3</v>
          </cell>
          <cell r="L120">
            <v>285.10000000000002</v>
          </cell>
          <cell r="M120">
            <v>306.39999999999998</v>
          </cell>
          <cell r="N120">
            <v>221.7</v>
          </cell>
          <cell r="O120">
            <v>75.400000000000006</v>
          </cell>
          <cell r="P120">
            <v>75.400000000000006</v>
          </cell>
          <cell r="Q120">
            <v>86.5</v>
          </cell>
          <cell r="S120">
            <v>25</v>
          </cell>
          <cell r="T120" t="str">
            <v>1</v>
          </cell>
          <cell r="AK120">
            <v>0</v>
          </cell>
          <cell r="AM120">
            <v>0</v>
          </cell>
          <cell r="AO120">
            <v>0</v>
          </cell>
          <cell r="AP120" t="str">
            <v>Muestra tomada en el obra en cojunto con el Laboratorio de AIM</v>
          </cell>
          <cell r="AQ120" t="str">
            <v>Cra. 43G con calle 25A</v>
          </cell>
          <cell r="AR120">
            <v>0</v>
          </cell>
          <cell r="AS120">
            <v>0</v>
          </cell>
          <cell r="AV120">
            <v>0</v>
          </cell>
          <cell r="BS120">
            <v>2.5680000000000001</v>
          </cell>
        </row>
        <row r="121">
          <cell r="A121">
            <v>119</v>
          </cell>
          <cell r="B121">
            <v>40253</v>
          </cell>
          <cell r="D121">
            <v>1500.3</v>
          </cell>
          <cell r="E121">
            <v>1424.4</v>
          </cell>
          <cell r="G121" t="str">
            <v>Parcheo elaboración de fallos en vías urbanas y rurales del municipio de Medellín; Consorcio Vial Santa Elena.</v>
          </cell>
          <cell r="H121" t="str">
            <v>1/3</v>
          </cell>
          <cell r="I121">
            <v>0</v>
          </cell>
          <cell r="J121">
            <v>159.30000000000001</v>
          </cell>
          <cell r="K121">
            <v>175.7</v>
          </cell>
          <cell r="L121">
            <v>293</v>
          </cell>
          <cell r="M121">
            <v>333.2</v>
          </cell>
          <cell r="N121">
            <v>230</v>
          </cell>
          <cell r="O121">
            <v>73.7</v>
          </cell>
          <cell r="P121">
            <v>74.400000000000006</v>
          </cell>
          <cell r="Q121">
            <v>85.1</v>
          </cell>
          <cell r="S121">
            <v>25</v>
          </cell>
          <cell r="T121" t="str">
            <v>1</v>
          </cell>
          <cell r="U121">
            <v>1244.5999999999999</v>
          </cell>
          <cell r="V121">
            <v>1236.7</v>
          </cell>
          <cell r="W121">
            <v>729.2</v>
          </cell>
          <cell r="Y121">
            <v>3</v>
          </cell>
          <cell r="Z121">
            <v>1234.3</v>
          </cell>
          <cell r="AA121">
            <v>1236.7</v>
          </cell>
          <cell r="AB121">
            <v>728.1</v>
          </cell>
          <cell r="AD121">
            <v>3.2</v>
          </cell>
          <cell r="AE121">
            <v>1235.8</v>
          </cell>
          <cell r="AF121">
            <v>1238.5999999999999</v>
          </cell>
          <cell r="AG121">
            <v>729.5</v>
          </cell>
          <cell r="AI121">
            <v>3.4</v>
          </cell>
          <cell r="AK121">
            <v>1428.6137100000001</v>
          </cell>
          <cell r="AM121">
            <v>1356.2143000000001</v>
          </cell>
          <cell r="AO121">
            <v>1371.5099499999999</v>
          </cell>
          <cell r="AP121" t="str">
            <v>Muestra tomada en el elevador</v>
          </cell>
          <cell r="AQ121" t="str">
            <v>-</v>
          </cell>
          <cell r="AR121">
            <v>1420</v>
          </cell>
          <cell r="AS121">
            <v>3.2</v>
          </cell>
          <cell r="AV121">
            <v>2.4284402324450793</v>
          </cell>
          <cell r="BS121">
            <v>2.58</v>
          </cell>
        </row>
        <row r="122">
          <cell r="A122">
            <v>120</v>
          </cell>
          <cell r="B122">
            <v>40253</v>
          </cell>
          <cell r="D122">
            <v>1502.4</v>
          </cell>
          <cell r="E122">
            <v>1431.6</v>
          </cell>
          <cell r="G122" t="str">
            <v>Parcheo elaboración de fallos en vías urbanas y rurales del municipio de Medellín; Consorcio Vial Santa Elena.</v>
          </cell>
          <cell r="H122" t="str">
            <v>2/3</v>
          </cell>
          <cell r="I122">
            <v>0</v>
          </cell>
          <cell r="J122">
            <v>204.5</v>
          </cell>
          <cell r="K122">
            <v>199.6</v>
          </cell>
          <cell r="L122">
            <v>293.3</v>
          </cell>
          <cell r="M122">
            <v>258.3</v>
          </cell>
          <cell r="N122">
            <v>241.6</v>
          </cell>
          <cell r="O122">
            <v>79.900000000000006</v>
          </cell>
          <cell r="P122">
            <v>65.599999999999994</v>
          </cell>
          <cell r="Q122">
            <v>88.8</v>
          </cell>
          <cell r="S122">
            <v>25</v>
          </cell>
          <cell r="T122" t="str">
            <v>1</v>
          </cell>
          <cell r="U122">
            <v>1239.8</v>
          </cell>
          <cell r="V122">
            <v>1241.7</v>
          </cell>
          <cell r="W122">
            <v>736</v>
          </cell>
          <cell r="Y122">
            <v>3.2</v>
          </cell>
          <cell r="Z122">
            <v>1237</v>
          </cell>
          <cell r="AA122">
            <v>1239.4000000000001</v>
          </cell>
          <cell r="AB122">
            <v>734.8</v>
          </cell>
          <cell r="AD122">
            <v>3.4</v>
          </cell>
          <cell r="AE122">
            <v>1235.7</v>
          </cell>
          <cell r="AF122">
            <v>1236.5999999999999</v>
          </cell>
          <cell r="AG122">
            <v>734.6</v>
          </cell>
          <cell r="AI122">
            <v>3.4</v>
          </cell>
          <cell r="AK122">
            <v>1397.0027</v>
          </cell>
          <cell r="AM122">
            <v>1415.3574800000001</v>
          </cell>
          <cell r="AO122">
            <v>1594.82644</v>
          </cell>
          <cell r="AP122" t="str">
            <v>Muestra tomada en la volqueta</v>
          </cell>
          <cell r="AQ122" t="str">
            <v>-</v>
          </cell>
          <cell r="AR122">
            <v>1528</v>
          </cell>
          <cell r="AS122">
            <v>3.3</v>
          </cell>
          <cell r="AV122">
            <v>2.4477033486045174</v>
          </cell>
          <cell r="BS122">
            <v>2.58</v>
          </cell>
        </row>
        <row r="123">
          <cell r="A123">
            <v>121</v>
          </cell>
          <cell r="B123">
            <v>40253</v>
          </cell>
          <cell r="D123">
            <v>1504.1</v>
          </cell>
          <cell r="E123">
            <v>1427.8</v>
          </cell>
          <cell r="G123" t="str">
            <v>Parcheo elaboración de fallos en vías urbanas y rurales del municipio de Medellín.</v>
          </cell>
          <cell r="H123" t="str">
            <v>3/3</v>
          </cell>
          <cell r="I123">
            <v>0</v>
          </cell>
          <cell r="J123">
            <v>156.80000000000001</v>
          </cell>
          <cell r="K123">
            <v>179.4</v>
          </cell>
          <cell r="L123">
            <v>292.7</v>
          </cell>
          <cell r="M123">
            <v>349.1</v>
          </cell>
          <cell r="N123">
            <v>226</v>
          </cell>
          <cell r="O123">
            <v>69.099999999999994</v>
          </cell>
          <cell r="P123">
            <v>69.7</v>
          </cell>
          <cell r="Q123">
            <v>85</v>
          </cell>
          <cell r="S123">
            <v>25</v>
          </cell>
          <cell r="T123" t="str">
            <v>1</v>
          </cell>
          <cell r="AK123">
            <v>0</v>
          </cell>
          <cell r="AM123">
            <v>0</v>
          </cell>
          <cell r="AO123">
            <v>0</v>
          </cell>
          <cell r="AP123" t="str">
            <v>Muestra tomada en el obra en cojunto con el Laboratorio de AIM</v>
          </cell>
          <cell r="AQ123" t="str">
            <v>Calle 10 Cra. 70A  (voqueta DIG 009)</v>
          </cell>
          <cell r="AR123">
            <v>0</v>
          </cell>
          <cell r="AS123">
            <v>0</v>
          </cell>
          <cell r="AV123">
            <v>0</v>
          </cell>
          <cell r="BS123">
            <v>2.58</v>
          </cell>
        </row>
        <row r="124">
          <cell r="A124">
            <v>122</v>
          </cell>
          <cell r="B124">
            <v>40254</v>
          </cell>
          <cell r="D124">
            <v>1500.3</v>
          </cell>
          <cell r="E124">
            <v>1427</v>
          </cell>
          <cell r="G124" t="str">
            <v>Parcheo elaboración de fallos en vías urbanas y rurales del municipio de Medellín; Consorcio Vial Santa Elena.</v>
          </cell>
          <cell r="H124" t="str">
            <v>1/3</v>
          </cell>
          <cell r="I124">
            <v>0</v>
          </cell>
          <cell r="J124">
            <v>200.3</v>
          </cell>
          <cell r="K124">
            <v>198</v>
          </cell>
          <cell r="L124">
            <v>274.8</v>
          </cell>
          <cell r="M124">
            <v>305.39999999999998</v>
          </cell>
          <cell r="N124">
            <v>222.7</v>
          </cell>
          <cell r="O124">
            <v>71.3</v>
          </cell>
          <cell r="P124">
            <v>67.3</v>
          </cell>
          <cell r="Q124">
            <v>87.2</v>
          </cell>
          <cell r="S124">
            <v>25</v>
          </cell>
          <cell r="T124" t="str">
            <v>1</v>
          </cell>
          <cell r="U124">
            <v>1237.4000000000001</v>
          </cell>
          <cell r="V124">
            <v>1238.2</v>
          </cell>
          <cell r="W124">
            <v>734.6</v>
          </cell>
          <cell r="Y124">
            <v>3.1</v>
          </cell>
          <cell r="Z124">
            <v>1237.5</v>
          </cell>
          <cell r="AA124">
            <v>1236.2</v>
          </cell>
          <cell r="AB124">
            <v>733.3</v>
          </cell>
          <cell r="AD124">
            <v>3.5</v>
          </cell>
          <cell r="AE124">
            <v>1233.3</v>
          </cell>
          <cell r="AF124">
            <v>1235.5999999999999</v>
          </cell>
          <cell r="AG124">
            <v>724.3</v>
          </cell>
          <cell r="AI124">
            <v>3.5</v>
          </cell>
          <cell r="AK124">
            <v>1577.4913700000002</v>
          </cell>
          <cell r="AM124">
            <v>1449.00791</v>
          </cell>
          <cell r="AO124">
            <v>1195.1001200000001</v>
          </cell>
          <cell r="AP124" t="str">
            <v>Muestra tomada en el elevador</v>
          </cell>
          <cell r="AQ124" t="str">
            <v>-</v>
          </cell>
          <cell r="AR124">
            <v>1456</v>
          </cell>
          <cell r="AS124">
            <v>3.4</v>
          </cell>
          <cell r="AV124">
            <v>2.4361611356118242</v>
          </cell>
          <cell r="BS124">
            <v>2.58</v>
          </cell>
        </row>
        <row r="125">
          <cell r="A125">
            <v>123</v>
          </cell>
          <cell r="B125">
            <v>40254</v>
          </cell>
          <cell r="D125">
            <v>1500.4</v>
          </cell>
          <cell r="E125">
            <v>1424.1</v>
          </cell>
          <cell r="G125" t="str">
            <v>Parcheo elaboración de fallos en vías urbanas y rurales del municipio de Medellín; Consorcio Vial Santa Elena.</v>
          </cell>
          <cell r="H125" t="str">
            <v>2/3</v>
          </cell>
          <cell r="I125">
            <v>0</v>
          </cell>
          <cell r="J125">
            <v>137.19999999999999</v>
          </cell>
          <cell r="K125">
            <v>172.7</v>
          </cell>
          <cell r="L125">
            <v>301.7</v>
          </cell>
          <cell r="M125">
            <v>324.89999999999998</v>
          </cell>
          <cell r="N125">
            <v>243.1</v>
          </cell>
          <cell r="O125">
            <v>85</v>
          </cell>
          <cell r="P125">
            <v>67.099999999999994</v>
          </cell>
          <cell r="Q125">
            <v>92.4</v>
          </cell>
          <cell r="S125">
            <v>25</v>
          </cell>
          <cell r="T125" t="str">
            <v>1</v>
          </cell>
          <cell r="U125">
            <v>1236.7</v>
          </cell>
          <cell r="V125">
            <v>1237.8</v>
          </cell>
          <cell r="W125">
            <v>735.5</v>
          </cell>
          <cell r="Y125">
            <v>3.1</v>
          </cell>
          <cell r="Z125">
            <v>1235.0999999999999</v>
          </cell>
          <cell r="AA125">
            <v>1235.8</v>
          </cell>
          <cell r="AB125">
            <v>733.4</v>
          </cell>
          <cell r="AD125">
            <v>2.9</v>
          </cell>
          <cell r="AE125">
            <v>1230.0999999999999</v>
          </cell>
          <cell r="AF125">
            <v>1230.8</v>
          </cell>
          <cell r="AG125">
            <v>728.9</v>
          </cell>
          <cell r="AI125">
            <v>3.1</v>
          </cell>
          <cell r="AK125">
            <v>1740.6449700000001</v>
          </cell>
          <cell r="AM125">
            <v>1498.9737</v>
          </cell>
          <cell r="AO125">
            <v>1401.0815400000001</v>
          </cell>
          <cell r="AP125" t="str">
            <v>Muestra tomada en la volqueta</v>
          </cell>
          <cell r="AQ125" t="str">
            <v>-</v>
          </cell>
          <cell r="AR125">
            <v>1618</v>
          </cell>
          <cell r="AS125">
            <v>3</v>
          </cell>
          <cell r="AV125">
            <v>2.449933179858462</v>
          </cell>
          <cell r="BS125">
            <v>2.58</v>
          </cell>
        </row>
        <row r="126">
          <cell r="A126">
            <v>124</v>
          </cell>
          <cell r="B126">
            <v>40254</v>
          </cell>
          <cell r="D126">
            <v>1501.9</v>
          </cell>
          <cell r="E126">
            <v>1421.9</v>
          </cell>
          <cell r="G126" t="str">
            <v>Parcheo elaboración de fallos en vías urbanas y rurales del municipio de Medellín.</v>
          </cell>
          <cell r="H126" t="str">
            <v>3/3</v>
          </cell>
          <cell r="I126">
            <v>0</v>
          </cell>
          <cell r="J126">
            <v>131.69999999999999</v>
          </cell>
          <cell r="K126">
            <v>187.3</v>
          </cell>
          <cell r="L126">
            <v>280.2</v>
          </cell>
          <cell r="M126">
            <v>328.5</v>
          </cell>
          <cell r="N126">
            <v>242.5</v>
          </cell>
          <cell r="O126">
            <v>88.1</v>
          </cell>
          <cell r="P126">
            <v>78.5</v>
          </cell>
          <cell r="Q126">
            <v>85.1</v>
          </cell>
          <cell r="S126">
            <v>25</v>
          </cell>
          <cell r="T126" t="str">
            <v>1</v>
          </cell>
          <cell r="AK126">
            <v>0</v>
          </cell>
          <cell r="AM126">
            <v>0</v>
          </cell>
          <cell r="AO126">
            <v>0</v>
          </cell>
          <cell r="AP126" t="str">
            <v>Muestra tomada en el obra en cojunto con el Laboratorio de AIM</v>
          </cell>
          <cell r="AQ126" t="str">
            <v>Cra. 43G con calle 25A  (Volqueta TMZ 201)</v>
          </cell>
          <cell r="AR126">
            <v>0</v>
          </cell>
          <cell r="AS126">
            <v>0</v>
          </cell>
          <cell r="AV126">
            <v>0</v>
          </cell>
          <cell r="BS126">
            <v>2.58</v>
          </cell>
        </row>
        <row r="127">
          <cell r="A127">
            <v>125</v>
          </cell>
          <cell r="B127">
            <v>40255</v>
          </cell>
          <cell r="D127">
            <v>1500.6</v>
          </cell>
          <cell r="E127">
            <v>1427</v>
          </cell>
          <cell r="G127" t="str">
            <v>Parcheo elaboración de fallos en vías urbanas y rurales del municipio de Medellín; Consorcio Vial Santa Elena.</v>
          </cell>
          <cell r="H127" t="str">
            <v>1/3</v>
          </cell>
          <cell r="I127">
            <v>0</v>
          </cell>
          <cell r="J127">
            <v>151.5</v>
          </cell>
          <cell r="K127">
            <v>184.9</v>
          </cell>
          <cell r="L127">
            <v>334</v>
          </cell>
          <cell r="M127">
            <v>310.39999999999998</v>
          </cell>
          <cell r="N127">
            <v>207.8</v>
          </cell>
          <cell r="O127">
            <v>85.3</v>
          </cell>
          <cell r="P127">
            <v>68.3</v>
          </cell>
          <cell r="Q127">
            <v>84.8</v>
          </cell>
          <cell r="S127">
            <v>25</v>
          </cell>
          <cell r="T127" t="str">
            <v>1</v>
          </cell>
          <cell r="U127">
            <v>1235.8</v>
          </cell>
          <cell r="V127">
            <v>1237.3</v>
          </cell>
          <cell r="W127">
            <v>731.7</v>
          </cell>
          <cell r="Y127">
            <v>3.1</v>
          </cell>
          <cell r="Z127">
            <v>1234.0999999999999</v>
          </cell>
          <cell r="AA127">
            <v>1235.9000000000001</v>
          </cell>
          <cell r="AB127">
            <v>725.7</v>
          </cell>
          <cell r="AD127">
            <v>3.5</v>
          </cell>
          <cell r="AE127">
            <v>1237.2</v>
          </cell>
          <cell r="AF127">
            <v>1239</v>
          </cell>
          <cell r="AG127">
            <v>730.3</v>
          </cell>
          <cell r="AI127">
            <v>3.3</v>
          </cell>
          <cell r="AK127">
            <v>1382.72676</v>
          </cell>
          <cell r="AM127">
            <v>1316.44561</v>
          </cell>
          <cell r="AO127">
            <v>1341.9383600000001</v>
          </cell>
          <cell r="AP127" t="str">
            <v>Muestra tomada en el elevador</v>
          </cell>
          <cell r="AQ127" t="str">
            <v>-</v>
          </cell>
          <cell r="AR127">
            <v>1382</v>
          </cell>
          <cell r="AS127">
            <v>3.3</v>
          </cell>
          <cell r="AV127">
            <v>2.4246078210558002</v>
          </cell>
          <cell r="BS127">
            <v>2.58</v>
          </cell>
        </row>
        <row r="128">
          <cell r="A128">
            <v>126</v>
          </cell>
          <cell r="B128">
            <v>40255</v>
          </cell>
          <cell r="D128">
            <v>1500.5</v>
          </cell>
          <cell r="E128">
            <v>1425.5</v>
          </cell>
          <cell r="G128" t="str">
            <v>Parcheo elaboración de fallos en vías urbanas y rurales del municipio de Medellín; Consorcio Vial Santa Elena.</v>
          </cell>
          <cell r="H128" t="str">
            <v>2/3</v>
          </cell>
          <cell r="I128">
            <v>0</v>
          </cell>
          <cell r="J128">
            <v>194.5</v>
          </cell>
          <cell r="K128">
            <v>176.7</v>
          </cell>
          <cell r="L128">
            <v>287.8</v>
          </cell>
          <cell r="M128">
            <v>320.3</v>
          </cell>
          <cell r="N128">
            <v>212.5</v>
          </cell>
          <cell r="O128">
            <v>69.599999999999994</v>
          </cell>
          <cell r="P128">
            <v>71.900000000000006</v>
          </cell>
          <cell r="Q128">
            <v>92.2</v>
          </cell>
          <cell r="S128">
            <v>25</v>
          </cell>
          <cell r="T128" t="str">
            <v>1</v>
          </cell>
          <cell r="U128">
            <v>1234.4000000000001</v>
          </cell>
          <cell r="V128">
            <v>1235.5</v>
          </cell>
          <cell r="W128">
            <v>737.1</v>
          </cell>
          <cell r="Y128">
            <v>2.9</v>
          </cell>
          <cell r="Z128">
            <v>1236.8</v>
          </cell>
          <cell r="AA128">
            <v>1238.2</v>
          </cell>
          <cell r="AB128">
            <v>734.8</v>
          </cell>
          <cell r="AD128">
            <v>3.2</v>
          </cell>
          <cell r="AE128">
            <v>1235.5</v>
          </cell>
          <cell r="AF128">
            <v>1237.4000000000001</v>
          </cell>
          <cell r="AG128">
            <v>733.1</v>
          </cell>
          <cell r="AI128">
            <v>3.5</v>
          </cell>
          <cell r="AK128">
            <v>1504.0722500000002</v>
          </cell>
          <cell r="AM128">
            <v>1626.4374499999999</v>
          </cell>
          <cell r="AO128">
            <v>1512.22993</v>
          </cell>
          <cell r="AP128" t="str">
            <v>Muestra tomada en la volqueta</v>
          </cell>
          <cell r="AQ128" t="str">
            <v>-</v>
          </cell>
          <cell r="AR128">
            <v>1620</v>
          </cell>
          <cell r="AS128">
            <v>3.2</v>
          </cell>
          <cell r="AV128">
            <v>2.4539841212440128</v>
          </cell>
          <cell r="BS128">
            <v>2.58</v>
          </cell>
        </row>
        <row r="129">
          <cell r="A129">
            <v>127</v>
          </cell>
          <cell r="B129">
            <v>40255</v>
          </cell>
          <cell r="D129">
            <v>1503.7</v>
          </cell>
          <cell r="E129">
            <v>1433.5</v>
          </cell>
          <cell r="G129" t="str">
            <v>Parcheo elaboración de fallos en vías urbanas y rurales del municipio de Medellín.</v>
          </cell>
          <cell r="H129" t="str">
            <v>3/3</v>
          </cell>
          <cell r="I129">
            <v>0</v>
          </cell>
          <cell r="J129">
            <v>143.30000000000001</v>
          </cell>
          <cell r="K129">
            <v>209.3</v>
          </cell>
          <cell r="L129">
            <v>307.2</v>
          </cell>
          <cell r="M129">
            <v>321.10000000000002</v>
          </cell>
          <cell r="N129">
            <v>223.1</v>
          </cell>
          <cell r="O129">
            <v>67.7</v>
          </cell>
          <cell r="P129">
            <v>68.5</v>
          </cell>
          <cell r="Q129">
            <v>93.3</v>
          </cell>
          <cell r="S129">
            <v>25</v>
          </cell>
          <cell r="T129" t="str">
            <v>1</v>
          </cell>
          <cell r="AK129">
            <v>0</v>
          </cell>
          <cell r="AM129">
            <v>0</v>
          </cell>
          <cell r="AO129">
            <v>0</v>
          </cell>
          <cell r="AP129" t="str">
            <v>Muestra tomada en el obra en cojunto con el Laboratorio de AIM</v>
          </cell>
          <cell r="AQ129" t="str">
            <v>Calle 10 Nº 70B - 69 (Volqueta GUE 294)</v>
          </cell>
          <cell r="AR129">
            <v>0</v>
          </cell>
          <cell r="AS129">
            <v>0</v>
          </cell>
          <cell r="AV129">
            <v>0</v>
          </cell>
          <cell r="BS129">
            <v>2.58</v>
          </cell>
        </row>
        <row r="130">
          <cell r="A130">
            <v>128</v>
          </cell>
          <cell r="B130">
            <v>40256</v>
          </cell>
          <cell r="D130">
            <v>1500.2</v>
          </cell>
          <cell r="E130">
            <v>1429.4</v>
          </cell>
          <cell r="G130" t="str">
            <v>Parcheo elaboración de fallos en vías urbanas y rurales del municipio de Medellín; Consorcio Vial Santa Elena.</v>
          </cell>
          <cell r="H130" t="str">
            <v>1/3</v>
          </cell>
          <cell r="I130">
            <v>0</v>
          </cell>
          <cell r="J130">
            <v>205.3</v>
          </cell>
          <cell r="K130">
            <v>157.69999999999999</v>
          </cell>
          <cell r="L130">
            <v>321.8</v>
          </cell>
          <cell r="M130">
            <v>279.5</v>
          </cell>
          <cell r="N130">
            <v>242.4</v>
          </cell>
          <cell r="O130">
            <v>72.400000000000006</v>
          </cell>
          <cell r="P130">
            <v>71.3</v>
          </cell>
          <cell r="Q130">
            <v>79</v>
          </cell>
          <cell r="S130">
            <v>25</v>
          </cell>
          <cell r="T130" t="str">
            <v>1</v>
          </cell>
          <cell r="U130">
            <v>1236.9000000000001</v>
          </cell>
          <cell r="V130">
            <v>1238.2</v>
          </cell>
          <cell r="W130">
            <v>737.2</v>
          </cell>
          <cell r="Y130">
            <v>3</v>
          </cell>
          <cell r="Z130">
            <v>1234.8</v>
          </cell>
          <cell r="AA130">
            <v>1237.3</v>
          </cell>
          <cell r="AB130">
            <v>734.5</v>
          </cell>
          <cell r="AD130">
            <v>3</v>
          </cell>
          <cell r="AE130">
            <v>1235.2</v>
          </cell>
          <cell r="AF130">
            <v>1237.5999999999999</v>
          </cell>
          <cell r="AG130">
            <v>735.1</v>
          </cell>
          <cell r="AI130">
            <v>3.2</v>
          </cell>
          <cell r="AK130">
            <v>1762.0588800000003</v>
          </cell>
          <cell r="AM130">
            <v>1366.4114000000002</v>
          </cell>
          <cell r="AO130">
            <v>1441.86994</v>
          </cell>
          <cell r="AP130" t="str">
            <v>Muestra tomada en el elevador</v>
          </cell>
          <cell r="AQ130" t="str">
            <v>-</v>
          </cell>
          <cell r="AR130">
            <v>1595</v>
          </cell>
          <cell r="AS130">
            <v>3.1</v>
          </cell>
          <cell r="AV130">
            <v>2.4537414126761501</v>
          </cell>
          <cell r="BS130">
            <v>2.6019999999999999</v>
          </cell>
        </row>
        <row r="131">
          <cell r="A131">
            <v>129</v>
          </cell>
          <cell r="B131">
            <v>40256</v>
          </cell>
          <cell r="D131">
            <v>1500.2</v>
          </cell>
          <cell r="E131">
            <v>1426.9</v>
          </cell>
          <cell r="G131" t="str">
            <v>Parcheo elaboración de fallos en vías urbanas y rurales del municipio de Medellín; Consorcio Vial Santa Elena.</v>
          </cell>
          <cell r="H131" t="str">
            <v>2/3</v>
          </cell>
          <cell r="I131">
            <v>0</v>
          </cell>
          <cell r="J131">
            <v>227</v>
          </cell>
          <cell r="K131">
            <v>152.4</v>
          </cell>
          <cell r="L131">
            <v>303.2</v>
          </cell>
          <cell r="M131">
            <v>293</v>
          </cell>
          <cell r="N131">
            <v>226.1</v>
          </cell>
          <cell r="O131">
            <v>68.8</v>
          </cell>
          <cell r="P131">
            <v>70.7</v>
          </cell>
          <cell r="Q131">
            <v>85.7</v>
          </cell>
          <cell r="S131">
            <v>25</v>
          </cell>
          <cell r="T131" t="str">
            <v>1</v>
          </cell>
          <cell r="U131">
            <v>1235.2</v>
          </cell>
          <cell r="V131">
            <v>1236.9000000000001</v>
          </cell>
          <cell r="W131">
            <v>733.5</v>
          </cell>
          <cell r="Y131">
            <v>3.1</v>
          </cell>
          <cell r="Z131">
            <v>1235.5999999999999</v>
          </cell>
          <cell r="AA131">
            <v>1237.2</v>
          </cell>
          <cell r="AB131">
            <v>734.8</v>
          </cell>
          <cell r="AD131">
            <v>3.1</v>
          </cell>
          <cell r="AE131">
            <v>1234.3</v>
          </cell>
          <cell r="AF131">
            <v>1235.3</v>
          </cell>
          <cell r="AG131">
            <v>736.7</v>
          </cell>
          <cell r="AI131">
            <v>3.5</v>
          </cell>
          <cell r="AK131">
            <v>1605.0235400000001</v>
          </cell>
          <cell r="AM131">
            <v>1580.5505000000001</v>
          </cell>
          <cell r="AO131">
            <v>1588.7081800000001</v>
          </cell>
          <cell r="AP131" t="str">
            <v>Muestra tomada en la volqueta</v>
          </cell>
          <cell r="AQ131" t="str">
            <v>-</v>
          </cell>
          <cell r="AR131">
            <v>1669</v>
          </cell>
          <cell r="AS131">
            <v>3.2</v>
          </cell>
          <cell r="AV131">
            <v>2.4556764523609256</v>
          </cell>
          <cell r="BS131">
            <v>2.6019999999999999</v>
          </cell>
        </row>
        <row r="132">
          <cell r="A132">
            <v>130</v>
          </cell>
          <cell r="B132">
            <v>40256</v>
          </cell>
          <cell r="D132">
            <v>1503.2</v>
          </cell>
          <cell r="E132">
            <v>1430.7</v>
          </cell>
          <cell r="G132" t="str">
            <v>Parcheo elaboración de fallos en vías urbanas y rurales del municipio de Medellín.</v>
          </cell>
          <cell r="H132" t="str">
            <v>3/3</v>
          </cell>
          <cell r="I132">
            <v>0</v>
          </cell>
          <cell r="J132">
            <v>206.5</v>
          </cell>
          <cell r="K132">
            <v>184.5</v>
          </cell>
          <cell r="L132">
            <v>276.60000000000002</v>
          </cell>
          <cell r="M132">
            <v>309.2</v>
          </cell>
          <cell r="N132">
            <v>216.9</v>
          </cell>
          <cell r="O132">
            <v>85.3</v>
          </cell>
          <cell r="P132">
            <v>81.7</v>
          </cell>
          <cell r="Q132">
            <v>70</v>
          </cell>
          <cell r="S132">
            <v>25</v>
          </cell>
          <cell r="T132" t="str">
            <v>1</v>
          </cell>
          <cell r="AK132">
            <v>0</v>
          </cell>
          <cell r="AM132">
            <v>0</v>
          </cell>
          <cell r="AO132">
            <v>0</v>
          </cell>
          <cell r="AP132" t="str">
            <v>Muestra tomada en el obra en cojunto con el Laboratorio de AIM</v>
          </cell>
          <cell r="AQ132" t="str">
            <v>Calle 19 nº 71-90  (voqueta CID 262)</v>
          </cell>
          <cell r="AR132">
            <v>0</v>
          </cell>
          <cell r="AS132">
            <v>0</v>
          </cell>
          <cell r="AV132">
            <v>0</v>
          </cell>
          <cell r="BS132">
            <v>2.6019999999999999</v>
          </cell>
        </row>
        <row r="133">
          <cell r="A133">
            <v>131</v>
          </cell>
          <cell r="B133">
            <v>40260</v>
          </cell>
          <cell r="D133">
            <v>1500.4</v>
          </cell>
          <cell r="E133">
            <v>1422.3</v>
          </cell>
          <cell r="G133" t="str">
            <v>Parcheo elaboración de fallos en vías urbanas y rurales del municipio de Medellín; Consorcio Vial Santa Elena.</v>
          </cell>
          <cell r="H133" t="str">
            <v>1/2</v>
          </cell>
          <cell r="I133">
            <v>0</v>
          </cell>
          <cell r="J133">
            <v>167.8</v>
          </cell>
          <cell r="K133">
            <v>146.1</v>
          </cell>
          <cell r="L133">
            <v>297.8</v>
          </cell>
          <cell r="M133">
            <v>321.8</v>
          </cell>
          <cell r="N133">
            <v>250.5</v>
          </cell>
          <cell r="O133">
            <v>74</v>
          </cell>
          <cell r="P133">
            <v>75.3</v>
          </cell>
          <cell r="Q133">
            <v>89</v>
          </cell>
          <cell r="S133">
            <v>25</v>
          </cell>
          <cell r="T133" t="str">
            <v>1</v>
          </cell>
          <cell r="U133">
            <v>1234.9000000000001</v>
          </cell>
          <cell r="V133">
            <v>1236.7</v>
          </cell>
          <cell r="W133">
            <v>734.4</v>
          </cell>
          <cell r="Y133">
            <v>3.4</v>
          </cell>
          <cell r="Z133">
            <v>1235.9000000000001</v>
          </cell>
          <cell r="AA133">
            <v>1240.5</v>
          </cell>
          <cell r="AB133">
            <v>732.6</v>
          </cell>
          <cell r="AD133">
            <v>3.5</v>
          </cell>
          <cell r="AE133">
            <v>1235</v>
          </cell>
          <cell r="AF133">
            <v>1236.5999999999999</v>
          </cell>
          <cell r="AG133">
            <v>732.2</v>
          </cell>
          <cell r="AI133">
            <v>3.5</v>
          </cell>
          <cell r="AK133">
            <v>1370.4902400000001</v>
          </cell>
          <cell r="AM133">
            <v>1322.5638700000002</v>
          </cell>
          <cell r="AO133">
            <v>1439.83052</v>
          </cell>
          <cell r="AP133" t="str">
            <v>Muestra tomada en el elevador</v>
          </cell>
          <cell r="AQ133" t="str">
            <v>-</v>
          </cell>
          <cell r="AR133">
            <v>1429</v>
          </cell>
          <cell r="AS133">
            <v>3.5</v>
          </cell>
          <cell r="AV133">
            <v>2.4396090672552142</v>
          </cell>
          <cell r="BS133">
            <v>2.569</v>
          </cell>
        </row>
        <row r="134">
          <cell r="A134">
            <v>132</v>
          </cell>
          <cell r="B134">
            <v>40260</v>
          </cell>
          <cell r="D134">
            <v>1500.4</v>
          </cell>
          <cell r="E134">
            <v>1421</v>
          </cell>
          <cell r="G134" t="str">
            <v>Parcheo elaboración de fallos en vías urbanas y rurales del municipio de Medellín; Consorcio Vial Santa Elena.</v>
          </cell>
          <cell r="H134" t="str">
            <v>2/2</v>
          </cell>
          <cell r="I134">
            <v>0</v>
          </cell>
          <cell r="J134">
            <v>191.2</v>
          </cell>
          <cell r="K134">
            <v>153.30000000000001</v>
          </cell>
          <cell r="L134">
            <v>256.7</v>
          </cell>
          <cell r="M134">
            <v>328</v>
          </cell>
          <cell r="N134">
            <v>252.1</v>
          </cell>
          <cell r="O134">
            <v>75.2</v>
          </cell>
          <cell r="P134">
            <v>77</v>
          </cell>
          <cell r="Q134">
            <v>87.5</v>
          </cell>
          <cell r="S134">
            <v>25</v>
          </cell>
          <cell r="T134" t="str">
            <v>1</v>
          </cell>
          <cell r="U134">
            <v>1234.2</v>
          </cell>
          <cell r="V134">
            <v>1234.7</v>
          </cell>
          <cell r="W134">
            <v>733.3</v>
          </cell>
          <cell r="Y134">
            <v>3.2</v>
          </cell>
          <cell r="Z134">
            <v>1234.5</v>
          </cell>
          <cell r="AA134">
            <v>1236</v>
          </cell>
          <cell r="AB134">
            <v>731.2</v>
          </cell>
          <cell r="AD134">
            <v>3.22</v>
          </cell>
          <cell r="AE134">
            <v>1235.4000000000001</v>
          </cell>
          <cell r="AF134">
            <v>1236.5</v>
          </cell>
          <cell r="AG134">
            <v>732</v>
          </cell>
          <cell r="AI134">
            <v>3.4</v>
          </cell>
          <cell r="AK134">
            <v>1424.5348700000002</v>
          </cell>
          <cell r="AM134">
            <v>1299.1105400000001</v>
          </cell>
          <cell r="AO134">
            <v>1358.2537200000002</v>
          </cell>
          <cell r="AP134" t="str">
            <v>Muestra tomada en la volqueta</v>
          </cell>
          <cell r="AQ134" t="str">
            <v>-</v>
          </cell>
          <cell r="AR134">
            <v>1417</v>
          </cell>
          <cell r="AS134">
            <v>3.3</v>
          </cell>
          <cell r="AV134">
            <v>2.4447587386477054</v>
          </cell>
          <cell r="BS134">
            <v>2.569</v>
          </cell>
        </row>
        <row r="135">
          <cell r="A135">
            <v>133</v>
          </cell>
          <cell r="B135">
            <v>40261</v>
          </cell>
          <cell r="D135">
            <v>1500.9</v>
          </cell>
          <cell r="E135">
            <v>1421.6</v>
          </cell>
          <cell r="G135" t="str">
            <v>Parcheo elaboración de fallos en vías urbanas y rurales del municipio de Medellín; Consorcio Vial Santa Elena.</v>
          </cell>
          <cell r="H135" t="str">
            <v>1/2</v>
          </cell>
          <cell r="I135">
            <v>0</v>
          </cell>
          <cell r="J135">
            <v>179.3</v>
          </cell>
          <cell r="K135">
            <v>168.6</v>
          </cell>
          <cell r="L135">
            <v>253.6</v>
          </cell>
          <cell r="M135">
            <v>322.7</v>
          </cell>
          <cell r="N135">
            <v>259.39999999999998</v>
          </cell>
          <cell r="O135">
            <v>75.7</v>
          </cell>
          <cell r="P135">
            <v>74.400000000000006</v>
          </cell>
          <cell r="Q135">
            <v>87.9</v>
          </cell>
          <cell r="S135">
            <v>25</v>
          </cell>
          <cell r="T135" t="str">
            <v>1</v>
          </cell>
          <cell r="U135">
            <v>1236.3</v>
          </cell>
          <cell r="V135">
            <v>1237.5999999999999</v>
          </cell>
          <cell r="W135">
            <v>738.7</v>
          </cell>
          <cell r="Y135">
            <v>3.4</v>
          </cell>
          <cell r="Z135">
            <v>1233.2</v>
          </cell>
          <cell r="AA135">
            <v>1235.7</v>
          </cell>
          <cell r="AB135">
            <v>733.2</v>
          </cell>
          <cell r="AD135">
            <v>3.1</v>
          </cell>
          <cell r="AE135">
            <v>1231.4000000000001</v>
          </cell>
          <cell r="AF135">
            <v>1234.0999999999999</v>
          </cell>
          <cell r="AG135">
            <v>732.3</v>
          </cell>
          <cell r="AI135">
            <v>3.2</v>
          </cell>
          <cell r="AK135">
            <v>1658.0484600000002</v>
          </cell>
          <cell r="AM135">
            <v>1334.8003900000001</v>
          </cell>
          <cell r="AO135">
            <v>1407.1998000000001</v>
          </cell>
          <cell r="AP135" t="str">
            <v>Muestra tomada en el elevador</v>
          </cell>
          <cell r="AQ135" t="str">
            <v>-</v>
          </cell>
          <cell r="AR135">
            <v>1541</v>
          </cell>
          <cell r="AS135">
            <v>3.2</v>
          </cell>
          <cell r="AV135">
            <v>2.4548474370126612</v>
          </cell>
          <cell r="BS135">
            <v>2.5819999999999999</v>
          </cell>
        </row>
        <row r="136">
          <cell r="A136">
            <v>134</v>
          </cell>
          <cell r="B136">
            <v>40261</v>
          </cell>
          <cell r="D136">
            <v>1500.6</v>
          </cell>
          <cell r="E136">
            <v>1425.4</v>
          </cell>
          <cell r="G136" t="str">
            <v>Parcheo elaboración de fallos en vías urbanas y rurales del municipio de Medellín; Consorcio Vial Santa Elena.</v>
          </cell>
          <cell r="H136" t="str">
            <v>2/2</v>
          </cell>
          <cell r="I136">
            <v>0</v>
          </cell>
          <cell r="J136">
            <v>170.2</v>
          </cell>
          <cell r="K136">
            <v>184.6</v>
          </cell>
          <cell r="L136">
            <v>308.60000000000002</v>
          </cell>
          <cell r="M136">
            <v>295.2</v>
          </cell>
          <cell r="N136">
            <v>229.7</v>
          </cell>
          <cell r="O136">
            <v>72.5</v>
          </cell>
          <cell r="P136">
            <v>73.7</v>
          </cell>
          <cell r="Q136">
            <v>90.9</v>
          </cell>
          <cell r="S136">
            <v>25</v>
          </cell>
          <cell r="T136" t="str">
            <v>1</v>
          </cell>
          <cell r="U136">
            <v>1234.2</v>
          </cell>
          <cell r="V136">
            <v>1235.3</v>
          </cell>
          <cell r="W136">
            <v>735.8</v>
          </cell>
          <cell r="Y136">
            <v>3.6</v>
          </cell>
          <cell r="Z136">
            <v>1234.4000000000001</v>
          </cell>
          <cell r="AA136">
            <v>1236.2</v>
          </cell>
          <cell r="AB136">
            <v>734.1</v>
          </cell>
          <cell r="AD136">
            <v>3.4</v>
          </cell>
          <cell r="AE136">
            <v>1233.5</v>
          </cell>
          <cell r="AF136">
            <v>1236.5</v>
          </cell>
          <cell r="AG136">
            <v>733.8</v>
          </cell>
          <cell r="AI136">
            <v>3.5</v>
          </cell>
          <cell r="AK136">
            <v>1676.4032400000001</v>
          </cell>
          <cell r="AM136">
            <v>1536.7029700000001</v>
          </cell>
          <cell r="AO136">
            <v>1489.7963099999999</v>
          </cell>
          <cell r="AP136" t="str">
            <v>Muestra tomada en la volqueta</v>
          </cell>
          <cell r="AQ136" t="str">
            <v>-</v>
          </cell>
          <cell r="AR136">
            <v>1644</v>
          </cell>
          <cell r="AS136">
            <v>3.5</v>
          </cell>
          <cell r="AV136">
            <v>2.4538331589134299</v>
          </cell>
          <cell r="BS136">
            <v>2.5819999999999999</v>
          </cell>
        </row>
        <row r="137">
          <cell r="A137">
            <v>135</v>
          </cell>
          <cell r="B137">
            <v>40262</v>
          </cell>
          <cell r="D137">
            <v>1500.6</v>
          </cell>
          <cell r="E137">
            <v>1427.1</v>
          </cell>
          <cell r="G137" t="str">
            <v>Parcheo elaboración de fallos en vías urbanas y rurales del municipio de Medellín; Consorcio Vial Santa Elena.</v>
          </cell>
          <cell r="H137" t="str">
            <v>1/3</v>
          </cell>
          <cell r="I137">
            <v>0</v>
          </cell>
          <cell r="J137">
            <v>208.3</v>
          </cell>
          <cell r="K137">
            <v>190.5</v>
          </cell>
          <cell r="L137">
            <v>268.3</v>
          </cell>
          <cell r="M137">
            <v>305.60000000000002</v>
          </cell>
          <cell r="N137">
            <v>227.9</v>
          </cell>
          <cell r="O137">
            <v>72.3</v>
          </cell>
          <cell r="P137">
            <v>72.5</v>
          </cell>
          <cell r="Q137">
            <v>81.7</v>
          </cell>
          <cell r="S137">
            <v>25</v>
          </cell>
          <cell r="T137" t="str">
            <v>1</v>
          </cell>
          <cell r="U137">
            <v>1236.3</v>
          </cell>
          <cell r="V137">
            <v>1240.2</v>
          </cell>
          <cell r="W137">
            <v>739.9</v>
          </cell>
          <cell r="Y137">
            <v>3.3</v>
          </cell>
          <cell r="Z137">
            <v>1237.5</v>
          </cell>
          <cell r="AA137">
            <v>1240.9000000000001</v>
          </cell>
          <cell r="AB137">
            <v>739.7</v>
          </cell>
          <cell r="AD137">
            <v>3.5</v>
          </cell>
          <cell r="AE137">
            <v>1237.3</v>
          </cell>
          <cell r="AF137">
            <v>1239.2</v>
          </cell>
          <cell r="AG137">
            <v>730.8</v>
          </cell>
          <cell r="AI137">
            <v>2.9</v>
          </cell>
          <cell r="AK137">
            <v>1560.1563000000001</v>
          </cell>
          <cell r="AM137">
            <v>1417.3969000000002</v>
          </cell>
          <cell r="AO137">
            <v>1578.51108</v>
          </cell>
          <cell r="AP137" t="str">
            <v>Muestra tomada en el elevador</v>
          </cell>
          <cell r="AQ137" t="str">
            <v>-</v>
          </cell>
          <cell r="AR137">
            <v>1583</v>
          </cell>
          <cell r="AS137">
            <v>3.2</v>
          </cell>
          <cell r="AV137">
            <v>2.4507788300660764</v>
          </cell>
          <cell r="BS137">
            <v>2.5939999999999999</v>
          </cell>
        </row>
        <row r="138">
          <cell r="A138">
            <v>136</v>
          </cell>
          <cell r="B138">
            <v>40262</v>
          </cell>
          <cell r="D138">
            <v>1500.4</v>
          </cell>
          <cell r="E138">
            <v>1420.7</v>
          </cell>
          <cell r="G138" t="str">
            <v>Parcheo elaboración de fallos en vías urbanas y rurales del municipio de Medellín; Consorcio Vial Santa Elena.</v>
          </cell>
          <cell r="H138" t="str">
            <v>2/3</v>
          </cell>
          <cell r="I138">
            <v>0</v>
          </cell>
          <cell r="J138">
            <v>169.9</v>
          </cell>
          <cell r="K138">
            <v>146.80000000000001</v>
          </cell>
          <cell r="L138">
            <v>286.2</v>
          </cell>
          <cell r="M138">
            <v>305.8</v>
          </cell>
          <cell r="N138">
            <v>270.10000000000002</v>
          </cell>
          <cell r="O138">
            <v>74.5</v>
          </cell>
          <cell r="P138">
            <v>77</v>
          </cell>
          <cell r="Q138">
            <v>90.4</v>
          </cell>
          <cell r="S138">
            <v>25</v>
          </cell>
          <cell r="T138" t="str">
            <v>1</v>
          </cell>
          <cell r="U138">
            <v>1234.5999999999999</v>
          </cell>
          <cell r="V138">
            <v>1235.5</v>
          </cell>
          <cell r="W138">
            <v>730.2</v>
          </cell>
          <cell r="Y138">
            <v>2.9</v>
          </cell>
          <cell r="Z138">
            <v>1238.4000000000001</v>
          </cell>
          <cell r="AA138">
            <v>1239.5999999999999</v>
          </cell>
          <cell r="AB138">
            <v>734.5</v>
          </cell>
          <cell r="AD138">
            <v>3.1</v>
          </cell>
          <cell r="AE138">
            <v>1234.9000000000001</v>
          </cell>
          <cell r="AF138">
            <v>1235.8</v>
          </cell>
          <cell r="AG138">
            <v>728.4</v>
          </cell>
          <cell r="AI138">
            <v>2.8</v>
          </cell>
          <cell r="AK138">
            <v>1362.3325600000001</v>
          </cell>
          <cell r="AM138">
            <v>1284.8345999999999</v>
          </cell>
          <cell r="AO138">
            <v>1247.1053300000001</v>
          </cell>
          <cell r="AP138" t="str">
            <v>Muestra tomada en la volqueta</v>
          </cell>
          <cell r="AQ138" t="str">
            <v>-</v>
          </cell>
          <cell r="AR138">
            <v>1342</v>
          </cell>
          <cell r="AS138">
            <v>2.9</v>
          </cell>
          <cell r="AV138">
            <v>2.435811945329394</v>
          </cell>
          <cell r="BS138">
            <v>2.5939999999999999</v>
          </cell>
        </row>
        <row r="139">
          <cell r="A139">
            <v>137</v>
          </cell>
          <cell r="B139">
            <v>40262</v>
          </cell>
          <cell r="D139">
            <v>1500.4</v>
          </cell>
          <cell r="E139">
            <v>1420.8</v>
          </cell>
          <cell r="G139" t="str">
            <v>Parcheo elaboración de fallos en vías urbanas y rurales del municipio de Medellín; Consorcio Vial Santa Elena.</v>
          </cell>
          <cell r="H139" t="str">
            <v>3/3</v>
          </cell>
          <cell r="I139">
            <v>0</v>
          </cell>
          <cell r="J139">
            <v>186.4</v>
          </cell>
          <cell r="K139">
            <v>168.9</v>
          </cell>
          <cell r="L139">
            <v>249.7</v>
          </cell>
          <cell r="M139">
            <v>309.8</v>
          </cell>
          <cell r="N139">
            <v>272.10000000000002</v>
          </cell>
          <cell r="O139">
            <v>72.099999999999994</v>
          </cell>
          <cell r="P139">
            <v>71.5</v>
          </cell>
          <cell r="Q139">
            <v>90.3</v>
          </cell>
          <cell r="S139">
            <v>25</v>
          </cell>
          <cell r="T139" t="str">
            <v>1</v>
          </cell>
          <cell r="U139">
            <v>1366.5</v>
          </cell>
          <cell r="V139">
            <v>1367</v>
          </cell>
          <cell r="W139">
            <v>816</v>
          </cell>
          <cell r="Y139">
            <v>3.5</v>
          </cell>
          <cell r="Z139">
            <v>1264.0999999999999</v>
          </cell>
          <cell r="AA139">
            <v>1264.4000000000001</v>
          </cell>
          <cell r="AB139">
            <v>755.9</v>
          </cell>
          <cell r="AD139">
            <v>3.4</v>
          </cell>
          <cell r="AE139">
            <v>1339.9</v>
          </cell>
          <cell r="AF139">
            <v>1340.4</v>
          </cell>
          <cell r="AG139">
            <v>801</v>
          </cell>
          <cell r="AI139">
            <v>3.4</v>
          </cell>
          <cell r="AK139">
            <v>1761.03917</v>
          </cell>
          <cell r="AM139">
            <v>1885.4437899999998</v>
          </cell>
          <cell r="AO139">
            <v>1775.31511</v>
          </cell>
          <cell r="AP139" t="str">
            <v>Tama en obra, Retorno Grajales LD. Costado sur.</v>
          </cell>
          <cell r="AQ139" t="str">
            <v>-</v>
          </cell>
          <cell r="AR139">
            <v>1722</v>
          </cell>
          <cell r="AS139">
            <v>3.4</v>
          </cell>
          <cell r="AV139">
            <v>2.4760801167458784</v>
          </cell>
          <cell r="BS139">
            <v>2.5939999999999999</v>
          </cell>
        </row>
        <row r="140">
          <cell r="A140">
            <v>138</v>
          </cell>
          <cell r="B140">
            <v>40263</v>
          </cell>
          <cell r="D140">
            <v>1500.3</v>
          </cell>
          <cell r="E140">
            <v>1423.7</v>
          </cell>
          <cell r="G140" t="str">
            <v>Parcheo elaboración de fallos en vías urbanas y rurales del municipio de Medellín; Consorcio Vial Santa Elena.</v>
          </cell>
          <cell r="H140" t="str">
            <v>1/2</v>
          </cell>
          <cell r="I140">
            <v>0</v>
          </cell>
          <cell r="J140">
            <v>166.2</v>
          </cell>
          <cell r="K140">
            <v>185.8</v>
          </cell>
          <cell r="L140">
            <v>287.5</v>
          </cell>
          <cell r="M140">
            <v>314.8</v>
          </cell>
          <cell r="N140">
            <v>240.5</v>
          </cell>
          <cell r="O140">
            <v>72.5</v>
          </cell>
          <cell r="P140">
            <v>72.599999999999994</v>
          </cell>
          <cell r="Q140">
            <v>83.8</v>
          </cell>
          <cell r="S140">
            <v>25</v>
          </cell>
          <cell r="T140" t="str">
            <v>1</v>
          </cell>
          <cell r="U140">
            <v>1235.0999999999999</v>
          </cell>
          <cell r="V140">
            <v>1236.9000000000001</v>
          </cell>
          <cell r="W140">
            <v>732.7</v>
          </cell>
          <cell r="Y140">
            <v>3.3</v>
          </cell>
          <cell r="Z140">
            <v>1235.4000000000001</v>
          </cell>
          <cell r="AA140">
            <v>1237.7</v>
          </cell>
          <cell r="AB140">
            <v>733.1</v>
          </cell>
          <cell r="AD140">
            <v>3</v>
          </cell>
          <cell r="AE140">
            <v>1235</v>
          </cell>
          <cell r="AF140">
            <v>1238.7</v>
          </cell>
          <cell r="AG140">
            <v>731.4</v>
          </cell>
          <cell r="AI140">
            <v>3.1</v>
          </cell>
          <cell r="AK140">
            <v>1417.3969000000002</v>
          </cell>
          <cell r="AM140">
            <v>1315.4259000000002</v>
          </cell>
          <cell r="AO140">
            <v>1447.9882</v>
          </cell>
          <cell r="AP140" t="str">
            <v>Muestra tomada en el elevador</v>
          </cell>
          <cell r="AQ140" t="str">
            <v>-</v>
          </cell>
          <cell r="AR140">
            <v>1443</v>
          </cell>
          <cell r="AS140">
            <v>3.1</v>
          </cell>
          <cell r="AV140">
            <v>2.4369696050487453</v>
          </cell>
          <cell r="BS140">
            <v>2.5920000000000001</v>
          </cell>
        </row>
        <row r="141">
          <cell r="A141">
            <v>139</v>
          </cell>
          <cell r="B141">
            <v>40263</v>
          </cell>
          <cell r="D141">
            <v>1500.2</v>
          </cell>
          <cell r="E141">
            <v>1421.3</v>
          </cell>
          <cell r="G141" t="str">
            <v>Parcheo elaboración de fallos en vías urbanas y rurales del municipio de Medellín; Consorcio Vial Santa Elena.</v>
          </cell>
          <cell r="H141" t="str">
            <v>2/2</v>
          </cell>
          <cell r="I141">
            <v>0</v>
          </cell>
          <cell r="J141">
            <v>163.6</v>
          </cell>
          <cell r="K141">
            <v>151.1</v>
          </cell>
          <cell r="L141">
            <v>306.39999999999998</v>
          </cell>
          <cell r="M141">
            <v>310.39999999999998</v>
          </cell>
          <cell r="N141">
            <v>234.5</v>
          </cell>
          <cell r="O141">
            <v>93.5</v>
          </cell>
          <cell r="P141">
            <v>75.900000000000006</v>
          </cell>
          <cell r="Q141">
            <v>85.9</v>
          </cell>
          <cell r="S141">
            <v>25</v>
          </cell>
          <cell r="T141" t="str">
            <v>1</v>
          </cell>
          <cell r="U141">
            <v>1235.8</v>
          </cell>
          <cell r="V141">
            <v>1236.0999999999999</v>
          </cell>
          <cell r="W141">
            <v>738.6</v>
          </cell>
          <cell r="Y141">
            <v>3.5</v>
          </cell>
          <cell r="Z141">
            <v>1237.0999999999999</v>
          </cell>
          <cell r="AA141">
            <v>1237.7</v>
          </cell>
          <cell r="AB141">
            <v>740</v>
          </cell>
          <cell r="AD141">
            <v>3.3</v>
          </cell>
          <cell r="AE141">
            <v>1235.7</v>
          </cell>
          <cell r="AF141">
            <v>1237.9000000000001</v>
          </cell>
          <cell r="AG141">
            <v>740.8</v>
          </cell>
          <cell r="AI141">
            <v>3.5</v>
          </cell>
          <cell r="AK141">
            <v>1269.5389499999999</v>
          </cell>
          <cell r="AM141">
            <v>1247.1053300000001</v>
          </cell>
          <cell r="AO141">
            <v>1394.9632799999999</v>
          </cell>
          <cell r="AP141" t="str">
            <v>Muestra tomada en la volqueta</v>
          </cell>
          <cell r="AQ141" t="str">
            <v>-</v>
          </cell>
          <cell r="AR141">
            <v>1386</v>
          </cell>
          <cell r="AS141">
            <v>3.4</v>
          </cell>
          <cell r="AV141">
            <v>2.4778881681762432</v>
          </cell>
          <cell r="BS141">
            <v>2.5920000000000001</v>
          </cell>
        </row>
        <row r="142">
          <cell r="A142">
            <v>140</v>
          </cell>
          <cell r="B142">
            <v>40264</v>
          </cell>
          <cell r="D142">
            <v>1500.4</v>
          </cell>
          <cell r="E142">
            <v>1425.8</v>
          </cell>
          <cell r="G142" t="str">
            <v>Consorcio Vial Santa Elena.</v>
          </cell>
          <cell r="H142" t="str">
            <v>1/1</v>
          </cell>
          <cell r="I142">
            <v>0</v>
          </cell>
          <cell r="J142">
            <v>199.8</v>
          </cell>
          <cell r="K142">
            <v>190.4</v>
          </cell>
          <cell r="L142">
            <v>257.5</v>
          </cell>
          <cell r="M142">
            <v>319.89999999999998</v>
          </cell>
          <cell r="N142">
            <v>230.7</v>
          </cell>
          <cell r="O142">
            <v>69.599999999999994</v>
          </cell>
          <cell r="P142">
            <v>72.599999999999994</v>
          </cell>
          <cell r="Q142">
            <v>85.3</v>
          </cell>
          <cell r="S142">
            <v>25</v>
          </cell>
          <cell r="T142" t="str">
            <v>1</v>
          </cell>
          <cell r="U142">
            <v>1237.0999999999999</v>
          </cell>
          <cell r="V142">
            <v>1239.4000000000001</v>
          </cell>
          <cell r="W142">
            <v>732.3</v>
          </cell>
          <cell r="Y142">
            <v>3.5</v>
          </cell>
          <cell r="Z142">
            <v>1238.5</v>
          </cell>
          <cell r="AA142">
            <v>1241.7</v>
          </cell>
          <cell r="AB142">
            <v>731.4</v>
          </cell>
          <cell r="AD142">
            <v>3.33</v>
          </cell>
          <cell r="AE142">
            <v>1234.9000000000001</v>
          </cell>
          <cell r="AF142">
            <v>1238.3</v>
          </cell>
          <cell r="AG142">
            <v>731.5</v>
          </cell>
          <cell r="AI142">
            <v>2.9</v>
          </cell>
          <cell r="AK142">
            <v>1440.8502300000002</v>
          </cell>
          <cell r="AM142">
            <v>1328.6821299999999</v>
          </cell>
          <cell r="AO142">
            <v>1248.1250400000001</v>
          </cell>
          <cell r="AP142" t="str">
            <v>Muestra tomada en el elevador</v>
          </cell>
          <cell r="AQ142" t="str">
            <v>-</v>
          </cell>
          <cell r="AR142">
            <v>1375</v>
          </cell>
          <cell r="AS142">
            <v>3.2</v>
          </cell>
          <cell r="AV142">
            <v>2.4272871574254751</v>
          </cell>
          <cell r="BS142">
            <v>2.577</v>
          </cell>
        </row>
        <row r="143">
          <cell r="A143">
            <v>141</v>
          </cell>
          <cell r="B143">
            <v>40266</v>
          </cell>
          <cell r="D143">
            <v>1502.3</v>
          </cell>
          <cell r="E143">
            <v>1429.6</v>
          </cell>
          <cell r="G143" t="str">
            <v>Consorcio Vial Santa Elena.</v>
          </cell>
          <cell r="H143" t="str">
            <v>1/1</v>
          </cell>
          <cell r="I143">
            <v>0</v>
          </cell>
          <cell r="J143">
            <v>191.3</v>
          </cell>
          <cell r="K143">
            <v>181.2</v>
          </cell>
          <cell r="L143">
            <v>308.7</v>
          </cell>
          <cell r="M143">
            <v>303.39999999999998</v>
          </cell>
          <cell r="N143">
            <v>228.5</v>
          </cell>
          <cell r="O143">
            <v>71.400000000000006</v>
          </cell>
          <cell r="P143">
            <v>67.400000000000006</v>
          </cell>
          <cell r="Q143">
            <v>77.7</v>
          </cell>
          <cell r="S143">
            <v>25</v>
          </cell>
          <cell r="T143" t="str">
            <v>1</v>
          </cell>
          <cell r="U143">
            <v>1236.4000000000001</v>
          </cell>
          <cell r="V143">
            <v>1233.7</v>
          </cell>
          <cell r="W143">
            <v>728.9</v>
          </cell>
          <cell r="Y143">
            <v>3.4</v>
          </cell>
          <cell r="Z143">
            <v>1236.5999999999999</v>
          </cell>
          <cell r="AA143">
            <v>1239.2</v>
          </cell>
          <cell r="AB143">
            <v>732.4</v>
          </cell>
          <cell r="AD143">
            <v>3</v>
          </cell>
          <cell r="AE143">
            <v>1237.4000000000001</v>
          </cell>
          <cell r="AF143">
            <v>1240.3</v>
          </cell>
          <cell r="AG143">
            <v>733.6</v>
          </cell>
          <cell r="AI143">
            <v>3.3</v>
          </cell>
          <cell r="AK143">
            <v>1550.97891</v>
          </cell>
          <cell r="AM143">
            <v>1371.5099499999999</v>
          </cell>
          <cell r="AO143">
            <v>1545.8803600000001</v>
          </cell>
          <cell r="AP143" t="str">
            <v>Muestra tomada en el elevador</v>
          </cell>
          <cell r="AQ143" t="str">
            <v>-</v>
          </cell>
          <cell r="AR143">
            <v>1539</v>
          </cell>
          <cell r="AS143">
            <v>3.2</v>
          </cell>
          <cell r="AV143">
            <v>2.4366448425908565</v>
          </cell>
          <cell r="BS143">
            <v>2.5882000000000001</v>
          </cell>
        </row>
        <row r="144">
          <cell r="A144">
            <v>142</v>
          </cell>
          <cell r="B144">
            <v>40267</v>
          </cell>
          <cell r="D144">
            <v>1500.5</v>
          </cell>
          <cell r="E144">
            <v>1426.6</v>
          </cell>
          <cell r="G144" t="str">
            <v>Consorcio Vial Santa Elena.</v>
          </cell>
          <cell r="H144" t="str">
            <v>1/2</v>
          </cell>
          <cell r="I144">
            <v>0</v>
          </cell>
          <cell r="J144">
            <v>183.8</v>
          </cell>
          <cell r="K144">
            <v>141.19999999999999</v>
          </cell>
          <cell r="L144">
            <v>347.2</v>
          </cell>
          <cell r="M144">
            <v>309.89999999999998</v>
          </cell>
          <cell r="N144">
            <v>219.6</v>
          </cell>
          <cell r="O144">
            <v>71</v>
          </cell>
          <cell r="P144">
            <v>62.6</v>
          </cell>
          <cell r="Q144">
            <v>91.3</v>
          </cell>
          <cell r="S144">
            <v>25</v>
          </cell>
          <cell r="T144" t="str">
            <v>1</v>
          </cell>
          <cell r="U144">
            <v>1236.4000000000001</v>
          </cell>
          <cell r="V144">
            <v>1241.4000000000001</v>
          </cell>
          <cell r="W144">
            <v>732.3</v>
          </cell>
          <cell r="Y144">
            <v>2.8</v>
          </cell>
          <cell r="Z144">
            <v>1233.5</v>
          </cell>
          <cell r="AA144">
            <v>1241.5999999999999</v>
          </cell>
          <cell r="AB144">
            <v>734.5</v>
          </cell>
          <cell r="AD144">
            <v>3.1</v>
          </cell>
          <cell r="AE144">
            <v>1231.4000000000001</v>
          </cell>
          <cell r="AF144">
            <v>1239.8</v>
          </cell>
          <cell r="AG144">
            <v>735</v>
          </cell>
          <cell r="AI144">
            <v>3.4</v>
          </cell>
          <cell r="AK144">
            <v>1053.36043</v>
          </cell>
          <cell r="AM144">
            <v>1091.0897</v>
          </cell>
          <cell r="AO144">
            <v>1282.7951800000001</v>
          </cell>
          <cell r="AP144" t="str">
            <v>Muestra tomada en el elevador</v>
          </cell>
          <cell r="AQ144" t="str">
            <v>-</v>
          </cell>
          <cell r="AR144">
            <v>1177</v>
          </cell>
          <cell r="AS144">
            <v>3.1</v>
          </cell>
          <cell r="AV144">
            <v>2.4263622384364529</v>
          </cell>
          <cell r="BS144">
            <v>2.5830000000000002</v>
          </cell>
        </row>
        <row r="145">
          <cell r="A145">
            <v>143</v>
          </cell>
          <cell r="B145">
            <v>40267</v>
          </cell>
          <cell r="D145">
            <v>1500.8</v>
          </cell>
          <cell r="E145">
            <v>1430.3</v>
          </cell>
          <cell r="G145" t="str">
            <v>Consorcio Vial Santa Elena.</v>
          </cell>
          <cell r="H145" t="str">
            <v>2/2</v>
          </cell>
          <cell r="I145">
            <v>0</v>
          </cell>
          <cell r="J145">
            <v>201.2</v>
          </cell>
          <cell r="K145">
            <v>163.19999999999999</v>
          </cell>
          <cell r="L145">
            <v>299.89999999999998</v>
          </cell>
          <cell r="M145">
            <v>296.5</v>
          </cell>
          <cell r="N145">
            <v>256.89999999999998</v>
          </cell>
          <cell r="O145">
            <v>62.9</v>
          </cell>
          <cell r="P145">
            <v>66.599999999999994</v>
          </cell>
          <cell r="Q145">
            <v>83.1</v>
          </cell>
          <cell r="S145">
            <v>25</v>
          </cell>
          <cell r="T145" t="str">
            <v>1</v>
          </cell>
          <cell r="U145">
            <v>1235.8</v>
          </cell>
          <cell r="V145">
            <v>1238.5</v>
          </cell>
          <cell r="W145">
            <v>735.9</v>
          </cell>
          <cell r="Y145">
            <v>3</v>
          </cell>
          <cell r="Z145">
            <v>1250.7</v>
          </cell>
          <cell r="AA145">
            <v>1251.0999999999999</v>
          </cell>
          <cell r="AB145">
            <v>743.6</v>
          </cell>
          <cell r="AD145">
            <v>3.6</v>
          </cell>
          <cell r="AE145">
            <v>1217.9000000000001</v>
          </cell>
          <cell r="AF145">
            <v>1218.2</v>
          </cell>
          <cell r="AG145">
            <v>730.4</v>
          </cell>
          <cell r="AI145">
            <v>3.4</v>
          </cell>
          <cell r="AK145">
            <v>1762.0588800000003</v>
          </cell>
          <cell r="AM145">
            <v>1854.8524900000002</v>
          </cell>
          <cell r="AO145">
            <v>1843.6356799999999</v>
          </cell>
          <cell r="AP145" t="str">
            <v>Tama en obra, Perque Arví K7+800 primera capa (volqueta SNN 859)</v>
          </cell>
          <cell r="AQ145" t="str">
            <v>-</v>
          </cell>
          <cell r="AR145">
            <v>1924</v>
          </cell>
          <cell r="AS145">
            <v>3.3</v>
          </cell>
          <cell r="AV145">
            <v>2.4660880752502639</v>
          </cell>
          <cell r="BS145">
            <v>2.5830000000000002</v>
          </cell>
        </row>
        <row r="146">
          <cell r="A146">
            <v>144</v>
          </cell>
          <cell r="B146">
            <v>40268</v>
          </cell>
          <cell r="D146">
            <v>1500.5</v>
          </cell>
          <cell r="E146">
            <v>1429.7</v>
          </cell>
          <cell r="G146" t="str">
            <v>Consorcio Vial Santa Elena.</v>
          </cell>
          <cell r="H146" t="str">
            <v>1/1</v>
          </cell>
          <cell r="I146">
            <v>0</v>
          </cell>
          <cell r="J146">
            <v>205.7</v>
          </cell>
          <cell r="K146">
            <v>148.4</v>
          </cell>
          <cell r="L146">
            <v>322.7</v>
          </cell>
          <cell r="M146">
            <v>279.2</v>
          </cell>
          <cell r="N146">
            <v>254.5</v>
          </cell>
          <cell r="O146">
            <v>68.2</v>
          </cell>
          <cell r="P146">
            <v>70.599999999999994</v>
          </cell>
          <cell r="Q146">
            <v>80.400000000000006</v>
          </cell>
          <cell r="S146">
            <v>25</v>
          </cell>
          <cell r="T146" t="str">
            <v>1</v>
          </cell>
          <cell r="U146">
            <v>1236.0999999999999</v>
          </cell>
          <cell r="V146">
            <v>1237.5999999999999</v>
          </cell>
          <cell r="W146">
            <v>732.8</v>
          </cell>
          <cell r="Y146">
            <v>3.2</v>
          </cell>
          <cell r="Z146">
            <v>1232.3</v>
          </cell>
          <cell r="AA146">
            <v>1234.5999999999999</v>
          </cell>
          <cell r="AB146">
            <v>730.9</v>
          </cell>
          <cell r="AD146">
            <v>3.5</v>
          </cell>
          <cell r="AE146">
            <v>1233.8</v>
          </cell>
          <cell r="AF146">
            <v>1236</v>
          </cell>
          <cell r="AG146">
            <v>732.3</v>
          </cell>
          <cell r="AI146">
            <v>3</v>
          </cell>
          <cell r="AK146">
            <v>1713.1128000000001</v>
          </cell>
          <cell r="AM146">
            <v>1473.4809499999999</v>
          </cell>
          <cell r="AO146">
            <v>1359.27343</v>
          </cell>
          <cell r="AP146" t="str">
            <v>Muestra tomada en el elevador</v>
          </cell>
          <cell r="AQ146" t="str">
            <v>-</v>
          </cell>
          <cell r="AR146">
            <v>1575</v>
          </cell>
          <cell r="AS146">
            <v>3.2</v>
          </cell>
          <cell r="AV146">
            <v>2.4410597457889143</v>
          </cell>
          <cell r="BS146">
            <v>2.593</v>
          </cell>
        </row>
        <row r="147">
          <cell r="A147">
            <v>145</v>
          </cell>
          <cell r="B147">
            <v>40273</v>
          </cell>
          <cell r="D147">
            <v>1500.5</v>
          </cell>
          <cell r="E147">
            <v>1423.2</v>
          </cell>
          <cell r="G147" t="str">
            <v>Parcheo elaboración de fallos en vías urbanas y rurales del municipio de Medellín.</v>
          </cell>
          <cell r="H147" t="str">
            <v>1/3</v>
          </cell>
          <cell r="I147">
            <v>0</v>
          </cell>
          <cell r="J147">
            <v>168.5</v>
          </cell>
          <cell r="K147">
            <v>166.4</v>
          </cell>
          <cell r="L147">
            <v>281.7</v>
          </cell>
          <cell r="M147">
            <v>327.7</v>
          </cell>
          <cell r="N147">
            <v>246.4</v>
          </cell>
          <cell r="O147">
            <v>70.400000000000006</v>
          </cell>
          <cell r="P147">
            <v>70.7</v>
          </cell>
          <cell r="Q147">
            <v>91.4</v>
          </cell>
          <cell r="S147">
            <v>25</v>
          </cell>
          <cell r="T147" t="str">
            <v>1</v>
          </cell>
          <cell r="U147">
            <v>1236.5999999999999</v>
          </cell>
          <cell r="V147">
            <v>1239.9000000000001</v>
          </cell>
          <cell r="W147">
            <v>732.9</v>
          </cell>
          <cell r="Y147">
            <v>2.8</v>
          </cell>
          <cell r="Z147">
            <v>1236.2</v>
          </cell>
          <cell r="AA147">
            <v>1239.5</v>
          </cell>
          <cell r="AB147">
            <v>729.5</v>
          </cell>
          <cell r="AD147">
            <v>2.9</v>
          </cell>
          <cell r="AE147">
            <v>1238.5</v>
          </cell>
          <cell r="AF147">
            <v>1243.2</v>
          </cell>
          <cell r="AG147">
            <v>733.6</v>
          </cell>
          <cell r="AI147">
            <v>3.4</v>
          </cell>
          <cell r="AK147">
            <v>1323.58358</v>
          </cell>
          <cell r="AM147">
            <v>1268.5192400000001</v>
          </cell>
          <cell r="AO147">
            <v>1359.27343</v>
          </cell>
          <cell r="AP147" t="str">
            <v>Muestra tomada en el elevador</v>
          </cell>
          <cell r="AQ147" t="str">
            <v>-</v>
          </cell>
          <cell r="AR147">
            <v>1348</v>
          </cell>
          <cell r="AS147">
            <v>3</v>
          </cell>
          <cell r="AV147">
            <v>2.4239931346953969</v>
          </cell>
          <cell r="BS147">
            <v>2.5840000000000001</v>
          </cell>
        </row>
        <row r="148">
          <cell r="A148">
            <v>146</v>
          </cell>
          <cell r="B148">
            <v>40273</v>
          </cell>
          <cell r="D148">
            <v>1500.4</v>
          </cell>
          <cell r="E148">
            <v>1422.7</v>
          </cell>
          <cell r="G148" t="str">
            <v>Parcheo elaboración de fallos en vías urbanas y rurales del municipio de Medellín.</v>
          </cell>
          <cell r="H148" t="str">
            <v>2/3</v>
          </cell>
          <cell r="I148">
            <v>0</v>
          </cell>
          <cell r="J148">
            <v>171.6</v>
          </cell>
          <cell r="K148">
            <v>161.69999999999999</v>
          </cell>
          <cell r="L148">
            <v>273.89999999999998</v>
          </cell>
          <cell r="M148">
            <v>322.89999999999998</v>
          </cell>
          <cell r="N148">
            <v>257.7</v>
          </cell>
          <cell r="O148">
            <v>73.7</v>
          </cell>
          <cell r="P148">
            <v>71.7</v>
          </cell>
          <cell r="Q148">
            <v>89.5</v>
          </cell>
          <cell r="S148">
            <v>25</v>
          </cell>
          <cell r="T148" t="str">
            <v>1</v>
          </cell>
          <cell r="U148">
            <v>1238.2</v>
          </cell>
          <cell r="V148">
            <v>1240.7</v>
          </cell>
          <cell r="W148">
            <v>732.2</v>
          </cell>
          <cell r="Y148">
            <v>3.2</v>
          </cell>
          <cell r="Z148">
            <v>1237.0999999999999</v>
          </cell>
          <cell r="AA148">
            <v>1238.7</v>
          </cell>
          <cell r="AB148">
            <v>730.9</v>
          </cell>
          <cell r="AD148">
            <v>3.2</v>
          </cell>
          <cell r="AE148">
            <v>1229.5</v>
          </cell>
          <cell r="AF148">
            <v>1232.5</v>
          </cell>
          <cell r="AG148">
            <v>727.8</v>
          </cell>
          <cell r="AI148">
            <v>3.2</v>
          </cell>
          <cell r="AK148">
            <v>1299.1105400000001</v>
          </cell>
          <cell r="AM148">
            <v>1419.43632</v>
          </cell>
          <cell r="AO148">
            <v>1507.13138</v>
          </cell>
          <cell r="AP148" t="str">
            <v>Muestra tomada en la volqueta</v>
          </cell>
          <cell r="AQ148" t="str">
            <v>-</v>
          </cell>
          <cell r="AR148">
            <v>1451</v>
          </cell>
          <cell r="AS148">
            <v>3.2</v>
          </cell>
          <cell r="AV148">
            <v>2.4286423558588286</v>
          </cell>
          <cell r="BS148">
            <v>2.5840000000000001</v>
          </cell>
        </row>
        <row r="149">
          <cell r="A149">
            <v>147</v>
          </cell>
          <cell r="B149">
            <v>40273</v>
          </cell>
          <cell r="D149">
            <v>1500.6</v>
          </cell>
          <cell r="E149">
            <v>1426.4</v>
          </cell>
          <cell r="G149" t="str">
            <v>Parcheo elaboración de fallos en vías urbanas y rurales del municipio de Medellín.</v>
          </cell>
          <cell r="H149" t="str">
            <v>3/3</v>
          </cell>
          <cell r="I149">
            <v>0</v>
          </cell>
          <cell r="J149">
            <v>203.1</v>
          </cell>
          <cell r="K149">
            <v>165.3</v>
          </cell>
          <cell r="L149">
            <v>276.89999999999998</v>
          </cell>
          <cell r="M149">
            <v>325.5</v>
          </cell>
          <cell r="N149">
            <v>257.8</v>
          </cell>
          <cell r="O149">
            <v>73.3</v>
          </cell>
          <cell r="P149">
            <v>54.6</v>
          </cell>
          <cell r="Q149">
            <v>69.900000000000006</v>
          </cell>
          <cell r="S149">
            <v>25</v>
          </cell>
          <cell r="T149" t="str">
            <v>1</v>
          </cell>
          <cell r="AP149" t="str">
            <v>Muestra tomada en el obra en cojunto con el Laboratorio de AIM</v>
          </cell>
          <cell r="AQ149" t="str">
            <v>Cra. 72 con calle 24</v>
          </cell>
          <cell r="AR149">
            <v>0</v>
          </cell>
          <cell r="AS149">
            <v>0</v>
          </cell>
          <cell r="AV149">
            <v>0</v>
          </cell>
          <cell r="BS149">
            <v>2.5840000000000001</v>
          </cell>
        </row>
        <row r="150">
          <cell r="A150">
            <v>148</v>
          </cell>
          <cell r="B150">
            <v>40274</v>
          </cell>
          <cell r="D150">
            <v>1500.6</v>
          </cell>
          <cell r="E150">
            <v>1428.4</v>
          </cell>
          <cell r="G150" t="str">
            <v>Parcheo elaboración de fallos en vías urbanas y rurales del municipio de Medellín.</v>
          </cell>
          <cell r="H150" t="str">
            <v>1/2</v>
          </cell>
          <cell r="I150">
            <v>0</v>
          </cell>
          <cell r="J150">
            <v>180.6</v>
          </cell>
          <cell r="K150">
            <v>158.6</v>
          </cell>
          <cell r="L150">
            <v>313.3</v>
          </cell>
          <cell r="M150">
            <v>320.10000000000002</v>
          </cell>
          <cell r="N150">
            <v>241.3</v>
          </cell>
          <cell r="O150">
            <v>65.7</v>
          </cell>
          <cell r="P150">
            <v>64.5</v>
          </cell>
          <cell r="Q150">
            <v>84.3</v>
          </cell>
          <cell r="S150">
            <v>25</v>
          </cell>
          <cell r="T150" t="str">
            <v>1</v>
          </cell>
          <cell r="U150">
            <v>1235.9000000000001</v>
          </cell>
          <cell r="V150">
            <v>1239.5</v>
          </cell>
          <cell r="W150">
            <v>732.3</v>
          </cell>
          <cell r="Y150">
            <v>3</v>
          </cell>
          <cell r="Z150">
            <v>1238.9000000000001</v>
          </cell>
          <cell r="AA150">
            <v>1243</v>
          </cell>
          <cell r="AB150">
            <v>734.7</v>
          </cell>
          <cell r="AD150">
            <v>3.2</v>
          </cell>
          <cell r="AE150">
            <v>1235.7</v>
          </cell>
          <cell r="AF150">
            <v>1241.2</v>
          </cell>
          <cell r="AG150">
            <v>735.4</v>
          </cell>
          <cell r="AI150">
            <v>3.1</v>
          </cell>
          <cell r="AK150">
            <v>1306.2485100000001</v>
          </cell>
          <cell r="AM150">
            <v>1207.33664</v>
          </cell>
          <cell r="AO150">
            <v>1247.1053300000001</v>
          </cell>
          <cell r="AP150" t="str">
            <v>Muestra tomada en el elevador</v>
          </cell>
          <cell r="AQ150" t="str">
            <v>-</v>
          </cell>
          <cell r="AR150">
            <v>1291</v>
          </cell>
          <cell r="AS150">
            <v>3.1</v>
          </cell>
          <cell r="AV150">
            <v>2.4319031518387977</v>
          </cell>
          <cell r="BS150">
            <v>2.5859999999999999</v>
          </cell>
        </row>
        <row r="151">
          <cell r="A151">
            <v>149</v>
          </cell>
          <cell r="B151">
            <v>40274</v>
          </cell>
          <cell r="D151">
            <v>1500.4</v>
          </cell>
          <cell r="E151">
            <v>1426.6</v>
          </cell>
          <cell r="G151" t="str">
            <v>Parcheo elaboración de fallos en vías urbanas y rurales del municipio de Medellín.</v>
          </cell>
          <cell r="H151" t="str">
            <v>2/2</v>
          </cell>
          <cell r="I151">
            <v>0</v>
          </cell>
          <cell r="J151">
            <v>159.4</v>
          </cell>
          <cell r="K151">
            <v>159.6</v>
          </cell>
          <cell r="L151">
            <v>328</v>
          </cell>
          <cell r="M151">
            <v>322</v>
          </cell>
          <cell r="N151">
            <v>233.3</v>
          </cell>
          <cell r="O151">
            <v>70.599999999999994</v>
          </cell>
          <cell r="P151">
            <v>69.099999999999994</v>
          </cell>
          <cell r="Q151">
            <v>84.6</v>
          </cell>
          <cell r="S151">
            <v>25</v>
          </cell>
          <cell r="T151" t="str">
            <v>1</v>
          </cell>
          <cell r="U151">
            <v>1236.8</v>
          </cell>
          <cell r="V151">
            <v>1241.5</v>
          </cell>
          <cell r="W151">
            <v>735.2</v>
          </cell>
          <cell r="Y151">
            <v>3.6</v>
          </cell>
          <cell r="Z151">
            <v>1235.2</v>
          </cell>
          <cell r="AA151">
            <v>1238.2</v>
          </cell>
          <cell r="AB151">
            <v>733.8</v>
          </cell>
          <cell r="AD151">
            <v>3.1</v>
          </cell>
          <cell r="AE151">
            <v>1235</v>
          </cell>
          <cell r="AF151">
            <v>1238.4000000000001</v>
          </cell>
          <cell r="AG151">
            <v>730.2</v>
          </cell>
          <cell r="AI151">
            <v>3.1</v>
          </cell>
          <cell r="AK151">
            <v>1329.7018399999999</v>
          </cell>
          <cell r="AM151">
            <v>1343.9777799999999</v>
          </cell>
          <cell r="AO151">
            <v>1454.10646</v>
          </cell>
          <cell r="AP151" t="str">
            <v>Muestra tomada en la volqueta</v>
          </cell>
          <cell r="AQ151" t="str">
            <v>-</v>
          </cell>
          <cell r="AR151">
            <v>1420</v>
          </cell>
          <cell r="AS151">
            <v>3.3</v>
          </cell>
          <cell r="AV151">
            <v>2.4334666269095941</v>
          </cell>
          <cell r="BS151">
            <v>2.5859999999999999</v>
          </cell>
        </row>
        <row r="152">
          <cell r="A152">
            <v>150</v>
          </cell>
          <cell r="B152">
            <v>40275</v>
          </cell>
          <cell r="D152">
            <v>1500.3</v>
          </cell>
          <cell r="E152">
            <v>1429.2</v>
          </cell>
          <cell r="G152" t="str">
            <v>Parcheo elaboración de fallos en vías urbanas y rurales del municipio de Medellín.</v>
          </cell>
          <cell r="H152" t="str">
            <v>1/2</v>
          </cell>
          <cell r="I152">
            <v>0</v>
          </cell>
          <cell r="J152">
            <v>216.6</v>
          </cell>
          <cell r="K152">
            <v>185.5</v>
          </cell>
          <cell r="L152">
            <v>260</v>
          </cell>
          <cell r="M152">
            <v>305.89999999999998</v>
          </cell>
          <cell r="N152">
            <v>240.1</v>
          </cell>
          <cell r="O152">
            <v>77.900000000000006</v>
          </cell>
          <cell r="P152">
            <v>60.1</v>
          </cell>
          <cell r="Q152">
            <v>83.1</v>
          </cell>
          <cell r="S152">
            <v>25</v>
          </cell>
          <cell r="T152" t="str">
            <v>1</v>
          </cell>
          <cell r="U152">
            <v>1235.4000000000001</v>
          </cell>
          <cell r="V152">
            <v>1239</v>
          </cell>
          <cell r="W152">
            <v>736.4</v>
          </cell>
          <cell r="Y152">
            <v>3.2</v>
          </cell>
          <cell r="Z152">
            <v>1236.4000000000001</v>
          </cell>
          <cell r="AA152">
            <v>1239.7</v>
          </cell>
          <cell r="AB152">
            <v>737.6</v>
          </cell>
          <cell r="AD152">
            <v>2.8</v>
          </cell>
          <cell r="AE152">
            <v>1235.9000000000001</v>
          </cell>
          <cell r="AF152">
            <v>1240.4000000000001</v>
          </cell>
          <cell r="AG152">
            <v>738.7</v>
          </cell>
          <cell r="AI152">
            <v>3.4</v>
          </cell>
          <cell r="AK152">
            <v>1454.10646</v>
          </cell>
          <cell r="AM152">
            <v>1252.20388</v>
          </cell>
          <cell r="AO152">
            <v>1360.29314</v>
          </cell>
          <cell r="AP152" t="str">
            <v>Muestra tomada en el elevador</v>
          </cell>
          <cell r="AQ152" t="str">
            <v>-</v>
          </cell>
          <cell r="AR152">
            <v>1418</v>
          </cell>
          <cell r="AS152">
            <v>3.1</v>
          </cell>
          <cell r="AV152">
            <v>2.4541008104200621</v>
          </cell>
          <cell r="BS152">
            <v>2.6030000000000002</v>
          </cell>
        </row>
        <row r="153">
          <cell r="A153">
            <v>151</v>
          </cell>
          <cell r="B153">
            <v>40275</v>
          </cell>
          <cell r="D153">
            <v>1500.4</v>
          </cell>
          <cell r="E153">
            <v>1428.6</v>
          </cell>
          <cell r="G153" t="str">
            <v>Parcheo elaboración de fallos en vías urbanas y rurales del municipio de Medellín.</v>
          </cell>
          <cell r="H153" t="str">
            <v>2/2</v>
          </cell>
          <cell r="I153">
            <v>0</v>
          </cell>
          <cell r="J153">
            <v>164.7</v>
          </cell>
          <cell r="K153">
            <v>194.6</v>
          </cell>
          <cell r="L153">
            <v>315.7</v>
          </cell>
          <cell r="M153">
            <v>305.89999999999998</v>
          </cell>
          <cell r="N153">
            <v>219.8</v>
          </cell>
          <cell r="O153">
            <v>79.400000000000006</v>
          </cell>
          <cell r="P153">
            <v>62.2</v>
          </cell>
          <cell r="Q153">
            <v>86.3</v>
          </cell>
          <cell r="S153">
            <v>25</v>
          </cell>
          <cell r="T153" t="str">
            <v>1</v>
          </cell>
          <cell r="U153">
            <v>1236.5</v>
          </cell>
          <cell r="V153">
            <v>1238.7</v>
          </cell>
          <cell r="W153">
            <v>737.2</v>
          </cell>
          <cell r="Y153">
            <v>2.7</v>
          </cell>
          <cell r="Z153">
            <v>1234.5999999999999</v>
          </cell>
          <cell r="AA153">
            <v>1237.4000000000001</v>
          </cell>
          <cell r="AB153">
            <v>733.6</v>
          </cell>
          <cell r="AD153">
            <v>2.9</v>
          </cell>
          <cell r="AE153">
            <v>1233.5999999999999</v>
          </cell>
          <cell r="AF153">
            <v>1235.5999999999999</v>
          </cell>
          <cell r="AG153">
            <v>735.1</v>
          </cell>
          <cell r="AI153">
            <v>3.3</v>
          </cell>
          <cell r="AK153">
            <v>1324.60329</v>
          </cell>
          <cell r="AM153">
            <v>1427.5940000000001</v>
          </cell>
          <cell r="AO153">
            <v>1460.2247200000002</v>
          </cell>
          <cell r="AP153" t="str">
            <v>Muestra tomada en la volqueta</v>
          </cell>
          <cell r="AQ153" t="str">
            <v>-</v>
          </cell>
          <cell r="AR153">
            <v>1470</v>
          </cell>
          <cell r="AS153">
            <v>3</v>
          </cell>
          <cell r="AV153">
            <v>2.4531083022422959</v>
          </cell>
          <cell r="BS153">
            <v>2.6030000000000002</v>
          </cell>
        </row>
        <row r="154">
          <cell r="A154">
            <v>152</v>
          </cell>
          <cell r="B154">
            <v>40276</v>
          </cell>
          <cell r="D154">
            <v>1500.5</v>
          </cell>
          <cell r="E154">
            <v>1427.9</v>
          </cell>
          <cell r="G154" t="str">
            <v>Parcheo elaboración de fallos en vías urbanas y rurales del municipio de Medellín.</v>
          </cell>
          <cell r="H154" t="str">
            <v>1/2</v>
          </cell>
          <cell r="I154">
            <v>0</v>
          </cell>
          <cell r="J154">
            <v>214.6</v>
          </cell>
          <cell r="K154">
            <v>188.9</v>
          </cell>
          <cell r="L154">
            <v>266.89999999999998</v>
          </cell>
          <cell r="M154">
            <v>308.60000000000002</v>
          </cell>
          <cell r="N154">
            <v>229.7</v>
          </cell>
          <cell r="O154">
            <v>79.2</v>
          </cell>
          <cell r="P154">
            <v>60.5</v>
          </cell>
          <cell r="Q154">
            <v>79.5</v>
          </cell>
          <cell r="S154">
            <v>25</v>
          </cell>
          <cell r="T154" t="str">
            <v>1</v>
          </cell>
          <cell r="U154">
            <v>1239.2</v>
          </cell>
          <cell r="V154">
            <v>1241.7</v>
          </cell>
          <cell r="W154">
            <v>734.1</v>
          </cell>
          <cell r="Y154">
            <v>3.1</v>
          </cell>
          <cell r="Z154">
            <v>1237.5</v>
          </cell>
          <cell r="AA154">
            <v>1241.9000000000001</v>
          </cell>
          <cell r="AB154">
            <v>734.2</v>
          </cell>
          <cell r="AD154">
            <v>2.9</v>
          </cell>
          <cell r="AE154">
            <v>1236.5</v>
          </cell>
          <cell r="AF154">
            <v>1239.5999999999999</v>
          </cell>
          <cell r="AG154">
            <v>732.7</v>
          </cell>
          <cell r="AI154">
            <v>2.7</v>
          </cell>
          <cell r="AK154">
            <v>1468.3824000000002</v>
          </cell>
          <cell r="AM154">
            <v>1451.0473300000001</v>
          </cell>
          <cell r="AO154">
            <v>1424.5348700000002</v>
          </cell>
          <cell r="AP154" t="str">
            <v>Muestra tomada en el elevador</v>
          </cell>
          <cell r="AQ154" t="str">
            <v>-</v>
          </cell>
          <cell r="AR154">
            <v>1489</v>
          </cell>
          <cell r="AS154">
            <v>2.9</v>
          </cell>
          <cell r="AV154">
            <v>2.4322290505065802</v>
          </cell>
          <cell r="BS154">
            <v>2.5859999999999999</v>
          </cell>
        </row>
        <row r="155">
          <cell r="A155">
            <v>153</v>
          </cell>
          <cell r="B155">
            <v>40276</v>
          </cell>
          <cell r="D155">
            <v>1500.5</v>
          </cell>
          <cell r="E155">
            <v>1424.6</v>
          </cell>
          <cell r="G155" t="str">
            <v>Parcheo elaboración de fallos en vías urbanas y rurales del municipio de Medellín.</v>
          </cell>
          <cell r="H155" t="str">
            <v>2/2</v>
          </cell>
          <cell r="I155">
            <v>0</v>
          </cell>
          <cell r="J155">
            <v>188</v>
          </cell>
          <cell r="K155">
            <v>138.30000000000001</v>
          </cell>
          <cell r="L155">
            <v>275.2</v>
          </cell>
          <cell r="M155">
            <v>370.7</v>
          </cell>
          <cell r="N155">
            <v>219.3</v>
          </cell>
          <cell r="O155">
            <v>72.5</v>
          </cell>
          <cell r="P155">
            <v>72.900000000000006</v>
          </cell>
          <cell r="Q155">
            <v>87.7</v>
          </cell>
          <cell r="S155">
            <v>25</v>
          </cell>
          <cell r="T155" t="str">
            <v>1</v>
          </cell>
          <cell r="U155">
            <v>1238.4000000000001</v>
          </cell>
          <cell r="V155">
            <v>1239.7</v>
          </cell>
          <cell r="W155">
            <v>735.2</v>
          </cell>
          <cell r="Y155">
            <v>3.1</v>
          </cell>
          <cell r="Z155">
            <v>1236.9000000000001</v>
          </cell>
          <cell r="AA155">
            <v>1238.5</v>
          </cell>
          <cell r="AB155">
            <v>735.4</v>
          </cell>
          <cell r="AD155">
            <v>3.1</v>
          </cell>
          <cell r="AE155">
            <v>1238.4000000000001</v>
          </cell>
          <cell r="AF155">
            <v>1240.2</v>
          </cell>
          <cell r="AG155">
            <v>734.6</v>
          </cell>
          <cell r="AI155">
            <v>2.8</v>
          </cell>
          <cell r="AK155">
            <v>1510.1905100000001</v>
          </cell>
          <cell r="AM155">
            <v>1406.1800900000001</v>
          </cell>
          <cell r="AO155">
            <v>1509.1708000000001</v>
          </cell>
          <cell r="AP155" t="str">
            <v>Muestra tomada en la volqueta</v>
          </cell>
          <cell r="AQ155" t="str">
            <v>-</v>
          </cell>
          <cell r="AR155">
            <v>1532</v>
          </cell>
          <cell r="AS155">
            <v>3</v>
          </cell>
          <cell r="AV155">
            <v>2.4470319897430737</v>
          </cell>
          <cell r="BS155">
            <v>2.5859999999999999</v>
          </cell>
        </row>
        <row r="156">
          <cell r="A156">
            <v>154</v>
          </cell>
          <cell r="B156">
            <v>40277</v>
          </cell>
          <cell r="D156">
            <v>1500.2</v>
          </cell>
          <cell r="E156">
            <v>1423.6</v>
          </cell>
          <cell r="G156" t="str">
            <v>Parcheo elaboración de fallos en vías urbanas y rurales del municipio de Medellín.</v>
          </cell>
          <cell r="H156" t="str">
            <v>1/2</v>
          </cell>
          <cell r="I156">
            <v>0</v>
          </cell>
          <cell r="J156">
            <v>180.5</v>
          </cell>
          <cell r="K156">
            <v>192.7</v>
          </cell>
          <cell r="L156">
            <v>254.1</v>
          </cell>
          <cell r="M156">
            <v>332.7</v>
          </cell>
          <cell r="N156">
            <v>227.7</v>
          </cell>
          <cell r="O156">
            <v>68.900000000000006</v>
          </cell>
          <cell r="P156">
            <v>74.8</v>
          </cell>
          <cell r="Q156">
            <v>92.2</v>
          </cell>
          <cell r="S156">
            <v>25</v>
          </cell>
          <cell r="T156" t="str">
            <v>1</v>
          </cell>
          <cell r="U156">
            <v>1238.8</v>
          </cell>
          <cell r="V156">
            <v>1240.3</v>
          </cell>
          <cell r="W156">
            <v>737.4</v>
          </cell>
          <cell r="Y156">
            <v>3.2</v>
          </cell>
          <cell r="Z156">
            <v>1237.5999999999999</v>
          </cell>
          <cell r="AA156">
            <v>1238.5999999999999</v>
          </cell>
          <cell r="AB156">
            <v>734.8</v>
          </cell>
          <cell r="AD156">
            <v>3.1</v>
          </cell>
          <cell r="AE156">
            <v>1236.5999999999999</v>
          </cell>
          <cell r="AF156">
            <v>1237.5</v>
          </cell>
          <cell r="AG156">
            <v>735.1</v>
          </cell>
          <cell r="AI156">
            <v>2.8</v>
          </cell>
          <cell r="AK156">
            <v>1754.92091</v>
          </cell>
          <cell r="AM156">
            <v>1386.8055999999999</v>
          </cell>
          <cell r="AO156">
            <v>1449.00791</v>
          </cell>
          <cell r="AP156" t="str">
            <v>Muestra tomada en el elevador</v>
          </cell>
          <cell r="AQ156" t="str">
            <v>-</v>
          </cell>
          <cell r="AR156">
            <v>1597</v>
          </cell>
          <cell r="AS156">
            <v>3</v>
          </cell>
          <cell r="AV156">
            <v>2.4532128039921828</v>
          </cell>
          <cell r="BS156">
            <v>2.589</v>
          </cell>
        </row>
        <row r="157">
          <cell r="A157">
            <v>155</v>
          </cell>
          <cell r="B157">
            <v>40277</v>
          </cell>
          <cell r="D157">
            <v>1498.2</v>
          </cell>
          <cell r="E157">
            <v>1419.2</v>
          </cell>
          <cell r="G157" t="str">
            <v>Parcheo elaboración de fallos en vías urbanas y rurales del municipio de Medellín.</v>
          </cell>
          <cell r="H157" t="str">
            <v>2/2</v>
          </cell>
          <cell r="I157">
            <v>0</v>
          </cell>
          <cell r="J157">
            <v>183.1</v>
          </cell>
          <cell r="K157">
            <v>160.9</v>
          </cell>
          <cell r="L157">
            <v>265.5</v>
          </cell>
          <cell r="M157">
            <v>343.5</v>
          </cell>
          <cell r="N157">
            <v>232.3</v>
          </cell>
          <cell r="O157">
            <v>69</v>
          </cell>
          <cell r="P157">
            <v>74.8</v>
          </cell>
          <cell r="Q157">
            <v>90.1</v>
          </cell>
          <cell r="S157">
            <v>25</v>
          </cell>
          <cell r="T157" t="str">
            <v>1</v>
          </cell>
          <cell r="U157">
            <v>1236.5999999999999</v>
          </cell>
          <cell r="V157">
            <v>1239</v>
          </cell>
          <cell r="W157">
            <v>736.1</v>
          </cell>
          <cell r="Y157">
            <v>3.5</v>
          </cell>
          <cell r="Z157">
            <v>1236.9000000000001</v>
          </cell>
          <cell r="AA157">
            <v>1239</v>
          </cell>
          <cell r="AB157">
            <v>738</v>
          </cell>
          <cell r="AD157">
            <v>3.1</v>
          </cell>
          <cell r="AE157">
            <v>1236.9000000000001</v>
          </cell>
          <cell r="AF157">
            <v>1238.9000000000001</v>
          </cell>
          <cell r="AG157">
            <v>737.1</v>
          </cell>
          <cell r="AI157">
            <v>3.5</v>
          </cell>
          <cell r="AK157">
            <v>1429.6334200000001</v>
          </cell>
          <cell r="AM157">
            <v>1423.5151600000002</v>
          </cell>
          <cell r="AO157">
            <v>1444.9290700000001</v>
          </cell>
          <cell r="AP157" t="str">
            <v>Muestra tomada en la volqueta</v>
          </cell>
          <cell r="AQ157" t="str">
            <v>-</v>
          </cell>
          <cell r="AR157">
            <v>1500</v>
          </cell>
          <cell r="AS157">
            <v>3.4</v>
          </cell>
          <cell r="AV157">
            <v>2.4570343246589696</v>
          </cell>
          <cell r="BS157">
            <v>2.589</v>
          </cell>
        </row>
        <row r="158">
          <cell r="A158">
            <v>156</v>
          </cell>
          <cell r="B158">
            <v>40280</v>
          </cell>
          <cell r="D158">
            <v>1500.4</v>
          </cell>
          <cell r="E158">
            <v>1423.8</v>
          </cell>
          <cell r="G158" t="str">
            <v>Parcheo elaboración de fallos en vías urbanas y rurales del municipio de Medellín.</v>
          </cell>
          <cell r="H158" t="str">
            <v>1/2</v>
          </cell>
          <cell r="I158">
            <v>0</v>
          </cell>
          <cell r="J158">
            <v>163</v>
          </cell>
          <cell r="K158">
            <v>179</v>
          </cell>
          <cell r="L158">
            <v>258.39999999999998</v>
          </cell>
          <cell r="M158">
            <v>360.1</v>
          </cell>
          <cell r="N158">
            <v>236.6</v>
          </cell>
          <cell r="O158">
            <v>71.5</v>
          </cell>
          <cell r="P158">
            <v>72.599999999999994</v>
          </cell>
          <cell r="Q158">
            <v>82.6</v>
          </cell>
          <cell r="S158">
            <v>25</v>
          </cell>
          <cell r="T158" t="str">
            <v>1</v>
          </cell>
          <cell r="U158">
            <v>1236.0999999999999</v>
          </cell>
          <cell r="V158">
            <v>1238.5</v>
          </cell>
          <cell r="W158">
            <v>733.9</v>
          </cell>
          <cell r="Y158">
            <v>3.4</v>
          </cell>
          <cell r="Z158">
            <v>1236.8</v>
          </cell>
          <cell r="AA158">
            <v>1241.7</v>
          </cell>
          <cell r="AB158">
            <v>734.7</v>
          </cell>
          <cell r="AD158">
            <v>3.32</v>
          </cell>
          <cell r="AE158">
            <v>1232.9000000000001</v>
          </cell>
          <cell r="AF158">
            <v>1238.0999999999999</v>
          </cell>
          <cell r="AG158">
            <v>732.5</v>
          </cell>
          <cell r="AI158">
            <v>3.46</v>
          </cell>
          <cell r="AK158">
            <v>1400.0618300000001</v>
          </cell>
          <cell r="AM158">
            <v>1353.15517</v>
          </cell>
          <cell r="AO158">
            <v>1417.3969000000002</v>
          </cell>
          <cell r="AP158" t="str">
            <v>Muestra tomada en el elevador</v>
          </cell>
          <cell r="AQ158" t="str">
            <v>-</v>
          </cell>
          <cell r="AR158">
            <v>1438</v>
          </cell>
          <cell r="AS158">
            <v>3.4</v>
          </cell>
          <cell r="AV158">
            <v>2.4353888420021907</v>
          </cell>
          <cell r="BS158">
            <v>2.5859999999999999</v>
          </cell>
        </row>
        <row r="159">
          <cell r="A159">
            <v>157</v>
          </cell>
          <cell r="B159">
            <v>40280</v>
          </cell>
          <cell r="D159">
            <v>1500.3</v>
          </cell>
          <cell r="E159">
            <v>1423.2</v>
          </cell>
          <cell r="G159" t="str">
            <v>Parcheo elaboración de fallos en vías urbanas y rurales del municipio de Medellín.</v>
          </cell>
          <cell r="H159" t="str">
            <v>2/2</v>
          </cell>
          <cell r="I159">
            <v>0</v>
          </cell>
          <cell r="J159">
            <v>201.4</v>
          </cell>
          <cell r="K159">
            <v>153.1</v>
          </cell>
          <cell r="L159">
            <v>256.7</v>
          </cell>
          <cell r="M159">
            <v>362.6</v>
          </cell>
          <cell r="N159">
            <v>226.6</v>
          </cell>
          <cell r="O159">
            <v>66.400000000000006</v>
          </cell>
          <cell r="P159">
            <v>70.599999999999994</v>
          </cell>
          <cell r="Q159">
            <v>85.8</v>
          </cell>
          <cell r="S159">
            <v>25</v>
          </cell>
          <cell r="T159" t="str">
            <v>1</v>
          </cell>
          <cell r="U159">
            <v>1237.3</v>
          </cell>
          <cell r="V159">
            <v>1239</v>
          </cell>
          <cell r="W159">
            <v>732.1</v>
          </cell>
          <cell r="Y159">
            <v>3.6</v>
          </cell>
          <cell r="Z159">
            <v>1237.8</v>
          </cell>
          <cell r="AA159">
            <v>1240.2</v>
          </cell>
          <cell r="AB159">
            <v>732.1</v>
          </cell>
          <cell r="AD159">
            <v>3.3</v>
          </cell>
          <cell r="AE159">
            <v>1234</v>
          </cell>
          <cell r="AF159">
            <v>1237</v>
          </cell>
          <cell r="AG159">
            <v>728.7</v>
          </cell>
          <cell r="AI159">
            <v>3.5</v>
          </cell>
          <cell r="AK159">
            <v>1465.3232699999999</v>
          </cell>
          <cell r="AM159">
            <v>1455.12617</v>
          </cell>
          <cell r="AO159">
            <v>1376.6085</v>
          </cell>
          <cell r="AP159" t="str">
            <v>Muestra tomada en la volqueta</v>
          </cell>
          <cell r="AQ159" t="str">
            <v>-</v>
          </cell>
          <cell r="AR159">
            <v>1472</v>
          </cell>
          <cell r="AS159">
            <v>3.5</v>
          </cell>
          <cell r="AV159">
            <v>2.4277945899742557</v>
          </cell>
          <cell r="BS159">
            <v>2.5859999999999999</v>
          </cell>
        </row>
        <row r="160">
          <cell r="A160">
            <v>158</v>
          </cell>
          <cell r="B160">
            <v>40281</v>
          </cell>
          <cell r="D160">
            <v>1500.3</v>
          </cell>
          <cell r="E160">
            <v>1427.7</v>
          </cell>
          <cell r="G160" t="str">
            <v>Parcheo elaboración de fallos en vías urbanas y rurales del municipio de Medellín.</v>
          </cell>
          <cell r="H160" t="str">
            <v>1/2</v>
          </cell>
          <cell r="I160">
            <v>0</v>
          </cell>
          <cell r="J160">
            <v>147.9</v>
          </cell>
          <cell r="K160">
            <v>188.3</v>
          </cell>
          <cell r="L160">
            <v>288.89999999999998</v>
          </cell>
          <cell r="M160">
            <v>308.60000000000002</v>
          </cell>
          <cell r="N160">
            <v>245</v>
          </cell>
          <cell r="O160">
            <v>89.2</v>
          </cell>
          <cell r="P160">
            <v>65.8</v>
          </cell>
          <cell r="Q160">
            <v>94</v>
          </cell>
          <cell r="S160">
            <v>25</v>
          </cell>
          <cell r="T160" t="str">
            <v>1</v>
          </cell>
          <cell r="U160">
            <v>1234</v>
          </cell>
          <cell r="V160">
            <v>1236.9000000000001</v>
          </cell>
          <cell r="W160">
            <v>730.5</v>
          </cell>
          <cell r="Y160">
            <v>3.3</v>
          </cell>
          <cell r="Z160">
            <v>1237.8</v>
          </cell>
          <cell r="AA160">
            <v>1241</v>
          </cell>
          <cell r="AB160">
            <v>733.7</v>
          </cell>
          <cell r="AD160">
            <v>3.04</v>
          </cell>
          <cell r="AE160">
            <v>1236.8</v>
          </cell>
          <cell r="AF160">
            <v>1240.7</v>
          </cell>
          <cell r="AG160">
            <v>734.8</v>
          </cell>
          <cell r="AI160">
            <v>3.3</v>
          </cell>
          <cell r="AK160">
            <v>1191.0212799999999</v>
          </cell>
          <cell r="AM160">
            <v>1275.6572100000001</v>
          </cell>
          <cell r="AO160">
            <v>1393.9435700000001</v>
          </cell>
          <cell r="AP160" t="str">
            <v>Muestra tomada en el elevador</v>
          </cell>
          <cell r="AQ160" t="str">
            <v>-</v>
          </cell>
          <cell r="AR160">
            <v>1327</v>
          </cell>
          <cell r="AS160">
            <v>3.2</v>
          </cell>
          <cell r="AV160">
            <v>2.4333738744344675</v>
          </cell>
          <cell r="BS160">
            <v>2.5870000000000002</v>
          </cell>
        </row>
        <row r="161">
          <cell r="A161">
            <v>159</v>
          </cell>
          <cell r="B161">
            <v>40281</v>
          </cell>
          <cell r="D161">
            <v>1500.3</v>
          </cell>
          <cell r="E161">
            <v>1425.6</v>
          </cell>
          <cell r="G161" t="str">
            <v>Parcheo elaboración de fallos en vías urbanas y rurales del municipio de Medellín.</v>
          </cell>
          <cell r="H161" t="str">
            <v>2/2</v>
          </cell>
          <cell r="I161">
            <v>0</v>
          </cell>
          <cell r="J161">
            <v>156.5</v>
          </cell>
          <cell r="K161">
            <v>189</v>
          </cell>
          <cell r="L161">
            <v>331.2</v>
          </cell>
          <cell r="M161">
            <v>300.10000000000002</v>
          </cell>
          <cell r="N161">
            <v>220</v>
          </cell>
          <cell r="O161">
            <v>71.599999999999994</v>
          </cell>
          <cell r="P161">
            <v>69.099999999999994</v>
          </cell>
          <cell r="Q161">
            <v>88.1</v>
          </cell>
          <cell r="S161">
            <v>25</v>
          </cell>
          <cell r="T161" t="str">
            <v>1</v>
          </cell>
          <cell r="U161">
            <v>1236.0999999999999</v>
          </cell>
          <cell r="V161">
            <v>1238.4000000000001</v>
          </cell>
          <cell r="W161">
            <v>731.9</v>
          </cell>
          <cell r="Y161">
            <v>3.5</v>
          </cell>
          <cell r="Z161">
            <v>1238.9000000000001</v>
          </cell>
          <cell r="AA161">
            <v>1242.7</v>
          </cell>
          <cell r="AB161">
            <v>734.7</v>
          </cell>
          <cell r="AD161">
            <v>3.5</v>
          </cell>
          <cell r="AE161">
            <v>1237.9000000000001</v>
          </cell>
          <cell r="AF161">
            <v>1242.2</v>
          </cell>
          <cell r="AG161">
            <v>733.8</v>
          </cell>
          <cell r="AI161">
            <v>3.3</v>
          </cell>
          <cell r="AK161">
            <v>1651.9302</v>
          </cell>
          <cell r="AM161">
            <v>1406.1800900000001</v>
          </cell>
          <cell r="AO161">
            <v>1517.3284800000001</v>
          </cell>
          <cell r="AP161" t="str">
            <v>Muestra tomada en la volqueta</v>
          </cell>
          <cell r="AQ161" t="str">
            <v>-</v>
          </cell>
          <cell r="AR161">
            <v>1568</v>
          </cell>
          <cell r="AS161">
            <v>3.4</v>
          </cell>
          <cell r="AV161">
            <v>2.4309177572133227</v>
          </cell>
          <cell r="BS161">
            <v>2.5870000000000002</v>
          </cell>
        </row>
        <row r="162">
          <cell r="A162">
            <v>160</v>
          </cell>
          <cell r="B162">
            <v>40282</v>
          </cell>
          <cell r="D162">
            <v>1504</v>
          </cell>
          <cell r="E162">
            <v>1425</v>
          </cell>
          <cell r="G162" t="str">
            <v>Parcheo elaboración de fallos en vías urbanas y rurales del municipio de Medellín.</v>
          </cell>
          <cell r="H162" t="str">
            <v>1/2</v>
          </cell>
          <cell r="I162">
            <v>0</v>
          </cell>
          <cell r="J162">
            <v>149.19999999999999</v>
          </cell>
          <cell r="K162">
            <v>201</v>
          </cell>
          <cell r="L162">
            <v>255.3</v>
          </cell>
          <cell r="M162">
            <v>330.3</v>
          </cell>
          <cell r="N162">
            <v>243</v>
          </cell>
          <cell r="O162">
            <v>75</v>
          </cell>
          <cell r="P162">
            <v>80.7</v>
          </cell>
          <cell r="Q162">
            <v>90.5</v>
          </cell>
          <cell r="S162">
            <v>25</v>
          </cell>
          <cell r="T162" t="str">
            <v>1</v>
          </cell>
          <cell r="U162">
            <v>1235.8</v>
          </cell>
          <cell r="V162">
            <v>1238.8</v>
          </cell>
          <cell r="W162">
            <v>733.9</v>
          </cell>
          <cell r="Y162">
            <v>3.3</v>
          </cell>
          <cell r="Z162">
            <v>1236.5</v>
          </cell>
          <cell r="AA162">
            <v>1239.8</v>
          </cell>
          <cell r="AB162">
            <v>734</v>
          </cell>
          <cell r="AD162">
            <v>3.5</v>
          </cell>
          <cell r="AE162">
            <v>1234.7</v>
          </cell>
          <cell r="AF162">
            <v>1235.8</v>
          </cell>
          <cell r="AG162">
            <v>732.6</v>
          </cell>
          <cell r="AI162">
            <v>2.8</v>
          </cell>
          <cell r="AK162">
            <v>1537.7226800000001</v>
          </cell>
          <cell r="AM162">
            <v>1542.8212300000002</v>
          </cell>
          <cell r="AO162">
            <v>1576.4716600000002</v>
          </cell>
          <cell r="AP162" t="str">
            <v>Muestra tomada en el elevador</v>
          </cell>
          <cell r="AQ162" t="str">
            <v>Muestra tomada en planta, en cojunto con el Laboratorio de AIM, (Volqueta TPZ807)</v>
          </cell>
          <cell r="AR162">
            <v>1611</v>
          </cell>
          <cell r="AS162">
            <v>3.2</v>
          </cell>
          <cell r="AV162">
            <v>2.4414883246604844</v>
          </cell>
          <cell r="BS162">
            <v>2.5840000000000001</v>
          </cell>
        </row>
        <row r="163">
          <cell r="A163">
            <v>161</v>
          </cell>
          <cell r="B163">
            <v>40282</v>
          </cell>
          <cell r="D163">
            <v>1501.9</v>
          </cell>
          <cell r="E163">
            <v>1426.4</v>
          </cell>
          <cell r="G163" t="str">
            <v>Parcheo elaboración de fallos en vías urbanas y rurales del municipio de Medellín.</v>
          </cell>
          <cell r="H163" t="str">
            <v>2/2</v>
          </cell>
          <cell r="I163">
            <v>0</v>
          </cell>
          <cell r="J163">
            <v>223.3</v>
          </cell>
          <cell r="K163">
            <v>158.80000000000001</v>
          </cell>
          <cell r="L163">
            <v>217</v>
          </cell>
          <cell r="M163">
            <v>325.2</v>
          </cell>
          <cell r="N163">
            <v>255.5</v>
          </cell>
          <cell r="O163">
            <v>79.400000000000006</v>
          </cell>
          <cell r="P163">
            <v>76.099999999999994</v>
          </cell>
          <cell r="Q163">
            <v>91.1</v>
          </cell>
          <cell r="S163">
            <v>25</v>
          </cell>
          <cell r="T163" t="str">
            <v>1</v>
          </cell>
          <cell r="U163">
            <v>1238.5999999999999</v>
          </cell>
          <cell r="V163">
            <v>1239.8</v>
          </cell>
          <cell r="W163">
            <v>736.8</v>
          </cell>
          <cell r="Y163">
            <v>3.5</v>
          </cell>
          <cell r="Z163">
            <v>1237.7</v>
          </cell>
          <cell r="AA163">
            <v>1240.5</v>
          </cell>
          <cell r="AB163">
            <v>735.4</v>
          </cell>
          <cell r="AD163">
            <v>3.3</v>
          </cell>
          <cell r="AE163">
            <v>1235.5999999999999</v>
          </cell>
          <cell r="AF163">
            <v>1238.9000000000001</v>
          </cell>
          <cell r="AG163">
            <v>735.6</v>
          </cell>
          <cell r="AI163">
            <v>3.5</v>
          </cell>
          <cell r="AK163">
            <v>1687.6200500000002</v>
          </cell>
          <cell r="AM163">
            <v>1674.3638200000003</v>
          </cell>
          <cell r="AO163">
            <v>1773.2756900000002</v>
          </cell>
          <cell r="AP163" t="str">
            <v>Muestra tomada en el elevador</v>
          </cell>
          <cell r="AQ163" t="str">
            <v>Muestra tomada en planta, en cojunto con el Laboratorio de AIM.</v>
          </cell>
          <cell r="AR163">
            <v>1781</v>
          </cell>
          <cell r="AS163">
            <v>3.4</v>
          </cell>
          <cell r="AV163">
            <v>2.448759143118294</v>
          </cell>
          <cell r="BS163">
            <v>2.5840000000000001</v>
          </cell>
        </row>
        <row r="164">
          <cell r="A164">
            <v>162</v>
          </cell>
          <cell r="B164">
            <v>40283</v>
          </cell>
          <cell r="D164">
            <v>1503.5</v>
          </cell>
          <cell r="E164">
            <v>1427.9</v>
          </cell>
          <cell r="G164" t="str">
            <v>Parcheo elaboración de fallos en vías urbanas y rurales del municipio de Medellín.</v>
          </cell>
          <cell r="H164" t="str">
            <v>1/2</v>
          </cell>
          <cell r="I164">
            <v>0</v>
          </cell>
          <cell r="J164">
            <v>224.3</v>
          </cell>
          <cell r="K164">
            <v>175.9</v>
          </cell>
          <cell r="L164">
            <v>214</v>
          </cell>
          <cell r="M164">
            <v>323.5</v>
          </cell>
          <cell r="N164">
            <v>255.4</v>
          </cell>
          <cell r="O164">
            <v>74.3</v>
          </cell>
          <cell r="P164">
            <v>75.8</v>
          </cell>
          <cell r="Q164">
            <v>84.7</v>
          </cell>
          <cell r="S164">
            <v>25</v>
          </cell>
          <cell r="T164" t="str">
            <v>1</v>
          </cell>
          <cell r="U164">
            <v>1235.3</v>
          </cell>
          <cell r="V164">
            <v>1236.2</v>
          </cell>
          <cell r="W164">
            <v>734.4</v>
          </cell>
          <cell r="Y164">
            <v>3.4</v>
          </cell>
          <cell r="Z164">
            <v>1237.7</v>
          </cell>
          <cell r="AA164">
            <v>1239.8</v>
          </cell>
          <cell r="AB164">
            <v>735.1</v>
          </cell>
          <cell r="AD164">
            <v>3.1</v>
          </cell>
          <cell r="AE164">
            <v>1234.8</v>
          </cell>
          <cell r="AF164">
            <v>1238</v>
          </cell>
          <cell r="AG164">
            <v>731.2</v>
          </cell>
          <cell r="AI164">
            <v>3.2</v>
          </cell>
          <cell r="AK164">
            <v>1840.5765500000002</v>
          </cell>
          <cell r="AM164">
            <v>1740.6449700000001</v>
          </cell>
          <cell r="AO164">
            <v>1543.84094</v>
          </cell>
          <cell r="AP164" t="str">
            <v>Muestra tomada en el elevador</v>
          </cell>
          <cell r="AQ164" t="str">
            <v>Muestra tomada en planta, en cojunto con el Laboratorio de AIM, (Volqueta SNO752)</v>
          </cell>
          <cell r="AR164">
            <v>1775</v>
          </cell>
          <cell r="AS164">
            <v>3.2</v>
          </cell>
          <cell r="AV164">
            <v>2.4430164679760682</v>
          </cell>
          <cell r="BS164">
            <v>2.5939999999999999</v>
          </cell>
        </row>
        <row r="165">
          <cell r="A165">
            <v>163</v>
          </cell>
          <cell r="B165">
            <v>40283</v>
          </cell>
          <cell r="D165">
            <v>1505</v>
          </cell>
          <cell r="E165">
            <v>1432.1</v>
          </cell>
          <cell r="G165" t="str">
            <v>Parcheo elaboración de fallos en vías urbanas y rurales del municipio de Medellín.</v>
          </cell>
          <cell r="H165" t="str">
            <v>2/2</v>
          </cell>
          <cell r="I165">
            <v>0</v>
          </cell>
          <cell r="J165">
            <v>217.6</v>
          </cell>
          <cell r="K165">
            <v>161.1</v>
          </cell>
          <cell r="L165">
            <v>266</v>
          </cell>
          <cell r="M165">
            <v>310.89999999999998</v>
          </cell>
          <cell r="N165">
            <v>231.9</v>
          </cell>
          <cell r="O165">
            <v>76.599999999999994</v>
          </cell>
          <cell r="P165">
            <v>76</v>
          </cell>
          <cell r="Q165">
            <v>92</v>
          </cell>
          <cell r="S165">
            <v>25</v>
          </cell>
          <cell r="T165" t="str">
            <v>1</v>
          </cell>
          <cell r="U165">
            <v>1236.5</v>
          </cell>
          <cell r="V165">
            <v>1238.8</v>
          </cell>
          <cell r="W165">
            <v>733.2</v>
          </cell>
          <cell r="Y165">
            <v>2.6</v>
          </cell>
          <cell r="Z165">
            <v>1236.4000000000001</v>
          </cell>
          <cell r="AA165">
            <v>1238.5</v>
          </cell>
          <cell r="AB165">
            <v>733.7</v>
          </cell>
          <cell r="AD165">
            <v>3.3</v>
          </cell>
          <cell r="AE165">
            <v>1237.2</v>
          </cell>
          <cell r="AF165">
            <v>1239.8</v>
          </cell>
          <cell r="AG165">
            <v>734.8</v>
          </cell>
          <cell r="AI165">
            <v>3.2</v>
          </cell>
          <cell r="AK165">
            <v>1395.98299</v>
          </cell>
          <cell r="AM165">
            <v>1590.7475999999999</v>
          </cell>
          <cell r="AO165">
            <v>1623.37832</v>
          </cell>
          <cell r="AP165" t="str">
            <v>Muestra tomada en el elevador</v>
          </cell>
          <cell r="AQ165" t="str">
            <v>Muestra tomada en planta, en cojunto con el Laboratorio de AIM, (Volqueta CID262)</v>
          </cell>
          <cell r="AR165">
            <v>1592</v>
          </cell>
          <cell r="AS165">
            <v>3</v>
          </cell>
          <cell r="AV165">
            <v>2.441104494108401</v>
          </cell>
          <cell r="BS165">
            <v>2.5939999999999999</v>
          </cell>
        </row>
        <row r="166">
          <cell r="A166">
            <v>164</v>
          </cell>
          <cell r="B166">
            <v>40284</v>
          </cell>
          <cell r="D166">
            <v>1508</v>
          </cell>
          <cell r="E166">
            <v>1436.5</v>
          </cell>
          <cell r="G166" t="str">
            <v>Parcheo elaboración de fallos en vías urbanas y rurales del municipio de Medellín.</v>
          </cell>
          <cell r="H166" t="str">
            <v>1/2</v>
          </cell>
          <cell r="I166">
            <v>0</v>
          </cell>
          <cell r="J166">
            <v>176.6</v>
          </cell>
          <cell r="K166">
            <v>164.3</v>
          </cell>
          <cell r="L166">
            <v>314.3</v>
          </cell>
          <cell r="M166">
            <v>311.8</v>
          </cell>
          <cell r="N166">
            <v>234.1</v>
          </cell>
          <cell r="O166">
            <v>77.7</v>
          </cell>
          <cell r="P166">
            <v>72.3</v>
          </cell>
          <cell r="Q166">
            <v>85.4</v>
          </cell>
          <cell r="S166">
            <v>25</v>
          </cell>
          <cell r="T166" t="str">
            <v>1</v>
          </cell>
          <cell r="U166">
            <v>1236.9000000000001</v>
          </cell>
          <cell r="V166">
            <v>1239.8</v>
          </cell>
          <cell r="W166">
            <v>732.3</v>
          </cell>
          <cell r="Y166">
            <v>3.3</v>
          </cell>
          <cell r="Z166">
            <v>1236.5999999999999</v>
          </cell>
          <cell r="AA166">
            <v>1239</v>
          </cell>
          <cell r="AB166">
            <v>731.3</v>
          </cell>
          <cell r="AD166">
            <v>3</v>
          </cell>
          <cell r="AE166">
            <v>1234</v>
          </cell>
          <cell r="AF166">
            <v>1235.7</v>
          </cell>
          <cell r="AG166">
            <v>730.8</v>
          </cell>
          <cell r="AI166">
            <v>2.8</v>
          </cell>
          <cell r="AK166">
            <v>1634.5951300000002</v>
          </cell>
          <cell r="AM166">
            <v>1607.06296</v>
          </cell>
          <cell r="AO166">
            <v>1881.3649499999999</v>
          </cell>
          <cell r="AP166" t="str">
            <v>Muestra tomada en el elevador</v>
          </cell>
          <cell r="AQ166" t="str">
            <v>Muestra tomada en planta, en cojunto con el Laboratorio de AIM, (Volqueta CID262)</v>
          </cell>
          <cell r="AR166">
            <v>1761</v>
          </cell>
          <cell r="AS166">
            <v>3</v>
          </cell>
          <cell r="AV166">
            <v>2.4318593024409334</v>
          </cell>
          <cell r="BS166">
            <v>2.5840000000000001</v>
          </cell>
        </row>
        <row r="167">
          <cell r="A167">
            <v>165</v>
          </cell>
          <cell r="B167">
            <v>40284</v>
          </cell>
          <cell r="D167">
            <v>1505.2</v>
          </cell>
          <cell r="E167">
            <v>1433</v>
          </cell>
          <cell r="G167" t="str">
            <v>Parcheo elaboración de fallos en vías urbanas y rurales del municipio de Medellín.</v>
          </cell>
          <cell r="H167" t="str">
            <v>2/2</v>
          </cell>
          <cell r="I167">
            <v>0</v>
          </cell>
          <cell r="J167">
            <v>198.5</v>
          </cell>
          <cell r="K167">
            <v>136.19999999999999</v>
          </cell>
          <cell r="L167">
            <v>263.60000000000002</v>
          </cell>
          <cell r="M167">
            <v>330.4</v>
          </cell>
          <cell r="N167">
            <v>258.60000000000002</v>
          </cell>
          <cell r="O167">
            <v>79.099999999999994</v>
          </cell>
          <cell r="P167">
            <v>79</v>
          </cell>
          <cell r="Q167">
            <v>87.6</v>
          </cell>
          <cell r="S167">
            <v>25</v>
          </cell>
          <cell r="T167" t="str">
            <v>1</v>
          </cell>
          <cell r="U167">
            <v>1235.7</v>
          </cell>
          <cell r="V167">
            <v>1238</v>
          </cell>
          <cell r="W167">
            <v>730.3</v>
          </cell>
          <cell r="Y167">
            <v>3.2</v>
          </cell>
          <cell r="Z167">
            <v>1237.4000000000001</v>
          </cell>
          <cell r="AA167">
            <v>1242</v>
          </cell>
          <cell r="AB167">
            <v>734</v>
          </cell>
          <cell r="AD167">
            <v>2.9</v>
          </cell>
          <cell r="AE167">
            <v>1234.9000000000001</v>
          </cell>
          <cell r="AF167">
            <v>1238</v>
          </cell>
          <cell r="AG167">
            <v>732</v>
          </cell>
          <cell r="AI167">
            <v>2.9</v>
          </cell>
          <cell r="AK167">
            <v>1639.6936799999999</v>
          </cell>
          <cell r="AM167">
            <v>1477.55979</v>
          </cell>
          <cell r="AO167">
            <v>1428.6137100000001</v>
          </cell>
          <cell r="AP167" t="str">
            <v>Muestra tomada en el elevador</v>
          </cell>
          <cell r="AQ167" t="str">
            <v>Muestra tomada en planta, en cojunto con el Laboratorio de AIM, (Volqueta CNN859)</v>
          </cell>
          <cell r="AR167">
            <v>1559</v>
          </cell>
          <cell r="AS167">
            <v>3</v>
          </cell>
          <cell r="AV167">
            <v>2.429625256036533</v>
          </cell>
          <cell r="BS167">
            <v>2.5840000000000001</v>
          </cell>
        </row>
        <row r="168">
          <cell r="A168">
            <v>166</v>
          </cell>
          <cell r="B168">
            <v>40287</v>
          </cell>
          <cell r="D168">
            <v>1689.2</v>
          </cell>
          <cell r="E168">
            <v>1605.8</v>
          </cell>
          <cell r="G168" t="str">
            <v>Parcheo elaboración de fallos en vías urbanas y rurales del municipio de Medellín.</v>
          </cell>
          <cell r="H168" t="str">
            <v>1/2</v>
          </cell>
          <cell r="I168">
            <v>0</v>
          </cell>
          <cell r="J168">
            <v>193</v>
          </cell>
          <cell r="K168">
            <v>202.1</v>
          </cell>
          <cell r="L168">
            <v>292.60000000000002</v>
          </cell>
          <cell r="M168">
            <v>356.7</v>
          </cell>
          <cell r="N168">
            <v>277.5</v>
          </cell>
          <cell r="O168">
            <v>99.7</v>
          </cell>
          <cell r="P168">
            <v>82.4</v>
          </cell>
          <cell r="Q168">
            <v>101.8</v>
          </cell>
          <cell r="S168">
            <v>25</v>
          </cell>
          <cell r="T168" t="str">
            <v>1</v>
          </cell>
          <cell r="U168">
            <v>1234.8</v>
          </cell>
          <cell r="V168">
            <v>1235.3</v>
          </cell>
          <cell r="W168">
            <v>736.4</v>
          </cell>
          <cell r="Y168">
            <v>3</v>
          </cell>
          <cell r="Z168">
            <v>1237.8</v>
          </cell>
          <cell r="AA168">
            <v>1240.0999999999999</v>
          </cell>
          <cell r="AB168">
            <v>730.6</v>
          </cell>
          <cell r="AD168">
            <v>3.2</v>
          </cell>
          <cell r="AE168">
            <v>1238.8</v>
          </cell>
          <cell r="AF168">
            <v>1240.2</v>
          </cell>
          <cell r="AG168">
            <v>734.1</v>
          </cell>
          <cell r="AI168">
            <v>3.2</v>
          </cell>
          <cell r="AK168">
            <v>1827.3203200000003</v>
          </cell>
          <cell r="AM168">
            <v>1606.0432500000002</v>
          </cell>
          <cell r="AO168">
            <v>1700.87628</v>
          </cell>
          <cell r="AP168" t="str">
            <v>Muestra tomada en el elevador</v>
          </cell>
          <cell r="AQ168" t="str">
            <v>-</v>
          </cell>
          <cell r="AR168">
            <v>1777</v>
          </cell>
          <cell r="AS168">
            <v>3.1</v>
          </cell>
          <cell r="AV168">
            <v>2.4435726917711924</v>
          </cell>
          <cell r="BS168">
            <v>2.58</v>
          </cell>
        </row>
        <row r="169">
          <cell r="A169">
            <v>167</v>
          </cell>
          <cell r="B169">
            <v>40287</v>
          </cell>
          <cell r="D169">
            <v>1752.5</v>
          </cell>
          <cell r="E169">
            <v>1667.4</v>
          </cell>
          <cell r="G169" t="str">
            <v>Parcheo elaboración de fallos en vías urbanas y rurales del municipio de Medellín.</v>
          </cell>
          <cell r="H169" t="str">
            <v>2/2</v>
          </cell>
          <cell r="I169">
            <v>0</v>
          </cell>
          <cell r="J169">
            <v>204.2</v>
          </cell>
          <cell r="K169">
            <v>196</v>
          </cell>
          <cell r="L169">
            <v>345.8</v>
          </cell>
          <cell r="M169">
            <v>367.9</v>
          </cell>
          <cell r="N169">
            <v>266.5</v>
          </cell>
          <cell r="O169">
            <v>97.2</v>
          </cell>
          <cell r="P169">
            <v>86.4</v>
          </cell>
          <cell r="Q169">
            <v>103.4</v>
          </cell>
          <cell r="S169">
            <v>25</v>
          </cell>
          <cell r="T169" t="str">
            <v>1</v>
          </cell>
          <cell r="U169">
            <v>1236.0999999999999</v>
          </cell>
          <cell r="V169">
            <v>1238.0999999999999</v>
          </cell>
          <cell r="W169">
            <v>735.9</v>
          </cell>
          <cell r="Y169">
            <v>3.1</v>
          </cell>
          <cell r="Z169">
            <v>1236.0999999999999</v>
          </cell>
          <cell r="AA169">
            <v>1239.4000000000001</v>
          </cell>
          <cell r="AB169">
            <v>735.7</v>
          </cell>
          <cell r="AD169">
            <v>3</v>
          </cell>
          <cell r="AE169">
            <v>1236.8</v>
          </cell>
          <cell r="AF169">
            <v>1240.7</v>
          </cell>
          <cell r="AG169">
            <v>736.1</v>
          </cell>
          <cell r="AI169">
            <v>3.5</v>
          </cell>
          <cell r="AK169">
            <v>1680.48208</v>
          </cell>
          <cell r="AM169">
            <v>1865.0495900000001</v>
          </cell>
          <cell r="AO169">
            <v>1574.4322400000001</v>
          </cell>
          <cell r="AP169" t="str">
            <v>Muestra tomada en la volqueta</v>
          </cell>
          <cell r="AQ169" t="str">
            <v>-</v>
          </cell>
          <cell r="AR169">
            <v>1778</v>
          </cell>
          <cell r="AS169">
            <v>3.2</v>
          </cell>
          <cell r="AV169">
            <v>2.4483045051844563</v>
          </cell>
          <cell r="BS169">
            <v>2.58</v>
          </cell>
        </row>
        <row r="170">
          <cell r="A170">
            <v>168</v>
          </cell>
          <cell r="B170">
            <v>40288</v>
          </cell>
          <cell r="D170">
            <v>1650.2</v>
          </cell>
          <cell r="E170">
            <v>1564.8</v>
          </cell>
          <cell r="G170" t="str">
            <v>Parcheo elaboración de fallos en vías urbanas y rurales del municipio de Medellín.</v>
          </cell>
          <cell r="H170" t="str">
            <v>1/2</v>
          </cell>
          <cell r="I170">
            <v>0</v>
          </cell>
          <cell r="J170">
            <v>186.3</v>
          </cell>
          <cell r="K170">
            <v>157.5</v>
          </cell>
          <cell r="L170">
            <v>323.60000000000002</v>
          </cell>
          <cell r="M170">
            <v>355.7</v>
          </cell>
          <cell r="N170">
            <v>275</v>
          </cell>
          <cell r="O170">
            <v>85.6</v>
          </cell>
          <cell r="P170">
            <v>84.8</v>
          </cell>
          <cell r="Q170">
            <v>96.3</v>
          </cell>
          <cell r="S170">
            <v>25</v>
          </cell>
          <cell r="T170" t="str">
            <v>1</v>
          </cell>
          <cell r="U170">
            <v>1235.9000000000001</v>
          </cell>
          <cell r="V170">
            <v>1237.2</v>
          </cell>
          <cell r="W170">
            <v>738.3</v>
          </cell>
          <cell r="Y170">
            <v>3.4</v>
          </cell>
          <cell r="Z170">
            <v>1238.5</v>
          </cell>
          <cell r="AA170">
            <v>1239.3</v>
          </cell>
          <cell r="AB170">
            <v>736.8</v>
          </cell>
          <cell r="AD170">
            <v>3.4</v>
          </cell>
          <cell r="AE170">
            <v>1235.4000000000001</v>
          </cell>
          <cell r="AF170">
            <v>1236.3</v>
          </cell>
          <cell r="AG170">
            <v>734.8</v>
          </cell>
          <cell r="AI170">
            <v>3</v>
          </cell>
          <cell r="AK170">
            <v>1602.9841200000001</v>
          </cell>
          <cell r="AM170">
            <v>1769.1968500000003</v>
          </cell>
          <cell r="AO170">
            <v>1761.03917</v>
          </cell>
          <cell r="AP170" t="str">
            <v>Muestra tomada en el elevador</v>
          </cell>
          <cell r="AQ170" t="str">
            <v>-</v>
          </cell>
          <cell r="AR170">
            <v>1797</v>
          </cell>
          <cell r="AS170">
            <v>3.3</v>
          </cell>
          <cell r="AV170">
            <v>2.4612252429019832</v>
          </cell>
          <cell r="BS170">
            <v>2.5739999999999998</v>
          </cell>
        </row>
        <row r="171">
          <cell r="A171">
            <v>169</v>
          </cell>
          <cell r="B171">
            <v>40288</v>
          </cell>
          <cell r="D171">
            <v>1686.9</v>
          </cell>
          <cell r="E171">
            <v>1600.4</v>
          </cell>
          <cell r="G171" t="str">
            <v>Parcheo elaboración de fallos en vías urbanas y rurales del municipio de Medellín.</v>
          </cell>
          <cell r="H171" t="str">
            <v>2/2</v>
          </cell>
          <cell r="I171">
            <v>0</v>
          </cell>
          <cell r="J171">
            <v>145.19999999999999</v>
          </cell>
          <cell r="K171">
            <v>209.9</v>
          </cell>
          <cell r="L171">
            <v>355.3</v>
          </cell>
          <cell r="M171">
            <v>366.9</v>
          </cell>
          <cell r="N171">
            <v>254</v>
          </cell>
          <cell r="O171">
            <v>81.3</v>
          </cell>
          <cell r="P171">
            <v>85</v>
          </cell>
          <cell r="Q171">
            <v>102.8</v>
          </cell>
          <cell r="S171">
            <v>25</v>
          </cell>
          <cell r="T171" t="str">
            <v>1</v>
          </cell>
          <cell r="U171">
            <v>1237.7</v>
          </cell>
          <cell r="V171">
            <v>1239.5</v>
          </cell>
          <cell r="W171">
            <v>728.1</v>
          </cell>
          <cell r="Y171">
            <v>2.8</v>
          </cell>
          <cell r="Z171">
            <v>1237.7</v>
          </cell>
          <cell r="AA171">
            <v>1238.5</v>
          </cell>
          <cell r="AB171">
            <v>738.8</v>
          </cell>
          <cell r="AD171">
            <v>3.1</v>
          </cell>
          <cell r="AE171">
            <v>1237.0999999999999</v>
          </cell>
          <cell r="AF171">
            <v>1239.9000000000001</v>
          </cell>
          <cell r="AG171">
            <v>733.9</v>
          </cell>
          <cell r="AI171">
            <v>3.3</v>
          </cell>
          <cell r="AK171">
            <v>1501.0131200000001</v>
          </cell>
          <cell r="AM171">
            <v>1576.4716600000002</v>
          </cell>
          <cell r="AO171">
            <v>1420.4560300000001</v>
          </cell>
          <cell r="AP171" t="str">
            <v>Muestra tomada en la volqueta</v>
          </cell>
          <cell r="AQ171" t="str">
            <v>-</v>
          </cell>
          <cell r="AR171">
            <v>1552</v>
          </cell>
          <cell r="AS171">
            <v>3.1</v>
          </cell>
          <cell r="AV171">
            <v>2.4401638485070456</v>
          </cell>
          <cell r="BS171">
            <v>2.5739999999999998</v>
          </cell>
        </row>
        <row r="172">
          <cell r="A172">
            <v>170</v>
          </cell>
          <cell r="B172">
            <v>40289</v>
          </cell>
          <cell r="D172">
            <v>1700.5</v>
          </cell>
          <cell r="E172">
            <v>1619.2</v>
          </cell>
          <cell r="G172" t="str">
            <v>Parcheo elaboración de fallos en vías urbanas y rurales del municipio de Medellín; Consorcio Vial Santa Elena.</v>
          </cell>
          <cell r="H172" t="str">
            <v>1/5</v>
          </cell>
          <cell r="I172">
            <v>0</v>
          </cell>
          <cell r="J172">
            <v>191.3</v>
          </cell>
          <cell r="K172">
            <v>191.5</v>
          </cell>
          <cell r="L172">
            <v>325.5</v>
          </cell>
          <cell r="M172">
            <v>344.2</v>
          </cell>
          <cell r="N172">
            <v>285</v>
          </cell>
          <cell r="O172">
            <v>88.5</v>
          </cell>
          <cell r="P172">
            <v>89.9</v>
          </cell>
          <cell r="Q172">
            <v>103.3</v>
          </cell>
          <cell r="S172">
            <v>25</v>
          </cell>
          <cell r="T172" t="str">
            <v>1</v>
          </cell>
          <cell r="U172">
            <v>1234.7</v>
          </cell>
          <cell r="V172">
            <v>1235.3</v>
          </cell>
          <cell r="W172">
            <v>735.3</v>
          </cell>
          <cell r="Y172">
            <v>2.9</v>
          </cell>
          <cell r="Z172">
            <v>1237</v>
          </cell>
          <cell r="AA172">
            <v>1237.5</v>
          </cell>
          <cell r="AB172">
            <v>732.8</v>
          </cell>
          <cell r="AD172">
            <v>2.7</v>
          </cell>
          <cell r="AE172">
            <v>1234.4000000000001</v>
          </cell>
          <cell r="AF172">
            <v>1235.5</v>
          </cell>
          <cell r="AG172">
            <v>732.6</v>
          </cell>
          <cell r="AI172">
            <v>2.9</v>
          </cell>
          <cell r="AK172">
            <v>1563.21543</v>
          </cell>
          <cell r="AM172">
            <v>1483.6780500000002</v>
          </cell>
          <cell r="AO172">
            <v>1519.3679000000002</v>
          </cell>
          <cell r="AP172" t="str">
            <v>Muestra tomada en el elevador</v>
          </cell>
          <cell r="AQ172" t="str">
            <v>-</v>
          </cell>
          <cell r="AR172">
            <v>1591</v>
          </cell>
          <cell r="AS172">
            <v>2.8</v>
          </cell>
          <cell r="AV172">
            <v>2.4511176147567784</v>
          </cell>
          <cell r="BS172">
            <v>2.577</v>
          </cell>
        </row>
        <row r="173">
          <cell r="A173">
            <v>171</v>
          </cell>
          <cell r="B173">
            <v>40289</v>
          </cell>
          <cell r="D173">
            <v>1603.4</v>
          </cell>
          <cell r="E173">
            <v>1525.1</v>
          </cell>
          <cell r="G173" t="str">
            <v>Parcheo elaboración de fallos en vías urbanas y rurales del municipio de Medellín; Consorcio Vial Santa Elena.</v>
          </cell>
          <cell r="H173" t="str">
            <v>2/5</v>
          </cell>
          <cell r="I173">
            <v>0</v>
          </cell>
          <cell r="J173">
            <v>137.19999999999999</v>
          </cell>
          <cell r="K173">
            <v>199.9</v>
          </cell>
          <cell r="L173">
            <v>348.2</v>
          </cell>
          <cell r="M173">
            <v>315.3</v>
          </cell>
          <cell r="N173">
            <v>263.3</v>
          </cell>
          <cell r="O173">
            <v>82.8</v>
          </cell>
          <cell r="P173">
            <v>81.5</v>
          </cell>
          <cell r="Q173">
            <v>96.9</v>
          </cell>
          <cell r="S173">
            <v>25</v>
          </cell>
          <cell r="T173" t="str">
            <v>1</v>
          </cell>
          <cell r="U173">
            <v>1234.5999999999999</v>
          </cell>
          <cell r="V173">
            <v>1237.4000000000001</v>
          </cell>
          <cell r="W173">
            <v>731.3</v>
          </cell>
          <cell r="Y173">
            <v>2.8</v>
          </cell>
          <cell r="Z173">
            <v>1237.5999999999999</v>
          </cell>
          <cell r="AA173">
            <v>1239.9000000000001</v>
          </cell>
          <cell r="AB173">
            <v>732.9</v>
          </cell>
          <cell r="AD173">
            <v>3.6</v>
          </cell>
          <cell r="AE173">
            <v>1236.4000000000001</v>
          </cell>
          <cell r="AF173">
            <v>1239.0999999999999</v>
          </cell>
          <cell r="AG173">
            <v>733.5</v>
          </cell>
          <cell r="AI173">
            <v>3</v>
          </cell>
          <cell r="AK173">
            <v>1244.0462</v>
          </cell>
          <cell r="AM173">
            <v>1599.92499</v>
          </cell>
          <cell r="AO173">
            <v>1454.10646</v>
          </cell>
          <cell r="AP173" t="str">
            <v>Muestra tomada en la volqueta</v>
          </cell>
          <cell r="AQ173" t="str">
            <v>-</v>
          </cell>
          <cell r="AR173">
            <v>1479</v>
          </cell>
          <cell r="AS173">
            <v>3.1</v>
          </cell>
          <cell r="AV173">
            <v>2.4348158975203309</v>
          </cell>
          <cell r="BS173">
            <v>2.577</v>
          </cell>
        </row>
        <row r="174">
          <cell r="A174">
            <v>172</v>
          </cell>
          <cell r="B174">
            <v>40289</v>
          </cell>
          <cell r="D174">
            <v>1661.9</v>
          </cell>
          <cell r="E174">
            <v>1578.7</v>
          </cell>
          <cell r="G174" t="str">
            <v>Parcheo elaboración de fallos en vías urbanas y rurales del municipio de Medellín; Consorcio Vial Santa Elena.</v>
          </cell>
          <cell r="H174" t="str">
            <v>3/5</v>
          </cell>
          <cell r="I174">
            <v>0</v>
          </cell>
          <cell r="J174">
            <v>188.5</v>
          </cell>
          <cell r="K174">
            <v>170.9</v>
          </cell>
          <cell r="L174">
            <v>310.2</v>
          </cell>
          <cell r="M174">
            <v>347.2</v>
          </cell>
          <cell r="N174">
            <v>292.39999999999998</v>
          </cell>
          <cell r="O174">
            <v>87.3</v>
          </cell>
          <cell r="P174">
            <v>81.400000000000006</v>
          </cell>
          <cell r="Q174">
            <v>100.8</v>
          </cell>
          <cell r="S174">
            <v>25</v>
          </cell>
          <cell r="T174" t="str">
            <v>1</v>
          </cell>
          <cell r="AK174">
            <v>0</v>
          </cell>
          <cell r="AM174">
            <v>0</v>
          </cell>
          <cell r="AO174">
            <v>0</v>
          </cell>
          <cell r="AP174" t="str">
            <v>Muestra tomada en el elevador</v>
          </cell>
          <cell r="AQ174" t="str">
            <v>Muestra tomada en planta, en cojunto con el Laboratorio de AIM, (Volqueta GPI 602)</v>
          </cell>
          <cell r="AR174">
            <v>0</v>
          </cell>
          <cell r="AS174">
            <v>0</v>
          </cell>
          <cell r="AV174">
            <v>0</v>
          </cell>
          <cell r="BS174">
            <v>2.577</v>
          </cell>
        </row>
        <row r="175">
          <cell r="A175">
            <v>173</v>
          </cell>
          <cell r="B175">
            <v>40289</v>
          </cell>
          <cell r="D175">
            <v>1666.2</v>
          </cell>
          <cell r="E175">
            <v>1583.7</v>
          </cell>
          <cell r="G175" t="str">
            <v>Parcheo elaboración de fallos en vías urbanas y rurales del municipio de Medellín; Consorcio Vial Santa Elena.</v>
          </cell>
          <cell r="H175" t="str">
            <v>4/5</v>
          </cell>
          <cell r="I175">
            <v>0</v>
          </cell>
          <cell r="J175">
            <v>181.4</v>
          </cell>
          <cell r="K175">
            <v>168.3</v>
          </cell>
          <cell r="L175">
            <v>316.8</v>
          </cell>
          <cell r="M175">
            <v>354</v>
          </cell>
          <cell r="N175">
            <v>286.2</v>
          </cell>
          <cell r="O175">
            <v>85.3</v>
          </cell>
          <cell r="P175">
            <v>86</v>
          </cell>
          <cell r="Q175">
            <v>105.7</v>
          </cell>
          <cell r="S175">
            <v>25</v>
          </cell>
          <cell r="T175" t="str">
            <v>1</v>
          </cell>
          <cell r="AK175">
            <v>0</v>
          </cell>
          <cell r="AM175">
            <v>0</v>
          </cell>
          <cell r="AO175">
            <v>0</v>
          </cell>
          <cell r="AP175" t="str">
            <v>Muestra tomada en el elevador</v>
          </cell>
          <cell r="AQ175" t="str">
            <v>Muestra tomada en planta, en cojunto con el Laboratorio de AIM.</v>
          </cell>
          <cell r="AR175">
            <v>0</v>
          </cell>
          <cell r="AS175">
            <v>0</v>
          </cell>
          <cell r="AV175">
            <v>0</v>
          </cell>
          <cell r="BS175">
            <v>2.577</v>
          </cell>
        </row>
        <row r="176">
          <cell r="A176">
            <v>174</v>
          </cell>
          <cell r="B176">
            <v>40289</v>
          </cell>
          <cell r="D176">
            <v>1609</v>
          </cell>
          <cell r="E176">
            <v>1531.4</v>
          </cell>
          <cell r="G176" t="str">
            <v>Parcheo elaboración de fallos en vías urbanas y rurales del municipio de Medellín; Consorcio Vial Santa Elena.</v>
          </cell>
          <cell r="H176" t="str">
            <v>5/5</v>
          </cell>
          <cell r="I176">
            <v>0</v>
          </cell>
          <cell r="J176">
            <v>187.3</v>
          </cell>
          <cell r="K176">
            <v>197.8</v>
          </cell>
          <cell r="L176">
            <v>285.5</v>
          </cell>
          <cell r="M176">
            <v>315.7</v>
          </cell>
          <cell r="N176">
            <v>277.7</v>
          </cell>
          <cell r="O176">
            <v>89.5</v>
          </cell>
          <cell r="P176">
            <v>79.900000000000006</v>
          </cell>
          <cell r="Q176">
            <v>98</v>
          </cell>
          <cell r="S176">
            <v>25</v>
          </cell>
          <cell r="T176" t="str">
            <v>1</v>
          </cell>
          <cell r="U176">
            <v>1221.5</v>
          </cell>
          <cell r="V176">
            <v>1222</v>
          </cell>
          <cell r="W176">
            <v>730.1</v>
          </cell>
          <cell r="Y176">
            <v>3.5</v>
          </cell>
          <cell r="Z176">
            <v>1255.5999999999999</v>
          </cell>
          <cell r="AA176">
            <v>1256.4000000000001</v>
          </cell>
          <cell r="AB176">
            <v>745.9</v>
          </cell>
          <cell r="AD176">
            <v>3.5</v>
          </cell>
          <cell r="AE176">
            <v>1295.9000000000001</v>
          </cell>
          <cell r="AF176">
            <v>1296.5</v>
          </cell>
          <cell r="AG176">
            <v>770.5</v>
          </cell>
          <cell r="AI176">
            <v>3.4</v>
          </cell>
          <cell r="AK176">
            <v>1903.7985700000002</v>
          </cell>
          <cell r="AM176">
            <v>1750.8420700000001</v>
          </cell>
          <cell r="AO176">
            <v>1792.6501799999999</v>
          </cell>
          <cell r="AP176" t="str">
            <v>Tama en obra, Perque Arví K7+030/160 LI. Segunda capa (volqueta TPZ807)</v>
          </cell>
          <cell r="AQ176" t="str">
            <v>-</v>
          </cell>
          <cell r="AR176">
            <v>1860</v>
          </cell>
          <cell r="AS176">
            <v>3.5</v>
          </cell>
          <cell r="AV176">
            <v>2.461600686568254</v>
          </cell>
          <cell r="BS176">
            <v>2.577</v>
          </cell>
        </row>
        <row r="177">
          <cell r="A177">
            <v>175</v>
          </cell>
          <cell r="B177">
            <v>40290</v>
          </cell>
          <cell r="D177">
            <v>1673.9</v>
          </cell>
          <cell r="E177">
            <v>1588.8</v>
          </cell>
          <cell r="G177" t="str">
            <v>Parcheo elaboración de fallos en vías urbanas y rurales del municipio de Medellín; Consorcio Vial Santa Elena.</v>
          </cell>
          <cell r="H177" t="str">
            <v>1/3</v>
          </cell>
          <cell r="I177">
            <v>0</v>
          </cell>
          <cell r="J177">
            <v>190.8</v>
          </cell>
          <cell r="K177">
            <v>198.2</v>
          </cell>
          <cell r="L177">
            <v>285.7</v>
          </cell>
          <cell r="M177">
            <v>332.2</v>
          </cell>
          <cell r="N177">
            <v>307.7</v>
          </cell>
          <cell r="O177">
            <v>90.1</v>
          </cell>
          <cell r="P177">
            <v>84.4</v>
          </cell>
          <cell r="Q177">
            <v>99.7</v>
          </cell>
          <cell r="S177">
            <v>25</v>
          </cell>
          <cell r="T177" t="str">
            <v>1</v>
          </cell>
          <cell r="U177">
            <v>1236.5999999999999</v>
          </cell>
          <cell r="V177">
            <v>1237.5</v>
          </cell>
          <cell r="W177">
            <v>734.5</v>
          </cell>
          <cell r="Y177">
            <v>3.1</v>
          </cell>
          <cell r="Z177">
            <v>1239.5</v>
          </cell>
          <cell r="AA177">
            <v>1240.4000000000001</v>
          </cell>
          <cell r="AB177">
            <v>736.9</v>
          </cell>
          <cell r="AD177">
            <v>3.4</v>
          </cell>
          <cell r="AE177">
            <v>1237</v>
          </cell>
          <cell r="AF177">
            <v>1238</v>
          </cell>
          <cell r="AG177">
            <v>735.7</v>
          </cell>
          <cell r="AI177">
            <v>3.1</v>
          </cell>
          <cell r="AK177">
            <v>1605.0235400000001</v>
          </cell>
          <cell r="AM177">
            <v>1722.2901900000002</v>
          </cell>
          <cell r="AO177">
            <v>1779.3939499999999</v>
          </cell>
          <cell r="AP177" t="str">
            <v>Muestra tomada en el elevador</v>
          </cell>
          <cell r="AQ177" t="str">
            <v>-</v>
          </cell>
          <cell r="AR177">
            <v>1777</v>
          </cell>
          <cell r="AS177">
            <v>3.2</v>
          </cell>
          <cell r="AV177">
            <v>2.4537645638824479</v>
          </cell>
          <cell r="BS177">
            <v>2.5790000000000002</v>
          </cell>
        </row>
        <row r="178">
          <cell r="A178">
            <v>176</v>
          </cell>
          <cell r="B178">
            <v>40290</v>
          </cell>
          <cell r="D178">
            <v>1671.3</v>
          </cell>
          <cell r="E178">
            <v>1592.8</v>
          </cell>
          <cell r="G178" t="str">
            <v>Parcheo elaboración de fallos en vías urbanas y rurales del municipio de Medellín; Consorcio Vial Santa Elena.</v>
          </cell>
          <cell r="H178" t="str">
            <v>2/3</v>
          </cell>
          <cell r="I178">
            <v>0</v>
          </cell>
          <cell r="J178">
            <v>194.2</v>
          </cell>
          <cell r="K178">
            <v>150.5</v>
          </cell>
          <cell r="L178">
            <v>330.2</v>
          </cell>
          <cell r="M178">
            <v>342.5</v>
          </cell>
          <cell r="N178">
            <v>290.10000000000002</v>
          </cell>
          <cell r="O178">
            <v>96.6</v>
          </cell>
          <cell r="P178">
            <v>88.2</v>
          </cell>
          <cell r="Q178">
            <v>100.5</v>
          </cell>
          <cell r="S178">
            <v>25</v>
          </cell>
          <cell r="T178" t="str">
            <v>1</v>
          </cell>
          <cell r="U178">
            <v>1235.8</v>
          </cell>
          <cell r="V178">
            <v>1237</v>
          </cell>
          <cell r="W178">
            <v>734.2</v>
          </cell>
          <cell r="Y178">
            <v>3</v>
          </cell>
          <cell r="Z178">
            <v>1236.3</v>
          </cell>
          <cell r="AA178">
            <v>1237</v>
          </cell>
          <cell r="AB178">
            <v>732.6</v>
          </cell>
          <cell r="AD178">
            <v>3.2</v>
          </cell>
          <cell r="AE178">
            <v>1234</v>
          </cell>
          <cell r="AF178">
            <v>1235.2</v>
          </cell>
          <cell r="AG178">
            <v>733.5</v>
          </cell>
          <cell r="AI178">
            <v>3.5</v>
          </cell>
          <cell r="AK178">
            <v>1488.7765999999999</v>
          </cell>
          <cell r="AM178">
            <v>1433.71226</v>
          </cell>
          <cell r="AO178">
            <v>1773.2756900000002</v>
          </cell>
          <cell r="AP178" t="str">
            <v>Muestra tomada en el elevador</v>
          </cell>
          <cell r="AQ178" t="str">
            <v>Muestra tomada en planta, en cojunto con el Laboratorio de AIM. (volqueta TOA 364)</v>
          </cell>
          <cell r="AR178">
            <v>1634</v>
          </cell>
          <cell r="AS178">
            <v>3.2</v>
          </cell>
          <cell r="AV178">
            <v>2.4489838013220333</v>
          </cell>
          <cell r="BS178">
            <v>2.5790000000000002</v>
          </cell>
        </row>
        <row r="179">
          <cell r="A179">
            <v>177</v>
          </cell>
          <cell r="B179">
            <v>40290</v>
          </cell>
          <cell r="D179">
            <v>1590.1</v>
          </cell>
          <cell r="E179">
            <v>1509.6</v>
          </cell>
          <cell r="G179" t="str">
            <v>Parcheo elaboración de fallos en vías urbanas y rurales del municipio de Medellín; Consorcio Vial Santa Elena.</v>
          </cell>
          <cell r="H179" t="str">
            <v>3/3</v>
          </cell>
          <cell r="I179">
            <v>0</v>
          </cell>
          <cell r="J179">
            <v>185</v>
          </cell>
          <cell r="K179">
            <v>153.30000000000001</v>
          </cell>
          <cell r="L179">
            <v>313</v>
          </cell>
          <cell r="M179">
            <v>316.3</v>
          </cell>
          <cell r="N179">
            <v>280.89999999999998</v>
          </cell>
          <cell r="O179">
            <v>87</v>
          </cell>
          <cell r="P179">
            <v>79.599999999999994</v>
          </cell>
          <cell r="Q179">
            <v>94.5</v>
          </cell>
          <cell r="S179">
            <v>25</v>
          </cell>
          <cell r="T179" t="str">
            <v>1</v>
          </cell>
          <cell r="AK179">
            <v>0</v>
          </cell>
          <cell r="AM179">
            <v>0</v>
          </cell>
          <cell r="AO179">
            <v>0</v>
          </cell>
          <cell r="AP179" t="str">
            <v>Muestra tomada en el elevador</v>
          </cell>
          <cell r="AQ179" t="str">
            <v>Muestra tomada en planta, en cojunto con el Laboratorio de AIM. (volqueta OLA 123)</v>
          </cell>
          <cell r="AR179">
            <v>0</v>
          </cell>
          <cell r="AS179">
            <v>0</v>
          </cell>
          <cell r="AV179">
            <v>0</v>
          </cell>
          <cell r="BS179">
            <v>2.5790000000000002</v>
          </cell>
        </row>
        <row r="180">
          <cell r="A180">
            <v>300</v>
          </cell>
          <cell r="B180">
            <v>40291</v>
          </cell>
          <cell r="D180">
            <v>1608.5</v>
          </cell>
          <cell r="E180">
            <v>1528.6</v>
          </cell>
          <cell r="G180" t="str">
            <v>Parcheo elaboración de fallos en vías urbanas y rurales del municipio de Medellín; Consorcio Vial Santa Elena.</v>
          </cell>
          <cell r="H180" t="str">
            <v>1/2</v>
          </cell>
          <cell r="I180">
            <v>0</v>
          </cell>
          <cell r="J180">
            <v>171.9</v>
          </cell>
          <cell r="K180">
            <v>171.8</v>
          </cell>
          <cell r="L180">
            <v>313.5</v>
          </cell>
          <cell r="M180">
            <v>328</v>
          </cell>
          <cell r="N180">
            <v>271.89999999999998</v>
          </cell>
          <cell r="O180">
            <v>92.4</v>
          </cell>
          <cell r="P180">
            <v>82.6</v>
          </cell>
          <cell r="Q180">
            <v>96.5</v>
          </cell>
          <cell r="S180">
            <v>25</v>
          </cell>
          <cell r="T180" t="str">
            <v>1</v>
          </cell>
          <cell r="U180">
            <v>1234.5999999999999</v>
          </cell>
          <cell r="V180">
            <v>1236.5</v>
          </cell>
          <cell r="W180">
            <v>732.1</v>
          </cell>
          <cell r="Y180">
            <v>2.8</v>
          </cell>
          <cell r="Z180">
            <v>1238</v>
          </cell>
          <cell r="AA180">
            <v>1239.9000000000001</v>
          </cell>
          <cell r="AB180">
            <v>733.1</v>
          </cell>
          <cell r="AD180">
            <v>3.2</v>
          </cell>
          <cell r="AE180">
            <v>1232</v>
          </cell>
          <cell r="AF180">
            <v>1234.5999999999999</v>
          </cell>
          <cell r="AG180">
            <v>730</v>
          </cell>
          <cell r="AI180">
            <v>3</v>
          </cell>
          <cell r="AK180">
            <v>1648.8710700000001</v>
          </cell>
          <cell r="AM180">
            <v>1649.8907799999999</v>
          </cell>
          <cell r="AO180">
            <v>1600.9447</v>
          </cell>
          <cell r="AP180" t="str">
            <v>Muestra tomada en el elevador</v>
          </cell>
          <cell r="AQ180" t="str">
            <v>Muestra tomada en planta, en cojunto con el Laboratorio de AIM. (volqueta TPZ807)</v>
          </cell>
          <cell r="AR180">
            <v>1692</v>
          </cell>
          <cell r="AS180">
            <v>3</v>
          </cell>
          <cell r="AV180">
            <v>2.4368435410476783</v>
          </cell>
          <cell r="BS180">
            <v>2.58</v>
          </cell>
        </row>
        <row r="181">
          <cell r="A181">
            <v>301</v>
          </cell>
          <cell r="B181">
            <v>40291</v>
          </cell>
          <cell r="D181">
            <v>1658.3</v>
          </cell>
          <cell r="E181">
            <v>1575</v>
          </cell>
          <cell r="G181" t="str">
            <v>Parcheo elaboración de fallos en vías urbanas y rurales del municipio de Medellín; Consorcio Vial Santa Elena.</v>
          </cell>
          <cell r="H181" t="str">
            <v>2/2</v>
          </cell>
          <cell r="I181">
            <v>0</v>
          </cell>
          <cell r="J181">
            <v>182</v>
          </cell>
          <cell r="K181">
            <v>158</v>
          </cell>
          <cell r="L181">
            <v>336.2</v>
          </cell>
          <cell r="M181">
            <v>340</v>
          </cell>
          <cell r="N181">
            <v>285.10000000000002</v>
          </cell>
          <cell r="O181">
            <v>93.1</v>
          </cell>
          <cell r="P181">
            <v>79.099999999999994</v>
          </cell>
          <cell r="Q181">
            <v>101.5</v>
          </cell>
          <cell r="S181">
            <v>25</v>
          </cell>
          <cell r="T181" t="str">
            <v>1</v>
          </cell>
          <cell r="U181">
            <v>1236.0999999999999</v>
          </cell>
          <cell r="V181">
            <v>1236.8</v>
          </cell>
          <cell r="W181">
            <v>733.7</v>
          </cell>
          <cell r="Y181">
            <v>3</v>
          </cell>
          <cell r="Z181">
            <v>1232.5999999999999</v>
          </cell>
          <cell r="AA181">
            <v>1234</v>
          </cell>
          <cell r="AB181">
            <v>729.6</v>
          </cell>
          <cell r="AD181">
            <v>2.8</v>
          </cell>
          <cell r="AE181">
            <v>1237.8</v>
          </cell>
          <cell r="AF181">
            <v>1240.3</v>
          </cell>
          <cell r="AG181">
            <v>731.5</v>
          </cell>
          <cell r="AI181">
            <v>3.6</v>
          </cell>
          <cell r="AK181">
            <v>1693.73831</v>
          </cell>
          <cell r="AM181">
            <v>1445.9487799999999</v>
          </cell>
          <cell r="AO181">
            <v>1562.1957200000002</v>
          </cell>
          <cell r="AP181" t="str">
            <v>Muestra tomada en el elevador</v>
          </cell>
          <cell r="AQ181" t="str">
            <v>Muestra tomada en planta, en cojunto con el Laboratorio de AIM. (volqueta OLB123)</v>
          </cell>
          <cell r="AR181">
            <v>1623</v>
          </cell>
          <cell r="AS181">
            <v>3.1</v>
          </cell>
          <cell r="AV181">
            <v>2.4373316589781262</v>
          </cell>
          <cell r="BS181">
            <v>2.58</v>
          </cell>
        </row>
        <row r="182">
          <cell r="A182">
            <v>302</v>
          </cell>
          <cell r="B182">
            <v>40292</v>
          </cell>
          <cell r="D182">
            <v>1642.9</v>
          </cell>
          <cell r="E182">
            <v>1562.9</v>
          </cell>
          <cell r="G182" t="str">
            <v>Consorcio Vial Santa Elena.</v>
          </cell>
          <cell r="H182" t="str">
            <v>1/2</v>
          </cell>
          <cell r="I182">
            <v>0</v>
          </cell>
          <cell r="J182">
            <v>201.9</v>
          </cell>
          <cell r="K182">
            <v>168.4</v>
          </cell>
          <cell r="L182">
            <v>304.7</v>
          </cell>
          <cell r="M182">
            <v>334.2</v>
          </cell>
          <cell r="N182">
            <v>277.10000000000002</v>
          </cell>
          <cell r="O182">
            <v>94.8</v>
          </cell>
          <cell r="P182">
            <v>83.4</v>
          </cell>
          <cell r="Q182">
            <v>98.4</v>
          </cell>
          <cell r="S182">
            <v>25</v>
          </cell>
          <cell r="T182" t="str">
            <v>1</v>
          </cell>
          <cell r="U182">
            <v>1234.7</v>
          </cell>
          <cell r="V182">
            <v>1235.3</v>
          </cell>
          <cell r="W182">
            <v>733.3</v>
          </cell>
          <cell r="Y182">
            <v>3.3</v>
          </cell>
          <cell r="Z182">
            <v>1236.4000000000001</v>
          </cell>
          <cell r="AA182">
            <v>1237.5</v>
          </cell>
          <cell r="AB182">
            <v>731.7</v>
          </cell>
          <cell r="AD182">
            <v>3.3</v>
          </cell>
          <cell r="AE182">
            <v>1235.4000000000001</v>
          </cell>
          <cell r="AF182">
            <v>1237.7</v>
          </cell>
          <cell r="AG182">
            <v>731.2</v>
          </cell>
          <cell r="AI182">
            <v>3.2</v>
          </cell>
          <cell r="AK182">
            <v>1592.78702</v>
          </cell>
          <cell r="AM182">
            <v>1563.21543</v>
          </cell>
          <cell r="AO182">
            <v>1483.6780500000002</v>
          </cell>
          <cell r="AP182" t="str">
            <v>Muestra tomada en el elevador</v>
          </cell>
          <cell r="AQ182" t="str">
            <v>-</v>
          </cell>
          <cell r="AR182">
            <v>1605</v>
          </cell>
          <cell r="AS182">
            <v>3.3</v>
          </cell>
          <cell r="AV182">
            <v>2.4405398140954153</v>
          </cell>
          <cell r="BS182">
            <v>2.577</v>
          </cell>
        </row>
        <row r="183">
          <cell r="A183">
            <v>181</v>
          </cell>
          <cell r="B183">
            <v>40292</v>
          </cell>
          <cell r="D183">
            <v>1647.4</v>
          </cell>
          <cell r="E183">
            <v>1562</v>
          </cell>
          <cell r="G183" t="str">
            <v>Consorcio Vial Santa Elena.</v>
          </cell>
          <cell r="H183" t="str">
            <v>2/2</v>
          </cell>
          <cell r="I183">
            <v>0</v>
          </cell>
          <cell r="J183">
            <v>204.5</v>
          </cell>
          <cell r="K183">
            <v>145.6</v>
          </cell>
          <cell r="L183">
            <v>310.3</v>
          </cell>
          <cell r="M183">
            <v>334.7</v>
          </cell>
          <cell r="N183">
            <v>291.5</v>
          </cell>
          <cell r="O183">
            <v>87.9</v>
          </cell>
          <cell r="P183">
            <v>84.7</v>
          </cell>
          <cell r="Q183">
            <v>102.8</v>
          </cell>
          <cell r="S183">
            <v>25</v>
          </cell>
          <cell r="T183" t="str">
            <v>1</v>
          </cell>
          <cell r="U183">
            <v>1238.4000000000001</v>
          </cell>
          <cell r="V183">
            <v>1239.0999999999999</v>
          </cell>
          <cell r="W183">
            <v>737.6</v>
          </cell>
          <cell r="Y183">
            <v>3.2</v>
          </cell>
          <cell r="Z183">
            <v>1236.5</v>
          </cell>
          <cell r="AA183">
            <v>1237.5999999999999</v>
          </cell>
          <cell r="AB183">
            <v>734.4</v>
          </cell>
          <cell r="AD183">
            <v>2.9</v>
          </cell>
          <cell r="AE183">
            <v>1237.3</v>
          </cell>
          <cell r="AF183">
            <v>1238.4000000000001</v>
          </cell>
          <cell r="AG183">
            <v>735.5</v>
          </cell>
          <cell r="AI183">
            <v>3.5</v>
          </cell>
          <cell r="AK183">
            <v>1701.8959900000002</v>
          </cell>
          <cell r="AM183">
            <v>1511.2102200000002</v>
          </cell>
          <cell r="AO183">
            <v>1670.2849799999999</v>
          </cell>
          <cell r="AP183" t="str">
            <v>Muestra tomada en la volqueta</v>
          </cell>
          <cell r="AQ183" t="str">
            <v>-</v>
          </cell>
          <cell r="AR183">
            <v>1701</v>
          </cell>
          <cell r="AS183">
            <v>3.2</v>
          </cell>
          <cell r="AV183">
            <v>2.4551294661743834</v>
          </cell>
          <cell r="BS183">
            <v>2.577</v>
          </cell>
        </row>
        <row r="184">
          <cell r="A184">
            <v>182</v>
          </cell>
          <cell r="B184">
            <v>40294</v>
          </cell>
          <cell r="D184">
            <v>1649.3</v>
          </cell>
          <cell r="E184">
            <v>1564.7</v>
          </cell>
          <cell r="G184" t="str">
            <v>Parcheo elaboración de fallos en vías urbanas y rurales del municipio de Medellín; Consorcio Vial Santa Elena.</v>
          </cell>
          <cell r="H184" t="str">
            <v>1/2</v>
          </cell>
          <cell r="I184">
            <v>0</v>
          </cell>
          <cell r="J184">
            <v>179.6</v>
          </cell>
          <cell r="K184">
            <v>165.4</v>
          </cell>
          <cell r="L184">
            <v>315.7</v>
          </cell>
          <cell r="M184">
            <v>363.5</v>
          </cell>
          <cell r="N184">
            <v>274.7</v>
          </cell>
          <cell r="O184">
            <v>84</v>
          </cell>
          <cell r="P184">
            <v>78.7</v>
          </cell>
          <cell r="Q184">
            <v>103.1</v>
          </cell>
          <cell r="S184">
            <v>25</v>
          </cell>
          <cell r="T184" t="str">
            <v>1</v>
          </cell>
          <cell r="U184">
            <v>1238.3</v>
          </cell>
          <cell r="V184">
            <v>1239</v>
          </cell>
          <cell r="W184">
            <v>736.4</v>
          </cell>
          <cell r="Y184">
            <v>2.9</v>
          </cell>
          <cell r="Z184">
            <v>1236.7</v>
          </cell>
          <cell r="AA184">
            <v>1237.8</v>
          </cell>
          <cell r="AB184">
            <v>732.1</v>
          </cell>
          <cell r="AD184">
            <v>3.1</v>
          </cell>
          <cell r="AE184">
            <v>1235.4000000000001</v>
          </cell>
          <cell r="AF184">
            <v>1236</v>
          </cell>
          <cell r="AG184">
            <v>732.1</v>
          </cell>
          <cell r="AI184">
            <v>3.1</v>
          </cell>
          <cell r="AK184">
            <v>1521.40732</v>
          </cell>
          <cell r="AM184">
            <v>1565.25485</v>
          </cell>
          <cell r="AO184">
            <v>1545.8803600000001</v>
          </cell>
          <cell r="AP184" t="str">
            <v>Muestra tomada en el elevador</v>
          </cell>
          <cell r="AQ184" t="str">
            <v>-</v>
          </cell>
          <cell r="AR184">
            <v>1606</v>
          </cell>
          <cell r="AS184">
            <v>3</v>
          </cell>
          <cell r="AV184">
            <v>2.4464851319683816</v>
          </cell>
          <cell r="BS184">
            <v>2.5790000000000002</v>
          </cell>
        </row>
        <row r="185">
          <cell r="A185">
            <v>183</v>
          </cell>
          <cell r="B185">
            <v>40294</v>
          </cell>
          <cell r="D185">
            <v>1667.6</v>
          </cell>
          <cell r="E185">
            <v>1578.4</v>
          </cell>
          <cell r="G185" t="str">
            <v>Parcheo elaboración de fallos en vías urbanas y rurales del municipio de Medellín; Consorcio Vial Santa Elena.</v>
          </cell>
          <cell r="H185" t="str">
            <v>2/2</v>
          </cell>
          <cell r="I185">
            <v>0</v>
          </cell>
          <cell r="J185">
            <v>206.6</v>
          </cell>
          <cell r="K185">
            <v>186.9</v>
          </cell>
          <cell r="L185">
            <v>274.8</v>
          </cell>
          <cell r="M185">
            <v>350.9</v>
          </cell>
          <cell r="N185">
            <v>296.7</v>
          </cell>
          <cell r="O185">
            <v>85.9</v>
          </cell>
          <cell r="P185">
            <v>81.5</v>
          </cell>
          <cell r="Q185">
            <v>95.1</v>
          </cell>
          <cell r="S185">
            <v>25</v>
          </cell>
          <cell r="T185" t="str">
            <v>1</v>
          </cell>
          <cell r="U185">
            <v>1237</v>
          </cell>
          <cell r="V185">
            <v>1237.5999999999999</v>
          </cell>
          <cell r="W185">
            <v>738.3</v>
          </cell>
          <cell r="Y185">
            <v>3.4</v>
          </cell>
          <cell r="Z185">
            <v>1236.9000000000001</v>
          </cell>
          <cell r="AA185">
            <v>1237.7</v>
          </cell>
          <cell r="AB185">
            <v>737.3</v>
          </cell>
          <cell r="AD185">
            <v>3.77</v>
          </cell>
          <cell r="AE185">
            <v>1235.5</v>
          </cell>
          <cell r="AF185">
            <v>1236.5</v>
          </cell>
          <cell r="AG185">
            <v>737.4</v>
          </cell>
          <cell r="AI185">
            <v>4.32</v>
          </cell>
          <cell r="AK185">
            <v>1687.6200500000002</v>
          </cell>
          <cell r="AM185">
            <v>1712.0930900000001</v>
          </cell>
          <cell r="AO185">
            <v>1689.6594700000001</v>
          </cell>
          <cell r="AP185" t="str">
            <v>Muestra tomada en la volqueta</v>
          </cell>
          <cell r="AQ185" t="str">
            <v>-</v>
          </cell>
          <cell r="AR185">
            <v>1790</v>
          </cell>
          <cell r="AS185">
            <v>3.8</v>
          </cell>
          <cell r="AV185">
            <v>2.4676764779459957</v>
          </cell>
          <cell r="BS185">
            <v>2.5790000000000002</v>
          </cell>
        </row>
        <row r="186">
          <cell r="A186">
            <v>184</v>
          </cell>
          <cell r="B186">
            <v>40295</v>
          </cell>
          <cell r="D186">
            <v>1656.9</v>
          </cell>
          <cell r="E186">
            <v>1569.2</v>
          </cell>
          <cell r="G186" t="str">
            <v>Parcheo elaboración de fallos en vías urbanas y rurales del municipio de Medellín; Consorcio Vial Santa Elena.</v>
          </cell>
          <cell r="H186" t="str">
            <v>1/2</v>
          </cell>
          <cell r="I186">
            <v>0</v>
          </cell>
          <cell r="J186">
            <v>188.4</v>
          </cell>
          <cell r="K186">
            <v>184.7</v>
          </cell>
          <cell r="L186">
            <v>243.6</v>
          </cell>
          <cell r="M186">
            <v>376.3</v>
          </cell>
          <cell r="N186">
            <v>289.89999999999998</v>
          </cell>
          <cell r="O186">
            <v>91.4</v>
          </cell>
          <cell r="P186">
            <v>83.6</v>
          </cell>
          <cell r="Q186">
            <v>111.3</v>
          </cell>
          <cell r="S186">
            <v>25</v>
          </cell>
          <cell r="T186" t="str">
            <v>1</v>
          </cell>
          <cell r="AP186" t="str">
            <v>Muestra tomada en el elevador</v>
          </cell>
          <cell r="AQ186" t="str">
            <v>-</v>
          </cell>
          <cell r="AR186">
            <v>0</v>
          </cell>
          <cell r="AS186">
            <v>0</v>
          </cell>
          <cell r="AV186">
            <v>0</v>
          </cell>
          <cell r="BS186">
            <v>2.5739999999999998</v>
          </cell>
        </row>
        <row r="187">
          <cell r="A187">
            <v>185</v>
          </cell>
          <cell r="B187">
            <v>40295</v>
          </cell>
          <cell r="D187">
            <v>1614</v>
          </cell>
          <cell r="E187">
            <v>1531.4</v>
          </cell>
          <cell r="G187" t="str">
            <v>Parcheo elaboración de fallos en vías urbanas y rurales del municipio de Medellín; Consorcio Vial Santa Elena.</v>
          </cell>
          <cell r="H187" t="str">
            <v>2/2</v>
          </cell>
          <cell r="I187">
            <v>0</v>
          </cell>
          <cell r="J187">
            <v>195.7</v>
          </cell>
          <cell r="K187">
            <v>220.4</v>
          </cell>
          <cell r="L187">
            <v>287.10000000000002</v>
          </cell>
          <cell r="M187">
            <v>326.39999999999998</v>
          </cell>
          <cell r="N187">
            <v>250.6</v>
          </cell>
          <cell r="O187">
            <v>81</v>
          </cell>
          <cell r="P187">
            <v>76.400000000000006</v>
          </cell>
          <cell r="Q187">
            <v>93.8</v>
          </cell>
          <cell r="S187">
            <v>25</v>
          </cell>
          <cell r="T187" t="str">
            <v>1</v>
          </cell>
          <cell r="AP187" t="str">
            <v>Muestra tomada en la volqueta</v>
          </cell>
          <cell r="AQ187" t="str">
            <v>-</v>
          </cell>
          <cell r="AR187">
            <v>0</v>
          </cell>
          <cell r="AS187">
            <v>0</v>
          </cell>
          <cell r="AV187">
            <v>0</v>
          </cell>
          <cell r="BS187">
            <v>2.5739999999999998</v>
          </cell>
        </row>
        <row r="188">
          <cell r="A188">
            <v>186</v>
          </cell>
          <cell r="B188" t="str">
            <v>Mezcla tstigos de marzo</v>
          </cell>
          <cell r="D188">
            <v>1589.9</v>
          </cell>
          <cell r="E188">
            <v>1507.8</v>
          </cell>
          <cell r="G188" t="str">
            <v>Parcheo elaboración de fallos en vías urbanas y rurales del municipio de Medellín.</v>
          </cell>
          <cell r="H188" t="str">
            <v>1/1</v>
          </cell>
          <cell r="I188">
            <v>0</v>
          </cell>
          <cell r="J188">
            <v>190.6</v>
          </cell>
          <cell r="K188">
            <v>167.8</v>
          </cell>
          <cell r="L188">
            <v>327.2</v>
          </cell>
          <cell r="M188">
            <v>325.8</v>
          </cell>
          <cell r="N188">
            <v>248.5</v>
          </cell>
          <cell r="O188">
            <v>76</v>
          </cell>
          <cell r="P188">
            <v>76.900000000000006</v>
          </cell>
          <cell r="Q188">
            <v>95</v>
          </cell>
          <cell r="S188">
            <v>25</v>
          </cell>
          <cell r="T188" t="str">
            <v>1</v>
          </cell>
          <cell r="U188">
            <v>1236.9000000000001</v>
          </cell>
          <cell r="V188">
            <v>1237.5999999999999</v>
          </cell>
          <cell r="W188">
            <v>732.8</v>
          </cell>
          <cell r="Y188">
            <v>2.7</v>
          </cell>
          <cell r="Z188">
            <v>1237.7</v>
          </cell>
          <cell r="AA188">
            <v>1240.8</v>
          </cell>
          <cell r="AB188">
            <v>730.8</v>
          </cell>
          <cell r="AD188">
            <v>3.3</v>
          </cell>
          <cell r="AE188">
            <v>1233.3</v>
          </cell>
          <cell r="AF188">
            <v>1235.2</v>
          </cell>
          <cell r="AG188">
            <v>728.8</v>
          </cell>
          <cell r="AI188">
            <v>2.9</v>
          </cell>
          <cell r="AK188">
            <v>1625.4177400000001</v>
          </cell>
          <cell r="AM188">
            <v>1384.7661800000001</v>
          </cell>
          <cell r="AO188">
            <v>1408.2195100000001</v>
          </cell>
          <cell r="AP188" t="str">
            <v>Meezcla de testigos del mes de marzo</v>
          </cell>
          <cell r="AQ188" t="str">
            <v>-</v>
          </cell>
          <cell r="AR188">
            <v>1517</v>
          </cell>
          <cell r="AS188">
            <v>3</v>
          </cell>
          <cell r="AV188">
            <v>2.4303924551899079</v>
          </cell>
          <cell r="BS188">
            <v>2.5739999999999998</v>
          </cell>
        </row>
        <row r="189">
          <cell r="A189">
            <v>187</v>
          </cell>
        </row>
        <row r="190">
          <cell r="A190">
            <v>188</v>
          </cell>
        </row>
        <row r="191">
          <cell r="A191">
            <v>189</v>
          </cell>
        </row>
        <row r="192">
          <cell r="A192">
            <v>190</v>
          </cell>
        </row>
        <row r="193">
          <cell r="A193">
            <v>191</v>
          </cell>
        </row>
        <row r="194">
          <cell r="A194">
            <v>192</v>
          </cell>
        </row>
        <row r="195">
          <cell r="A195">
            <v>193</v>
          </cell>
        </row>
        <row r="196">
          <cell r="A196">
            <v>194</v>
          </cell>
        </row>
        <row r="197">
          <cell r="A197">
            <v>195</v>
          </cell>
        </row>
        <row r="198">
          <cell r="A198">
            <v>196</v>
          </cell>
        </row>
        <row r="199">
          <cell r="A199">
            <v>197</v>
          </cell>
        </row>
        <row r="200">
          <cell r="A200">
            <v>198</v>
          </cell>
          <cell r="AR200">
            <v>0</v>
          </cell>
        </row>
        <row r="201">
          <cell r="A201">
            <v>199</v>
          </cell>
          <cell r="AR201">
            <v>0</v>
          </cell>
        </row>
        <row r="211">
          <cell r="AR211">
            <v>0</v>
          </cell>
        </row>
        <row r="212">
          <cell r="AR212">
            <v>0</v>
          </cell>
        </row>
        <row r="213">
          <cell r="AR213">
            <v>0</v>
          </cell>
        </row>
        <row r="214">
          <cell r="AR214">
            <v>0</v>
          </cell>
        </row>
        <row r="215">
          <cell r="AR215">
            <v>0</v>
          </cell>
        </row>
        <row r="216">
          <cell r="AR216">
            <v>0</v>
          </cell>
        </row>
        <row r="217">
          <cell r="B217">
            <v>40129</v>
          </cell>
          <cell r="D217">
            <v>1500.2</v>
          </cell>
          <cell r="E217">
            <v>1429.1</v>
          </cell>
          <cell r="G217" t="str">
            <v xml:space="preserve">Prueba en planta </v>
          </cell>
          <cell r="H217" t="str">
            <v>1/1</v>
          </cell>
          <cell r="I217">
            <v>0</v>
          </cell>
          <cell r="J217">
            <v>110.5</v>
          </cell>
          <cell r="K217">
            <v>150.9</v>
          </cell>
          <cell r="L217">
            <v>290.10000000000002</v>
          </cell>
          <cell r="M217">
            <v>365.4</v>
          </cell>
          <cell r="N217">
            <v>316.8</v>
          </cell>
          <cell r="O217">
            <v>95.1</v>
          </cell>
          <cell r="P217">
            <v>53.3</v>
          </cell>
          <cell r="Q217">
            <v>47</v>
          </cell>
          <cell r="S217">
            <v>25</v>
          </cell>
          <cell r="T217" t="str">
            <v>1</v>
          </cell>
          <cell r="U217">
            <v>1234.0999999999999</v>
          </cell>
          <cell r="V217">
            <v>1235.7</v>
          </cell>
          <cell r="W217">
            <v>717.2</v>
          </cell>
          <cell r="Y217">
            <v>3</v>
          </cell>
          <cell r="Z217">
            <v>1238.0999999999999</v>
          </cell>
          <cell r="AA217">
            <v>1240.2</v>
          </cell>
          <cell r="AB217">
            <v>717.5</v>
          </cell>
          <cell r="AD217">
            <v>3.1</v>
          </cell>
          <cell r="AE217">
            <v>1237.2</v>
          </cell>
          <cell r="AF217">
            <v>1240.3</v>
          </cell>
          <cell r="AG217">
            <v>720.4</v>
          </cell>
          <cell r="AI217">
            <v>2.9</v>
          </cell>
          <cell r="AK217">
            <v>1354.17488</v>
          </cell>
          <cell r="AM217">
            <v>1259.34185</v>
          </cell>
          <cell r="AO217">
            <v>1440.8502300000002</v>
          </cell>
          <cell r="AP217" t="str">
            <v>-</v>
          </cell>
          <cell r="AQ217" t="str">
            <v>-</v>
          </cell>
          <cell r="AR217">
            <v>1334</v>
          </cell>
          <cell r="AS217">
            <v>3</v>
          </cell>
          <cell r="AV217">
            <v>2.3692117657918699</v>
          </cell>
          <cell r="BS217">
            <v>2.593</v>
          </cell>
        </row>
        <row r="218">
          <cell r="B218">
            <v>40130</v>
          </cell>
          <cell r="D218">
            <v>1615.4</v>
          </cell>
          <cell r="E218">
            <v>1539.6</v>
          </cell>
          <cell r="G218" t="str">
            <v xml:space="preserve">Muestra en planta </v>
          </cell>
          <cell r="H218" t="str">
            <v>1/4</v>
          </cell>
          <cell r="I218">
            <v>0</v>
          </cell>
          <cell r="J218">
            <v>164.2</v>
          </cell>
          <cell r="K218">
            <v>173.3</v>
          </cell>
          <cell r="L218">
            <v>311.10000000000002</v>
          </cell>
          <cell r="M218">
            <v>334.9</v>
          </cell>
          <cell r="N218">
            <v>312.39999999999998</v>
          </cell>
          <cell r="O218">
            <v>112.3</v>
          </cell>
          <cell r="P218">
            <v>62.1</v>
          </cell>
          <cell r="Q218">
            <v>69.3</v>
          </cell>
          <cell r="T218">
            <v>0</v>
          </cell>
          <cell r="AK218">
            <v>0</v>
          </cell>
          <cell r="AM218">
            <v>0</v>
          </cell>
          <cell r="AO218">
            <v>0</v>
          </cell>
          <cell r="AP218" t="str">
            <v>Arena cono=12,4; arena lavada = 22,8; arena martillo = 19; 3/4" = 40,8 %</v>
          </cell>
          <cell r="AQ218" t="str">
            <v>-</v>
          </cell>
          <cell r="AR218">
            <v>0</v>
          </cell>
          <cell r="AS218">
            <v>0</v>
          </cell>
          <cell r="AV218">
            <v>0</v>
          </cell>
          <cell r="BS218">
            <v>2.593</v>
          </cell>
        </row>
        <row r="219">
          <cell r="B219">
            <v>40130</v>
          </cell>
          <cell r="D219">
            <v>1501.8</v>
          </cell>
          <cell r="E219">
            <v>1429.5</v>
          </cell>
          <cell r="G219" t="str">
            <v>Tomada en volqueta dumper</v>
          </cell>
          <cell r="H219" t="str">
            <v>2/4</v>
          </cell>
          <cell r="I219">
            <v>0</v>
          </cell>
          <cell r="J219">
            <v>96.5</v>
          </cell>
          <cell r="K219">
            <v>99.7</v>
          </cell>
          <cell r="L219">
            <v>242.8</v>
          </cell>
          <cell r="M219">
            <v>357.1</v>
          </cell>
          <cell r="N219">
            <v>340.9</v>
          </cell>
          <cell r="O219">
            <v>101.9</v>
          </cell>
          <cell r="P219">
            <v>88.5</v>
          </cell>
          <cell r="Q219">
            <v>102.1</v>
          </cell>
          <cell r="S219">
            <v>25</v>
          </cell>
          <cell r="T219" t="str">
            <v>1</v>
          </cell>
          <cell r="U219">
            <v>1230.4000000000001</v>
          </cell>
          <cell r="V219">
            <v>1231.3</v>
          </cell>
          <cell r="W219">
            <v>729</v>
          </cell>
          <cell r="Y219">
            <v>2.8</v>
          </cell>
          <cell r="Z219">
            <v>1228.3</v>
          </cell>
          <cell r="AA219">
            <v>1230.5999999999999</v>
          </cell>
          <cell r="AB219">
            <v>727.5</v>
          </cell>
          <cell r="AD219">
            <v>3.5</v>
          </cell>
          <cell r="AE219">
            <v>1218.9000000000001</v>
          </cell>
          <cell r="AF219">
            <v>1221.0999999999999</v>
          </cell>
          <cell r="AG219">
            <v>719.8</v>
          </cell>
          <cell r="AI219">
            <v>3.1</v>
          </cell>
          <cell r="AK219">
            <v>1835.4780000000001</v>
          </cell>
          <cell r="AM219">
            <v>1776.3348200000003</v>
          </cell>
          <cell r="AO219">
            <v>1584.62934</v>
          </cell>
          <cell r="AP219" t="str">
            <v>Arena cono=12,4; arena lavada = 22,8; arena martillo = 19; 3/4" = 40,8 %</v>
          </cell>
          <cell r="AQ219" t="str">
            <v>Índice plástico  = NP.</v>
          </cell>
          <cell r="AR219">
            <v>1812</v>
          </cell>
          <cell r="AS219">
            <v>3.1</v>
          </cell>
          <cell r="AV219">
            <v>2.4336850015014746</v>
          </cell>
          <cell r="BS219">
            <v>2.5882000000000001</v>
          </cell>
        </row>
        <row r="220">
          <cell r="B220">
            <v>40130</v>
          </cell>
          <cell r="D220">
            <v>1502.2</v>
          </cell>
          <cell r="E220">
            <v>1431.2</v>
          </cell>
          <cell r="G220" t="str">
            <v>Tomada en carpeta extendida en vía</v>
          </cell>
          <cell r="H220" t="str">
            <v>3/4</v>
          </cell>
          <cell r="I220">
            <v>0</v>
          </cell>
          <cell r="J220">
            <v>107.1</v>
          </cell>
          <cell r="K220">
            <v>143.69999999999999</v>
          </cell>
          <cell r="L220">
            <v>262.8</v>
          </cell>
          <cell r="M220">
            <v>335.1</v>
          </cell>
          <cell r="N220">
            <v>314.3</v>
          </cell>
          <cell r="O220">
            <v>107.9</v>
          </cell>
          <cell r="P220">
            <v>71.7</v>
          </cell>
          <cell r="Q220">
            <v>88.6</v>
          </cell>
          <cell r="T220">
            <v>0</v>
          </cell>
          <cell r="AK220">
            <v>0</v>
          </cell>
          <cell r="AM220">
            <v>0</v>
          </cell>
          <cell r="AO220">
            <v>0</v>
          </cell>
          <cell r="AP220" t="str">
            <v>Arena cono=12,4; arena lavada = 22,8; arena martillo = 19; 3/4" = 40,8 %</v>
          </cell>
          <cell r="AQ220" t="str">
            <v>-</v>
          </cell>
          <cell r="AR220">
            <v>0</v>
          </cell>
          <cell r="AS220">
            <v>0</v>
          </cell>
          <cell r="AV220">
            <v>0</v>
          </cell>
          <cell r="BS220">
            <v>2.593</v>
          </cell>
        </row>
        <row r="221">
          <cell r="B221">
            <v>40130</v>
          </cell>
          <cell r="D221">
            <v>1500.8</v>
          </cell>
          <cell r="E221">
            <v>1434.8</v>
          </cell>
          <cell r="G221" t="str">
            <v xml:space="preserve">Muestra en planta </v>
          </cell>
          <cell r="H221" t="str">
            <v>4/4</v>
          </cell>
          <cell r="I221">
            <v>0</v>
          </cell>
          <cell r="J221">
            <v>116.6</v>
          </cell>
          <cell r="K221">
            <v>179</v>
          </cell>
          <cell r="L221">
            <v>297.39999999999998</v>
          </cell>
          <cell r="M221">
            <v>340.5</v>
          </cell>
          <cell r="N221">
            <v>260.8</v>
          </cell>
          <cell r="O221">
            <v>81.2</v>
          </cell>
          <cell r="P221">
            <v>70.3</v>
          </cell>
          <cell r="Q221">
            <v>89</v>
          </cell>
          <cell r="T221">
            <v>0</v>
          </cell>
          <cell r="AK221">
            <v>0</v>
          </cell>
          <cell r="AM221">
            <v>0</v>
          </cell>
          <cell r="AO221">
            <v>0</v>
          </cell>
          <cell r="AP221" t="str">
            <v>Arena cono=12,4; arena lavada = 22,8; arena martillo = 19; 3/4" = 40,8 %</v>
          </cell>
          <cell r="AQ221" t="str">
            <v>-</v>
          </cell>
          <cell r="AR221">
            <v>0</v>
          </cell>
          <cell r="AS221">
            <v>0</v>
          </cell>
          <cell r="AV221">
            <v>0</v>
          </cell>
          <cell r="BS221">
            <v>2.6074000000000002</v>
          </cell>
        </row>
        <row r="222">
          <cell r="B222">
            <v>40137</v>
          </cell>
          <cell r="D222">
            <v>1200</v>
          </cell>
          <cell r="E222">
            <v>1147.7</v>
          </cell>
          <cell r="G222" t="str">
            <v xml:space="preserve">Prueba en planta </v>
          </cell>
          <cell r="I222">
            <v>0</v>
          </cell>
          <cell r="J222">
            <v>93.9</v>
          </cell>
          <cell r="K222">
            <v>155.80000000000001</v>
          </cell>
          <cell r="L222">
            <v>250.1</v>
          </cell>
          <cell r="M222">
            <v>243.3</v>
          </cell>
          <cell r="N222">
            <v>201.8</v>
          </cell>
          <cell r="O222">
            <v>67.3</v>
          </cell>
          <cell r="P222">
            <v>57.7</v>
          </cell>
          <cell r="Q222">
            <v>77.8</v>
          </cell>
          <cell r="T222">
            <v>0</v>
          </cell>
          <cell r="AK222">
            <v>0</v>
          </cell>
          <cell r="AM222">
            <v>0</v>
          </cell>
          <cell r="AO222">
            <v>0</v>
          </cell>
          <cell r="AP222" t="str">
            <v xml:space="preserve">Núcleo N º1 </v>
          </cell>
          <cell r="AQ222" t="str">
            <v>-</v>
          </cell>
          <cell r="AR222">
            <v>0</v>
          </cell>
          <cell r="AS222">
            <v>0</v>
          </cell>
          <cell r="AV222">
            <v>0</v>
          </cell>
          <cell r="BS222">
            <v>2.6074000000000002</v>
          </cell>
        </row>
        <row r="223">
          <cell r="B223">
            <v>40137</v>
          </cell>
          <cell r="D223">
            <v>1327.4</v>
          </cell>
          <cell r="E223">
            <v>1274.4000000000001</v>
          </cell>
          <cell r="G223" t="str">
            <v xml:space="preserve">Prueba en planta </v>
          </cell>
          <cell r="I223">
            <v>0</v>
          </cell>
          <cell r="J223">
            <v>102.3</v>
          </cell>
          <cell r="K223">
            <v>162.9</v>
          </cell>
          <cell r="L223">
            <v>273.8</v>
          </cell>
          <cell r="M223">
            <v>274.60000000000002</v>
          </cell>
          <cell r="N223">
            <v>227.1</v>
          </cell>
          <cell r="O223">
            <v>75.2</v>
          </cell>
          <cell r="P223">
            <v>69.099999999999994</v>
          </cell>
          <cell r="Q223">
            <v>89.4</v>
          </cell>
          <cell r="T223">
            <v>0</v>
          </cell>
          <cell r="AK223">
            <v>0</v>
          </cell>
          <cell r="AM223">
            <v>0</v>
          </cell>
          <cell r="AO223">
            <v>0</v>
          </cell>
          <cell r="AP223" t="str">
            <v>Núcleo N º2</v>
          </cell>
          <cell r="AQ223" t="str">
            <v>-</v>
          </cell>
          <cell r="AR223">
            <v>0</v>
          </cell>
          <cell r="AS223">
            <v>0</v>
          </cell>
          <cell r="AV223">
            <v>0</v>
          </cell>
          <cell r="BS223">
            <v>2.6265999999999998</v>
          </cell>
        </row>
        <row r="224">
          <cell r="B224">
            <v>40137</v>
          </cell>
          <cell r="D224">
            <v>952</v>
          </cell>
          <cell r="E224">
            <v>911</v>
          </cell>
          <cell r="G224" t="str">
            <v xml:space="preserve">Prueba en planta </v>
          </cell>
          <cell r="I224">
            <v>0</v>
          </cell>
          <cell r="J224">
            <v>80.099999999999994</v>
          </cell>
          <cell r="K224">
            <v>109.6</v>
          </cell>
          <cell r="L224">
            <v>195.1</v>
          </cell>
          <cell r="M224">
            <v>202.2</v>
          </cell>
          <cell r="N224">
            <v>159.9</v>
          </cell>
          <cell r="O224">
            <v>67</v>
          </cell>
          <cell r="P224">
            <v>36.799999999999997</v>
          </cell>
          <cell r="Q224">
            <v>60.3</v>
          </cell>
          <cell r="T224">
            <v>0</v>
          </cell>
          <cell r="AK224">
            <v>0</v>
          </cell>
          <cell r="AM224">
            <v>0</v>
          </cell>
          <cell r="AO224">
            <v>0</v>
          </cell>
          <cell r="AP224" t="str">
            <v>Núcleo N º5</v>
          </cell>
          <cell r="AQ224" t="str">
            <v>-</v>
          </cell>
          <cell r="AR224">
            <v>0</v>
          </cell>
          <cell r="AS224">
            <v>0</v>
          </cell>
          <cell r="AV224">
            <v>0</v>
          </cell>
          <cell r="BS224">
            <v>2.6122000000000001</v>
          </cell>
        </row>
        <row r="225">
          <cell r="B225">
            <v>40137</v>
          </cell>
          <cell r="D225">
            <v>1500.6</v>
          </cell>
          <cell r="E225">
            <v>1431.1</v>
          </cell>
          <cell r="G225" t="str">
            <v xml:space="preserve">Prueba en planta </v>
          </cell>
          <cell r="H225" t="str">
            <v>1/2</v>
          </cell>
          <cell r="I225">
            <v>0</v>
          </cell>
          <cell r="J225">
            <v>128.1</v>
          </cell>
          <cell r="K225">
            <v>142.30000000000001</v>
          </cell>
          <cell r="L225">
            <v>303.3</v>
          </cell>
          <cell r="M225">
            <v>368.3</v>
          </cell>
          <cell r="N225">
            <v>278.8</v>
          </cell>
          <cell r="O225">
            <v>76.400000000000006</v>
          </cell>
          <cell r="P225">
            <v>50.2</v>
          </cell>
          <cell r="Q225">
            <v>83.7</v>
          </cell>
          <cell r="S225">
            <v>25</v>
          </cell>
          <cell r="T225" t="str">
            <v>1</v>
          </cell>
          <cell r="U225">
            <v>1233.2</v>
          </cell>
          <cell r="V225">
            <v>1234.4000000000001</v>
          </cell>
          <cell r="W225">
            <v>725.8</v>
          </cell>
          <cell r="Y225">
            <v>2.8</v>
          </cell>
          <cell r="Z225">
            <v>1236.4000000000001</v>
          </cell>
          <cell r="AA225">
            <v>1239.0999999999999</v>
          </cell>
          <cell r="AB225">
            <v>728.8</v>
          </cell>
          <cell r="AD225">
            <v>2.9</v>
          </cell>
          <cell r="AE225">
            <v>1234.5999999999999</v>
          </cell>
          <cell r="AF225">
            <v>1227.4000000000001</v>
          </cell>
          <cell r="AG225">
            <v>725.3</v>
          </cell>
          <cell r="AI225">
            <v>3.2</v>
          </cell>
          <cell r="AK225">
            <v>1860.97075</v>
          </cell>
          <cell r="AM225">
            <v>1674.3638200000003</v>
          </cell>
          <cell r="AO225">
            <v>1581.5702100000001</v>
          </cell>
          <cell r="AP225" t="str">
            <v>Muestra tomada al descargar el silo</v>
          </cell>
          <cell r="AQ225" t="str">
            <v>-</v>
          </cell>
          <cell r="AR225">
            <v>1756</v>
          </cell>
          <cell r="AS225">
            <v>3</v>
          </cell>
          <cell r="AV225">
            <v>2.4283616960444991</v>
          </cell>
          <cell r="BS225">
            <v>2.597</v>
          </cell>
        </row>
        <row r="226">
          <cell r="B226">
            <v>40137</v>
          </cell>
          <cell r="D226">
            <v>1501.4</v>
          </cell>
          <cell r="E226">
            <v>1433.6</v>
          </cell>
          <cell r="G226" t="str">
            <v xml:space="preserve">Prueba en planta </v>
          </cell>
          <cell r="H226" t="str">
            <v>2/2</v>
          </cell>
          <cell r="I226">
            <v>0</v>
          </cell>
          <cell r="J226">
            <v>168.3</v>
          </cell>
          <cell r="K226">
            <v>171.3</v>
          </cell>
          <cell r="L226">
            <v>288.60000000000002</v>
          </cell>
          <cell r="M226">
            <v>337.4</v>
          </cell>
          <cell r="N226">
            <v>256</v>
          </cell>
          <cell r="O226">
            <v>79.400000000000006</v>
          </cell>
          <cell r="P226">
            <v>56</v>
          </cell>
          <cell r="Q226">
            <v>76.599999999999994</v>
          </cell>
          <cell r="T226">
            <v>0</v>
          </cell>
          <cell r="AP226" t="str">
            <v>Muestra tomada en el elevador</v>
          </cell>
          <cell r="AQ226" t="str">
            <v>-</v>
          </cell>
          <cell r="AR226">
            <v>0</v>
          </cell>
          <cell r="AS226">
            <v>0</v>
          </cell>
          <cell r="BS226">
            <v>2.6025999999999998</v>
          </cell>
        </row>
        <row r="228">
          <cell r="A228">
            <v>300</v>
          </cell>
          <cell r="B228">
            <v>40170</v>
          </cell>
          <cell r="D228">
            <v>1501.8</v>
          </cell>
          <cell r="E228">
            <v>1418.1</v>
          </cell>
          <cell r="G228" t="str">
            <v>Parcheo elaboración de fallos en vías urbanas y rurales del municipio de Medellín.</v>
          </cell>
          <cell r="H228" t="str">
            <v>2/2</v>
          </cell>
          <cell r="I228">
            <v>0</v>
          </cell>
          <cell r="J228">
            <v>116.2</v>
          </cell>
          <cell r="K228">
            <v>162.1</v>
          </cell>
          <cell r="L228">
            <v>280</v>
          </cell>
          <cell r="M228">
            <v>317.89999999999998</v>
          </cell>
          <cell r="N228">
            <v>275.3</v>
          </cell>
          <cell r="O228">
            <v>86.8</v>
          </cell>
          <cell r="P228">
            <v>79.099999999999994</v>
          </cell>
          <cell r="Q228">
            <v>100.7</v>
          </cell>
          <cell r="S228">
            <v>25</v>
          </cell>
          <cell r="T228" t="str">
            <v>1</v>
          </cell>
          <cell r="U228">
            <v>1240.0999999999999</v>
          </cell>
          <cell r="V228">
            <v>1240.8</v>
          </cell>
          <cell r="W228">
            <v>738.8</v>
          </cell>
          <cell r="Y228">
            <v>3.4</v>
          </cell>
          <cell r="Z228">
            <v>1243.3</v>
          </cell>
          <cell r="AA228">
            <v>1244.2</v>
          </cell>
          <cell r="AB228">
            <v>738.4</v>
          </cell>
          <cell r="AD228">
            <v>3.2</v>
          </cell>
          <cell r="AE228">
            <v>1235.9000000000001</v>
          </cell>
          <cell r="AF228">
            <v>1236.9000000000001</v>
          </cell>
          <cell r="AG228">
            <v>736.3</v>
          </cell>
          <cell r="AI228">
            <v>3.6</v>
          </cell>
          <cell r="AK228">
            <v>1625.4177400000001</v>
          </cell>
          <cell r="AM228">
            <v>1776.3348200000003</v>
          </cell>
          <cell r="AO228">
            <v>1632.5557100000003</v>
          </cell>
          <cell r="AP228" t="str">
            <v>Muestra tomada en la volqueta</v>
          </cell>
          <cell r="AQ228" t="str">
            <v>-</v>
          </cell>
          <cell r="AR228">
            <v>1752</v>
          </cell>
          <cell r="AS228">
            <v>3.4</v>
          </cell>
          <cell r="AV228">
            <v>2.4585351288392143</v>
          </cell>
          <cell r="BS228">
            <v>2.5497999999999998</v>
          </cell>
        </row>
        <row r="229">
          <cell r="A229">
            <v>301</v>
          </cell>
          <cell r="B229">
            <v>40190</v>
          </cell>
          <cell r="D229">
            <v>1493.8</v>
          </cell>
          <cell r="E229">
            <v>1415.3</v>
          </cell>
          <cell r="G229" t="str">
            <v>Parcheo elaboración de fallos en vías urbanas y rurales del municipio de Medellín.</v>
          </cell>
          <cell r="H229" t="str">
            <v>1/2</v>
          </cell>
          <cell r="I229">
            <v>0</v>
          </cell>
          <cell r="J229">
            <v>84</v>
          </cell>
          <cell r="K229">
            <v>182.4</v>
          </cell>
          <cell r="L229">
            <v>310.39999999999998</v>
          </cell>
          <cell r="M229">
            <v>318.2</v>
          </cell>
          <cell r="N229">
            <v>288.8</v>
          </cell>
          <cell r="O229">
            <v>83.7</v>
          </cell>
          <cell r="P229">
            <v>64.400000000000006</v>
          </cell>
          <cell r="Q229">
            <v>83.4</v>
          </cell>
          <cell r="S229">
            <v>25</v>
          </cell>
          <cell r="T229" t="str">
            <v>1</v>
          </cell>
          <cell r="U229">
            <v>1238.9000000000001</v>
          </cell>
          <cell r="V229">
            <v>1239.4000000000001</v>
          </cell>
          <cell r="W229">
            <v>735.5</v>
          </cell>
          <cell r="Y229">
            <v>3.7</v>
          </cell>
          <cell r="Z229">
            <v>1240.3</v>
          </cell>
          <cell r="AA229">
            <v>1240.9000000000001</v>
          </cell>
          <cell r="AB229">
            <v>737.1</v>
          </cell>
          <cell r="AD229">
            <v>3.1</v>
          </cell>
          <cell r="AE229">
            <v>1239.8</v>
          </cell>
          <cell r="AF229">
            <v>1240.8</v>
          </cell>
          <cell r="AG229">
            <v>737.4</v>
          </cell>
          <cell r="AI229">
            <v>3.3</v>
          </cell>
          <cell r="AK229">
            <v>1596.8658600000001</v>
          </cell>
          <cell r="AM229">
            <v>1488.7765999999999</v>
          </cell>
          <cell r="AO229">
            <v>1389.8647300000002</v>
          </cell>
          <cell r="AP229" t="str">
            <v>Muestra tomada en el elevador</v>
          </cell>
          <cell r="AQ229" t="str">
            <v>-</v>
          </cell>
          <cell r="AR229">
            <v>1553</v>
          </cell>
          <cell r="AS229">
            <v>3.4</v>
          </cell>
          <cell r="AV229">
            <v>2.4539228803601083</v>
          </cell>
          <cell r="BS229">
            <v>2.5619999999999998</v>
          </cell>
        </row>
        <row r="230">
          <cell r="A230">
            <v>302</v>
          </cell>
          <cell r="B230">
            <v>40190</v>
          </cell>
          <cell r="D230">
            <v>1502.4</v>
          </cell>
          <cell r="E230">
            <v>1426.5</v>
          </cell>
          <cell r="G230" t="str">
            <v>Parcheo elaboración de fallos en vías urbanas y rurales del municipio de Medellín.</v>
          </cell>
          <cell r="H230" t="str">
            <v>2/2</v>
          </cell>
          <cell r="I230">
            <v>0</v>
          </cell>
          <cell r="J230">
            <v>277</v>
          </cell>
          <cell r="K230">
            <v>211.5</v>
          </cell>
          <cell r="L230">
            <v>222.7</v>
          </cell>
          <cell r="M230">
            <v>262.39999999999998</v>
          </cell>
          <cell r="N230">
            <v>223.2</v>
          </cell>
          <cell r="O230">
            <v>76.7</v>
          </cell>
          <cell r="P230">
            <v>68.900000000000006</v>
          </cell>
          <cell r="Q230">
            <v>84.1</v>
          </cell>
          <cell r="S230">
            <v>25</v>
          </cell>
          <cell r="T230" t="str">
            <v>1</v>
          </cell>
          <cell r="AK230">
            <v>0</v>
          </cell>
          <cell r="AM230">
            <v>0</v>
          </cell>
          <cell r="AO230">
            <v>0</v>
          </cell>
          <cell r="AP230" t="str">
            <v>Muestra tomada en la volqueta</v>
          </cell>
          <cell r="AQ230" t="str">
            <v>-</v>
          </cell>
          <cell r="AR230">
            <v>0</v>
          </cell>
          <cell r="AS230">
            <v>0</v>
          </cell>
          <cell r="AV230">
            <v>0</v>
          </cell>
          <cell r="BS230">
            <v>2.5737999999999999</v>
          </cell>
        </row>
        <row r="231">
          <cell r="A231">
            <v>303</v>
          </cell>
          <cell r="B231">
            <v>40191</v>
          </cell>
          <cell r="D231">
            <v>1499.2</v>
          </cell>
          <cell r="E231">
            <v>1419.6</v>
          </cell>
          <cell r="G231" t="str">
            <v>Parcheo elaboración de fallos en vías urbanas y rurales del municipio de Medellín.</v>
          </cell>
          <cell r="H231" t="str">
            <v>1/2</v>
          </cell>
          <cell r="I231">
            <v>0</v>
          </cell>
          <cell r="J231">
            <v>207</v>
          </cell>
          <cell r="K231">
            <v>136.30000000000001</v>
          </cell>
          <cell r="L231">
            <v>263.89999999999998</v>
          </cell>
          <cell r="M231">
            <v>314.39999999999998</v>
          </cell>
          <cell r="N231">
            <v>244.5</v>
          </cell>
          <cell r="O231">
            <v>87.4</v>
          </cell>
          <cell r="P231">
            <v>74.8</v>
          </cell>
          <cell r="Q231">
            <v>91.3</v>
          </cell>
          <cell r="S231">
            <v>25</v>
          </cell>
          <cell r="T231" t="str">
            <v>1</v>
          </cell>
          <cell r="U231">
            <v>1237.5999999999999</v>
          </cell>
          <cell r="V231">
            <v>1238.7</v>
          </cell>
          <cell r="W231">
            <v>744.5</v>
          </cell>
          <cell r="Y231">
            <v>3.4</v>
          </cell>
          <cell r="Z231">
            <v>1239.8</v>
          </cell>
          <cell r="AA231">
            <v>1240.3</v>
          </cell>
          <cell r="AB231">
            <v>746.1</v>
          </cell>
          <cell r="AD231">
            <v>3.7</v>
          </cell>
          <cell r="AE231">
            <v>1238.9000000000001</v>
          </cell>
          <cell r="AF231">
            <v>1239.9000000000001</v>
          </cell>
          <cell r="AG231">
            <v>742</v>
          </cell>
          <cell r="AI231">
            <v>3.3</v>
          </cell>
          <cell r="AK231">
            <v>1790.61076</v>
          </cell>
          <cell r="AM231">
            <v>1891.5620500000002</v>
          </cell>
          <cell r="AO231">
            <v>1506.11167</v>
          </cell>
          <cell r="AP231" t="str">
            <v>Muestra tomada en el elevador</v>
          </cell>
          <cell r="AQ231" t="str">
            <v>-</v>
          </cell>
          <cell r="AR231">
            <v>1851</v>
          </cell>
          <cell r="AS231">
            <v>3.5</v>
          </cell>
          <cell r="AV231">
            <v>2.4930866209210483</v>
          </cell>
          <cell r="BS231">
            <v>2.5569999999999999</v>
          </cell>
        </row>
        <row r="232">
          <cell r="A232">
            <v>304</v>
          </cell>
          <cell r="B232">
            <v>40191</v>
          </cell>
          <cell r="D232">
            <v>1493.4</v>
          </cell>
          <cell r="E232">
            <v>1415.5</v>
          </cell>
          <cell r="G232" t="str">
            <v>Parcheo elaboración de fallos en vías urbanas y rurales del municipio de Medellín.</v>
          </cell>
          <cell r="H232" t="str">
            <v>2/2</v>
          </cell>
          <cell r="I232">
            <v>0</v>
          </cell>
          <cell r="J232">
            <v>205.3</v>
          </cell>
          <cell r="K232">
            <v>168.7</v>
          </cell>
          <cell r="L232">
            <v>235.8</v>
          </cell>
          <cell r="M232">
            <v>311</v>
          </cell>
          <cell r="N232">
            <v>240.8</v>
          </cell>
          <cell r="O232">
            <v>82.5</v>
          </cell>
          <cell r="P232">
            <v>75</v>
          </cell>
          <cell r="Q232">
            <v>96.4</v>
          </cell>
          <cell r="S232">
            <v>25</v>
          </cell>
          <cell r="T232" t="str">
            <v>1</v>
          </cell>
          <cell r="AI232">
            <v>3.3</v>
          </cell>
          <cell r="AK232">
            <v>0</v>
          </cell>
          <cell r="AM232">
            <v>0</v>
          </cell>
          <cell r="AO232">
            <v>1506.11167</v>
          </cell>
          <cell r="AP232" t="str">
            <v>Muestra tomada en la volqueta</v>
          </cell>
          <cell r="AR232">
            <v>0</v>
          </cell>
          <cell r="AS232">
            <v>0</v>
          </cell>
          <cell r="AV232">
            <v>0</v>
          </cell>
          <cell r="BS232">
            <v>2.569</v>
          </cell>
        </row>
        <row r="233">
          <cell r="A233">
            <v>305</v>
          </cell>
          <cell r="B233">
            <v>40192</v>
          </cell>
          <cell r="D233">
            <v>1501.8</v>
          </cell>
          <cell r="E233">
            <v>1426.4</v>
          </cell>
          <cell r="G233" t="str">
            <v>Parcheo elaboración de fallos en vías urbanas y rurales del municipio de Medellín.</v>
          </cell>
          <cell r="H233" t="str">
            <v>1/2</v>
          </cell>
          <cell r="I233">
            <v>0</v>
          </cell>
          <cell r="J233">
            <v>140.19999999999999</v>
          </cell>
          <cell r="K233">
            <v>177.2</v>
          </cell>
          <cell r="L233">
            <v>268.8</v>
          </cell>
          <cell r="M233">
            <v>315.5</v>
          </cell>
          <cell r="N233">
            <v>252.2</v>
          </cell>
          <cell r="O233">
            <v>88.1</v>
          </cell>
          <cell r="P233">
            <v>79.2</v>
          </cell>
          <cell r="Q233">
            <v>105.2</v>
          </cell>
          <cell r="S233">
            <v>25</v>
          </cell>
          <cell r="T233" t="str">
            <v>1</v>
          </cell>
          <cell r="U233">
            <v>1235.7</v>
          </cell>
          <cell r="V233">
            <v>1236.5999999999999</v>
          </cell>
          <cell r="W233">
            <v>742.6</v>
          </cell>
          <cell r="Y233">
            <v>3.1</v>
          </cell>
          <cell r="Z233">
            <v>1238.2</v>
          </cell>
          <cell r="AA233">
            <v>1239.0999999999999</v>
          </cell>
          <cell r="AB233">
            <v>744</v>
          </cell>
          <cell r="AD233">
            <v>3.3</v>
          </cell>
          <cell r="AE233">
            <v>1236.8</v>
          </cell>
          <cell r="AF233">
            <v>1237.8</v>
          </cell>
          <cell r="AG233">
            <v>740.8</v>
          </cell>
          <cell r="AI233">
            <v>3.4</v>
          </cell>
          <cell r="AK233">
            <v>1731.46758</v>
          </cell>
          <cell r="AM233">
            <v>1792.6501799999999</v>
          </cell>
          <cell r="AO233">
            <v>1625.4177400000001</v>
          </cell>
          <cell r="AP233" t="str">
            <v>Muestra tomada en la volqueta</v>
          </cell>
          <cell r="AR233">
            <v>1837</v>
          </cell>
          <cell r="AS233">
            <v>3.3</v>
          </cell>
          <cell r="AV233">
            <v>2.4896487804832579</v>
          </cell>
          <cell r="BS233">
            <v>2.58</v>
          </cell>
        </row>
        <row r="234">
          <cell r="A234">
            <v>306</v>
          </cell>
          <cell r="B234">
            <v>40192</v>
          </cell>
          <cell r="D234">
            <v>1500.5</v>
          </cell>
          <cell r="E234">
            <v>1419.5</v>
          </cell>
          <cell r="G234" t="str">
            <v>Parcheo elaboración de fallos en vías urbanas y rurales del municipio de Medellín.</v>
          </cell>
          <cell r="H234" t="str">
            <v>2/2</v>
          </cell>
          <cell r="I234">
            <v>0</v>
          </cell>
          <cell r="J234">
            <v>120</v>
          </cell>
          <cell r="K234">
            <v>175.1</v>
          </cell>
          <cell r="L234">
            <v>256.60000000000002</v>
          </cell>
          <cell r="M234">
            <v>325.5</v>
          </cell>
          <cell r="N234">
            <v>267.2</v>
          </cell>
          <cell r="O234">
            <v>89.2</v>
          </cell>
          <cell r="P234">
            <v>80.2</v>
          </cell>
          <cell r="Q234">
            <v>105.7</v>
          </cell>
          <cell r="S234">
            <v>25</v>
          </cell>
          <cell r="T234" t="str">
            <v>1</v>
          </cell>
          <cell r="U234">
            <v>1237.5</v>
          </cell>
          <cell r="V234">
            <v>1238.5</v>
          </cell>
          <cell r="W234">
            <v>739.5</v>
          </cell>
          <cell r="Y234">
            <v>3.7</v>
          </cell>
          <cell r="Z234">
            <v>1239.5</v>
          </cell>
          <cell r="AA234">
            <v>1240.5</v>
          </cell>
          <cell r="AB234">
            <v>742.1</v>
          </cell>
          <cell r="AD234">
            <v>3.8</v>
          </cell>
          <cell r="AE234">
            <v>1237.5</v>
          </cell>
          <cell r="AF234">
            <v>1238.2</v>
          </cell>
          <cell r="AG234">
            <v>742.7</v>
          </cell>
          <cell r="AI234">
            <v>3.3</v>
          </cell>
          <cell r="AK234">
            <v>1670.2849799999999</v>
          </cell>
          <cell r="AM234">
            <v>1614.20093</v>
          </cell>
          <cell r="AO234">
            <v>1506.11167</v>
          </cell>
          <cell r="AQ234" t="str">
            <v>-</v>
          </cell>
          <cell r="AR234">
            <v>1695</v>
          </cell>
          <cell r="AS234">
            <v>3.6</v>
          </cell>
          <cell r="AV234">
            <v>2.4808540417228544</v>
          </cell>
          <cell r="BS234">
            <v>2.58</v>
          </cell>
        </row>
        <row r="235">
          <cell r="A235">
            <v>307</v>
          </cell>
          <cell r="B235">
            <v>40193</v>
          </cell>
          <cell r="D235">
            <v>1503.4</v>
          </cell>
          <cell r="E235">
            <v>1427.1</v>
          </cell>
          <cell r="G235" t="str">
            <v>Parcheo elaboración de fallos en vías urbanas y rurales del municipio de Medellín.</v>
          </cell>
          <cell r="H235" t="str">
            <v>1/2</v>
          </cell>
          <cell r="I235">
            <v>0</v>
          </cell>
          <cell r="J235">
            <v>151</v>
          </cell>
          <cell r="K235">
            <v>156.4</v>
          </cell>
          <cell r="L235">
            <v>306.60000000000002</v>
          </cell>
          <cell r="M235">
            <v>305.89999999999998</v>
          </cell>
          <cell r="N235">
            <v>258.7</v>
          </cell>
          <cell r="O235">
            <v>81.2</v>
          </cell>
          <cell r="P235">
            <v>74.900000000000006</v>
          </cell>
          <cell r="Q235">
            <v>92.4</v>
          </cell>
          <cell r="S235">
            <v>25</v>
          </cell>
          <cell r="T235" t="str">
            <v>1</v>
          </cell>
          <cell r="U235">
            <v>1240</v>
          </cell>
          <cell r="V235">
            <v>1241.0999999999999</v>
          </cell>
          <cell r="W235">
            <v>745.3</v>
          </cell>
          <cell r="Y235">
            <v>3.11</v>
          </cell>
          <cell r="Z235">
            <v>1237.8</v>
          </cell>
          <cell r="AA235">
            <v>1238.4000000000001</v>
          </cell>
          <cell r="AB235">
            <v>741.2</v>
          </cell>
          <cell r="AD235">
            <v>2.81</v>
          </cell>
          <cell r="AE235">
            <v>1238.0999999999999</v>
          </cell>
          <cell r="AF235">
            <v>1239.3</v>
          </cell>
          <cell r="AG235">
            <v>739.4</v>
          </cell>
          <cell r="AI235">
            <v>3.07</v>
          </cell>
          <cell r="AK235">
            <v>1593.8067300000002</v>
          </cell>
          <cell r="AM235">
            <v>1529.5650000000001</v>
          </cell>
          <cell r="AO235">
            <v>1602.9841200000001</v>
          </cell>
          <cell r="AP235" t="str">
            <v>Muestra tomada en el elevador</v>
          </cell>
          <cell r="AQ235" t="str">
            <v>-</v>
          </cell>
          <cell r="AR235">
            <v>1673</v>
          </cell>
          <cell r="AS235">
            <v>3</v>
          </cell>
          <cell r="AV235">
            <v>2.4818011833037601</v>
          </cell>
          <cell r="BS235">
            <v>2.58</v>
          </cell>
        </row>
        <row r="236">
          <cell r="A236">
            <v>308</v>
          </cell>
          <cell r="B236">
            <v>40193</v>
          </cell>
          <cell r="D236">
            <v>1501.5</v>
          </cell>
          <cell r="E236">
            <v>1420.3</v>
          </cell>
          <cell r="G236" t="str">
            <v>Parcheo elaboración de fallos en vías urbanas y rurales del municipio de Medellín.</v>
          </cell>
          <cell r="H236" t="str">
            <v>2/2</v>
          </cell>
          <cell r="I236">
            <v>0</v>
          </cell>
          <cell r="J236">
            <v>117.4</v>
          </cell>
          <cell r="K236">
            <v>121</v>
          </cell>
          <cell r="L236">
            <v>282.10000000000002</v>
          </cell>
          <cell r="M236">
            <v>341.8</v>
          </cell>
          <cell r="N236">
            <v>285.2</v>
          </cell>
          <cell r="O236">
            <v>85.3</v>
          </cell>
          <cell r="P236">
            <v>79.599999999999994</v>
          </cell>
          <cell r="Q236">
            <v>107.9</v>
          </cell>
          <cell r="S236">
            <v>25</v>
          </cell>
          <cell r="T236" t="str">
            <v>1</v>
          </cell>
          <cell r="AK236">
            <v>0</v>
          </cell>
          <cell r="AM236">
            <v>0</v>
          </cell>
          <cell r="AO236">
            <v>0</v>
          </cell>
          <cell r="AP236" t="str">
            <v>Muestra tomada en la volqueta</v>
          </cell>
          <cell r="AQ236" t="str">
            <v>-</v>
          </cell>
          <cell r="AR236">
            <v>0</v>
          </cell>
          <cell r="AS236">
            <v>0</v>
          </cell>
          <cell r="AV236">
            <v>0</v>
          </cell>
          <cell r="BS236">
            <v>2.58</v>
          </cell>
        </row>
        <row r="237">
          <cell r="A237">
            <v>309</v>
          </cell>
          <cell r="B237">
            <v>40196</v>
          </cell>
          <cell r="D237">
            <v>1500.9</v>
          </cell>
          <cell r="E237">
            <v>1428.4</v>
          </cell>
          <cell r="G237" t="str">
            <v>Parcheo elaboración de fallos en vías urbanas y rurales del municipio de Medellín.</v>
          </cell>
          <cell r="H237" t="str">
            <v>1/2</v>
          </cell>
          <cell r="I237">
            <v>0</v>
          </cell>
          <cell r="J237">
            <v>116.2</v>
          </cell>
          <cell r="K237">
            <v>170.6</v>
          </cell>
          <cell r="L237">
            <v>351.2</v>
          </cell>
          <cell r="M237">
            <v>303.5</v>
          </cell>
          <cell r="N237">
            <v>237.7</v>
          </cell>
          <cell r="O237">
            <v>83.3</v>
          </cell>
          <cell r="P237">
            <v>72</v>
          </cell>
          <cell r="Q237">
            <v>93.9</v>
          </cell>
          <cell r="S237">
            <v>25</v>
          </cell>
          <cell r="T237" t="str">
            <v>1</v>
          </cell>
          <cell r="U237">
            <v>1235.7</v>
          </cell>
          <cell r="V237">
            <v>1237</v>
          </cell>
          <cell r="W237">
            <v>737.2</v>
          </cell>
          <cell r="Y237">
            <v>2.9</v>
          </cell>
          <cell r="Z237">
            <v>1237.4000000000001</v>
          </cell>
          <cell r="AA237">
            <v>1239.4000000000001</v>
          </cell>
          <cell r="AB237">
            <v>733.8</v>
          </cell>
          <cell r="AD237">
            <v>3.2</v>
          </cell>
          <cell r="AE237">
            <v>1235.5999999999999</v>
          </cell>
          <cell r="AF237">
            <v>1237.8</v>
          </cell>
          <cell r="AG237">
            <v>736</v>
          </cell>
          <cell r="AI237">
            <v>3.4</v>
          </cell>
          <cell r="AK237">
            <v>1760.0194600000002</v>
          </cell>
          <cell r="AM237">
            <v>1508.1510900000001</v>
          </cell>
          <cell r="AO237">
            <v>1725.3493200000003</v>
          </cell>
          <cell r="AP237" t="str">
            <v>Muestra tomada en el elevador</v>
          </cell>
          <cell r="AQ237" t="str">
            <v>-</v>
          </cell>
          <cell r="AR237">
            <v>1741</v>
          </cell>
          <cell r="AS237">
            <v>3.2</v>
          </cell>
          <cell r="AV237">
            <v>2.4535070350426857</v>
          </cell>
          <cell r="BS237">
            <v>2.5960000000000001</v>
          </cell>
        </row>
        <row r="238">
          <cell r="A238">
            <v>310</v>
          </cell>
          <cell r="B238">
            <v>40196</v>
          </cell>
          <cell r="D238">
            <v>1502.1</v>
          </cell>
          <cell r="E238">
            <v>1429</v>
          </cell>
          <cell r="G238" t="str">
            <v>Parcheo elaboración de fallos en vías urbanas y rurales del municipio de Medellín.</v>
          </cell>
          <cell r="H238" t="str">
            <v>2/2</v>
          </cell>
          <cell r="I238">
            <v>0</v>
          </cell>
          <cell r="J238">
            <v>129.69999999999999</v>
          </cell>
          <cell r="K238">
            <v>173.5</v>
          </cell>
          <cell r="L238">
            <v>333.6</v>
          </cell>
          <cell r="M238">
            <v>291.2</v>
          </cell>
          <cell r="N238">
            <v>246.2</v>
          </cell>
          <cell r="O238">
            <v>91.4</v>
          </cell>
          <cell r="P238">
            <v>66.7</v>
          </cell>
          <cell r="Q238">
            <v>96.7</v>
          </cell>
          <cell r="S238">
            <v>25</v>
          </cell>
          <cell r="T238" t="str">
            <v>1</v>
          </cell>
          <cell r="U238">
            <v>1231.4000000000001</v>
          </cell>
          <cell r="V238">
            <v>1234.5</v>
          </cell>
          <cell r="W238">
            <v>733.4</v>
          </cell>
          <cell r="Y238">
            <v>2.9</v>
          </cell>
          <cell r="Z238">
            <v>1232.2</v>
          </cell>
          <cell r="AA238">
            <v>1233.7</v>
          </cell>
          <cell r="AB238">
            <v>737.1</v>
          </cell>
          <cell r="AD238">
            <v>3.8</v>
          </cell>
          <cell r="AE238">
            <v>1230.5999999999999</v>
          </cell>
          <cell r="AF238">
            <v>1233.2</v>
          </cell>
          <cell r="AG238">
            <v>732.8</v>
          </cell>
          <cell r="AI238">
            <v>3.1</v>
          </cell>
          <cell r="AK238">
            <v>1592.78702</v>
          </cell>
          <cell r="AM238">
            <v>1929.2913200000003</v>
          </cell>
          <cell r="AO238">
            <v>1796.7290200000002</v>
          </cell>
          <cell r="AP238" t="str">
            <v>Muestra tomada en la volqueta</v>
          </cell>
          <cell r="AQ238" t="str">
            <v>-</v>
          </cell>
          <cell r="AR238">
            <v>1873</v>
          </cell>
          <cell r="AS238">
            <v>3.3</v>
          </cell>
          <cell r="AV238">
            <v>2.4587533823873238</v>
          </cell>
          <cell r="BS238">
            <v>2.5960000000000001</v>
          </cell>
        </row>
        <row r="239">
          <cell r="A239">
            <v>311</v>
          </cell>
          <cell r="B239">
            <v>40197</v>
          </cell>
          <cell r="D239">
            <v>1500.7</v>
          </cell>
          <cell r="E239">
            <v>1432.7</v>
          </cell>
          <cell r="G239" t="str">
            <v>Parcheo elaboración de fallos en vías urbanas y rurales del municipio de Medellín.</v>
          </cell>
          <cell r="H239" t="str">
            <v>1/2</v>
          </cell>
          <cell r="I239">
            <v>0</v>
          </cell>
          <cell r="J239">
            <v>207.6</v>
          </cell>
          <cell r="K239">
            <v>181.7</v>
          </cell>
          <cell r="L239">
            <v>284.10000000000002</v>
          </cell>
          <cell r="M239">
            <v>294.2</v>
          </cell>
          <cell r="N239">
            <v>230.7</v>
          </cell>
          <cell r="O239">
            <v>78.7</v>
          </cell>
          <cell r="P239">
            <v>66.900000000000006</v>
          </cell>
          <cell r="Q239">
            <v>88.8</v>
          </cell>
          <cell r="S239">
            <v>25</v>
          </cell>
          <cell r="T239" t="str">
            <v>1</v>
          </cell>
          <cell r="U239">
            <v>1238.7</v>
          </cell>
          <cell r="V239">
            <v>1239.5999999999999</v>
          </cell>
          <cell r="W239">
            <v>737.4</v>
          </cell>
          <cell r="Y239">
            <v>3.1</v>
          </cell>
          <cell r="Z239">
            <v>1236.7</v>
          </cell>
          <cell r="AA239">
            <v>1238.5999999999999</v>
          </cell>
          <cell r="AB239">
            <v>738.5</v>
          </cell>
          <cell r="AD239">
            <v>3.2</v>
          </cell>
          <cell r="AE239">
            <v>1236.3</v>
          </cell>
          <cell r="AF239">
            <v>1238.7</v>
          </cell>
          <cell r="AG239">
            <v>737</v>
          </cell>
          <cell r="AI239">
            <v>3.5</v>
          </cell>
          <cell r="AK239">
            <v>1780.4136600000002</v>
          </cell>
          <cell r="AM239">
            <v>1775.31511</v>
          </cell>
          <cell r="AO239">
            <v>1488.7765999999999</v>
          </cell>
          <cell r="AP239" t="str">
            <v>Muestra tomada en el elevador</v>
          </cell>
          <cell r="AQ239" t="str">
            <v>-</v>
          </cell>
          <cell r="AR239">
            <v>1764</v>
          </cell>
          <cell r="AS239">
            <v>3.3</v>
          </cell>
          <cell r="AV239">
            <v>2.460672836822801</v>
          </cell>
          <cell r="BS239">
            <v>2.5960000000000001</v>
          </cell>
        </row>
        <row r="240">
          <cell r="A240">
            <v>312</v>
          </cell>
          <cell r="B240">
            <v>40197</v>
          </cell>
          <cell r="D240">
            <v>1501.1</v>
          </cell>
          <cell r="E240">
            <v>1430.2</v>
          </cell>
          <cell r="G240" t="str">
            <v>Parcheo elaboración de fallos en vías urbanas y rurales del municipio de Medellín.</v>
          </cell>
          <cell r="H240" t="str">
            <v>2/2</v>
          </cell>
          <cell r="I240">
            <v>0</v>
          </cell>
          <cell r="J240">
            <v>167.3</v>
          </cell>
          <cell r="K240">
            <v>143.5</v>
          </cell>
          <cell r="L240">
            <v>312.10000000000002</v>
          </cell>
          <cell r="M240">
            <v>305.2</v>
          </cell>
          <cell r="N240">
            <v>257.89999999999998</v>
          </cell>
          <cell r="O240">
            <v>89.8</v>
          </cell>
          <cell r="P240">
            <v>63.9</v>
          </cell>
          <cell r="Q240">
            <v>90.5</v>
          </cell>
          <cell r="S240">
            <v>25</v>
          </cell>
          <cell r="T240" t="str">
            <v>1</v>
          </cell>
          <cell r="U240">
            <v>1235.8</v>
          </cell>
          <cell r="V240">
            <v>1237</v>
          </cell>
          <cell r="W240">
            <v>737</v>
          </cell>
          <cell r="Y240">
            <v>3.1</v>
          </cell>
          <cell r="Z240">
            <v>1236.8</v>
          </cell>
          <cell r="AA240">
            <v>1237.7</v>
          </cell>
          <cell r="AB240">
            <v>735.2</v>
          </cell>
          <cell r="AD240">
            <v>2.9</v>
          </cell>
          <cell r="AE240">
            <v>1240.5</v>
          </cell>
          <cell r="AF240">
            <v>1242.3</v>
          </cell>
          <cell r="AG240">
            <v>738.2</v>
          </cell>
          <cell r="AI240">
            <v>3</v>
          </cell>
          <cell r="AK240">
            <v>1875.2466900000002</v>
          </cell>
          <cell r="AM240">
            <v>1725.3493200000003</v>
          </cell>
          <cell r="AO240">
            <v>1805.9064100000001</v>
          </cell>
          <cell r="AP240" t="str">
            <v>Muestra tomada en la volqueta</v>
          </cell>
          <cell r="AQ240" t="str">
            <v>-</v>
          </cell>
          <cell r="AR240">
            <v>1886</v>
          </cell>
          <cell r="AS240">
            <v>3</v>
          </cell>
          <cell r="AV240">
            <v>2.4573627273920589</v>
          </cell>
          <cell r="BS240">
            <v>2.6059999999999999</v>
          </cell>
        </row>
        <row r="241">
          <cell r="A241">
            <v>313</v>
          </cell>
          <cell r="B241">
            <v>40198</v>
          </cell>
          <cell r="D241">
            <v>1501.3</v>
          </cell>
          <cell r="E241">
            <v>1428.6</v>
          </cell>
          <cell r="G241" t="str">
            <v>Parcheo elaboración de fallos en vías urbanas y rurales del municipio de Medellín.</v>
          </cell>
          <cell r="H241" t="str">
            <v>1/2</v>
          </cell>
          <cell r="I241">
            <v>0</v>
          </cell>
          <cell r="J241">
            <v>161.19999999999999</v>
          </cell>
          <cell r="K241">
            <v>160.19999999999999</v>
          </cell>
          <cell r="L241">
            <v>311.7</v>
          </cell>
          <cell r="M241">
            <v>315.7</v>
          </cell>
          <cell r="N241">
            <v>246.4</v>
          </cell>
          <cell r="O241">
            <v>78.3</v>
          </cell>
          <cell r="P241">
            <v>67.3</v>
          </cell>
          <cell r="Q241">
            <v>87.8</v>
          </cell>
          <cell r="S241">
            <v>25</v>
          </cell>
          <cell r="T241" t="str">
            <v>1</v>
          </cell>
          <cell r="U241">
            <v>1235.0999999999999</v>
          </cell>
          <cell r="V241">
            <v>1237.7</v>
          </cell>
          <cell r="W241">
            <v>730.3</v>
          </cell>
          <cell r="Y241">
            <v>2.9</v>
          </cell>
          <cell r="Z241">
            <v>1237.9000000000001</v>
          </cell>
          <cell r="AA241">
            <v>1239.5999999999999</v>
          </cell>
          <cell r="AB241">
            <v>731.7</v>
          </cell>
          <cell r="AD241">
            <v>3.1</v>
          </cell>
          <cell r="AE241">
            <v>1235.7</v>
          </cell>
          <cell r="AF241">
            <v>1237.0999999999999</v>
          </cell>
          <cell r="AG241">
            <v>732.2</v>
          </cell>
          <cell r="AI241">
            <v>3.5</v>
          </cell>
          <cell r="AK241">
            <v>1452.0670400000001</v>
          </cell>
          <cell r="AM241">
            <v>1616.24035</v>
          </cell>
          <cell r="AO241">
            <v>1971.09943</v>
          </cell>
          <cell r="AP241" t="str">
            <v>Muestra tomada en el elevador</v>
          </cell>
          <cell r="AQ241" t="str">
            <v>-</v>
          </cell>
          <cell r="AR241">
            <v>1732</v>
          </cell>
          <cell r="AS241">
            <v>3.2</v>
          </cell>
          <cell r="AV241">
            <v>2.4324908771744758</v>
          </cell>
          <cell r="BS241">
            <v>2.5840000000000001</v>
          </cell>
        </row>
        <row r="242">
          <cell r="A242">
            <v>314</v>
          </cell>
          <cell r="B242">
            <v>40198</v>
          </cell>
          <cell r="D242">
            <v>1500.1</v>
          </cell>
          <cell r="E242">
            <v>1426.5</v>
          </cell>
          <cell r="G242" t="str">
            <v>Parcheo elaboración de fallos en vías urbanas y rurales del municipio de Medellín.</v>
          </cell>
          <cell r="H242" t="str">
            <v>2/2</v>
          </cell>
          <cell r="I242">
            <v>0</v>
          </cell>
          <cell r="J242">
            <v>135.30000000000001</v>
          </cell>
          <cell r="K242">
            <v>172.5</v>
          </cell>
          <cell r="L242">
            <v>322.10000000000002</v>
          </cell>
          <cell r="M242">
            <v>305.5</v>
          </cell>
          <cell r="N242">
            <v>250.5</v>
          </cell>
          <cell r="O242">
            <v>88.7</v>
          </cell>
          <cell r="P242">
            <v>64</v>
          </cell>
          <cell r="Q242">
            <v>87.9</v>
          </cell>
          <cell r="S242">
            <v>25</v>
          </cell>
          <cell r="T242" t="str">
            <v>1</v>
          </cell>
          <cell r="AK242">
            <v>0</v>
          </cell>
          <cell r="AM242">
            <v>0</v>
          </cell>
          <cell r="AO242">
            <v>0</v>
          </cell>
          <cell r="AP242" t="str">
            <v>Muestra tomada en la volqueta</v>
          </cell>
          <cell r="AQ242" t="str">
            <v>-</v>
          </cell>
          <cell r="AR242">
            <v>0</v>
          </cell>
          <cell r="AS242">
            <v>0</v>
          </cell>
          <cell r="AV242">
            <v>0</v>
          </cell>
          <cell r="BS242">
            <v>2.5840000000000001</v>
          </cell>
        </row>
        <row r="243">
          <cell r="A243">
            <v>315</v>
          </cell>
          <cell r="B243">
            <v>40199</v>
          </cell>
          <cell r="D243">
            <v>1500.7</v>
          </cell>
          <cell r="E243">
            <v>1429.5</v>
          </cell>
          <cell r="G243" t="str">
            <v>Parcheo elaboración de fallos en vías urbanas y rurales del municipio de Medellín.</v>
          </cell>
          <cell r="H243" t="str">
            <v>1/2</v>
          </cell>
          <cell r="I243">
            <v>0</v>
          </cell>
          <cell r="J243">
            <v>204.9</v>
          </cell>
          <cell r="K243">
            <v>164.4</v>
          </cell>
          <cell r="L243">
            <v>284.39999999999998</v>
          </cell>
          <cell r="M243">
            <v>352.2</v>
          </cell>
          <cell r="N243">
            <v>215.3</v>
          </cell>
          <cell r="O243">
            <v>69.3</v>
          </cell>
          <cell r="P243">
            <v>61.1</v>
          </cell>
          <cell r="Q243">
            <v>77.900000000000006</v>
          </cell>
          <cell r="S243">
            <v>25</v>
          </cell>
          <cell r="T243" t="str">
            <v>1</v>
          </cell>
          <cell r="U243">
            <v>1237</v>
          </cell>
          <cell r="V243">
            <v>1240.3</v>
          </cell>
          <cell r="W243">
            <v>732.3</v>
          </cell>
          <cell r="Y243">
            <v>3.2</v>
          </cell>
          <cell r="Z243">
            <v>1235.5</v>
          </cell>
          <cell r="AA243">
            <v>1239.5999999999999</v>
          </cell>
          <cell r="AB243">
            <v>730.2</v>
          </cell>
          <cell r="AD243">
            <v>3.7</v>
          </cell>
          <cell r="AE243">
            <v>1234.5</v>
          </cell>
          <cell r="AF243">
            <v>1238.4000000000001</v>
          </cell>
          <cell r="AG243">
            <v>739.5</v>
          </cell>
          <cell r="AI243">
            <v>3.4</v>
          </cell>
          <cell r="AK243">
            <v>1699.8565700000001</v>
          </cell>
          <cell r="AM243">
            <v>1665.18643</v>
          </cell>
          <cell r="AO243">
            <v>1681.5017899999998</v>
          </cell>
          <cell r="AP243" t="str">
            <v>Muestra tomada en el elevador</v>
          </cell>
          <cell r="AQ243" t="str">
            <v>-</v>
          </cell>
          <cell r="AR243">
            <v>1742</v>
          </cell>
          <cell r="AS243">
            <v>3.4</v>
          </cell>
          <cell r="AV243">
            <v>2.4378103467665513</v>
          </cell>
          <cell r="BS243">
            <v>2.59</v>
          </cell>
        </row>
        <row r="244">
          <cell r="A244">
            <v>316</v>
          </cell>
          <cell r="B244">
            <v>40199</v>
          </cell>
          <cell r="D244">
            <v>1500.6</v>
          </cell>
          <cell r="E244">
            <v>1433.5</v>
          </cell>
          <cell r="G244" t="str">
            <v>Parcheo elaboración de fallos en vías urbanas y rurales del municipio de Medellín.</v>
          </cell>
          <cell r="H244" t="str">
            <v>2/2</v>
          </cell>
          <cell r="I244">
            <v>0</v>
          </cell>
          <cell r="J244">
            <v>208.5</v>
          </cell>
          <cell r="K244">
            <v>164</v>
          </cell>
          <cell r="L244">
            <v>299.3</v>
          </cell>
          <cell r="M244">
            <v>286.2</v>
          </cell>
          <cell r="N244">
            <v>241.8</v>
          </cell>
          <cell r="O244">
            <v>83.2</v>
          </cell>
          <cell r="P244">
            <v>61.5</v>
          </cell>
          <cell r="Q244">
            <v>89</v>
          </cell>
          <cell r="S244">
            <v>25</v>
          </cell>
          <cell r="T244" t="str">
            <v>1</v>
          </cell>
          <cell r="U244">
            <v>1235.3</v>
          </cell>
          <cell r="V244">
            <v>1237.5999999999999</v>
          </cell>
          <cell r="W244">
            <v>731.8</v>
          </cell>
          <cell r="Y244">
            <v>3.4</v>
          </cell>
          <cell r="Z244">
            <v>1230.4000000000001</v>
          </cell>
          <cell r="AA244">
            <v>1233.2</v>
          </cell>
          <cell r="AB244">
            <v>727.3</v>
          </cell>
          <cell r="AD244">
            <v>3</v>
          </cell>
          <cell r="AE244">
            <v>1234.2</v>
          </cell>
          <cell r="AF244">
            <v>1237.2</v>
          </cell>
          <cell r="AG244">
            <v>731.4</v>
          </cell>
          <cell r="AI244">
            <v>3.2</v>
          </cell>
          <cell r="AK244">
            <v>1830.3794499999999</v>
          </cell>
          <cell r="AM244">
            <v>1715.1522200000002</v>
          </cell>
          <cell r="AO244">
            <v>1890.54234</v>
          </cell>
          <cell r="AP244" t="str">
            <v>Muestra tomada en la volqueta</v>
          </cell>
          <cell r="AQ244" t="str">
            <v>-</v>
          </cell>
          <cell r="AR244">
            <v>1873</v>
          </cell>
          <cell r="AS244">
            <v>3.2</v>
          </cell>
          <cell r="AV244">
            <v>2.4310236547838571</v>
          </cell>
          <cell r="BS244">
            <v>2.59</v>
          </cell>
        </row>
        <row r="245">
          <cell r="A245">
            <v>317</v>
          </cell>
          <cell r="B245">
            <v>40203</v>
          </cell>
          <cell r="D245">
            <v>1501.2</v>
          </cell>
          <cell r="E245">
            <v>1431.2</v>
          </cell>
          <cell r="G245" t="str">
            <v>Parcheo elaboración de fallos en vías urbanas y rurales del municipio de Medellín.</v>
          </cell>
          <cell r="H245" t="str">
            <v>1/2</v>
          </cell>
          <cell r="I245">
            <v>0</v>
          </cell>
          <cell r="J245">
            <v>195.2</v>
          </cell>
          <cell r="K245">
            <v>177.5</v>
          </cell>
          <cell r="L245">
            <v>283.10000000000002</v>
          </cell>
          <cell r="M245">
            <v>301.7</v>
          </cell>
          <cell r="N245">
            <v>241.7</v>
          </cell>
          <cell r="O245">
            <v>76.3</v>
          </cell>
          <cell r="P245">
            <v>69</v>
          </cell>
          <cell r="Q245">
            <v>86.7</v>
          </cell>
          <cell r="S245">
            <v>25</v>
          </cell>
          <cell r="T245" t="str">
            <v>1</v>
          </cell>
          <cell r="U245">
            <v>1240</v>
          </cell>
          <cell r="V245">
            <v>1241.5999999999999</v>
          </cell>
          <cell r="W245">
            <v>737.1</v>
          </cell>
          <cell r="Y245">
            <v>2.9</v>
          </cell>
          <cell r="Z245">
            <v>1240.7</v>
          </cell>
          <cell r="AA245">
            <v>1242.3</v>
          </cell>
          <cell r="AB245">
            <v>736.7</v>
          </cell>
          <cell r="AD245">
            <v>2.6</v>
          </cell>
          <cell r="AE245">
            <v>1236.8</v>
          </cell>
          <cell r="AF245">
            <v>1238.7</v>
          </cell>
          <cell r="AG245">
            <v>737.2</v>
          </cell>
          <cell r="AI245">
            <v>2.5</v>
          </cell>
          <cell r="AK245">
            <v>1558.11688</v>
          </cell>
          <cell r="AM245">
            <v>1390.88444</v>
          </cell>
          <cell r="AO245">
            <v>1532.6241299999999</v>
          </cell>
          <cell r="AP245" t="str">
            <v>Muestra tomada en el elevador</v>
          </cell>
          <cell r="AQ245" t="str">
            <v>-</v>
          </cell>
          <cell r="AR245">
            <v>1555</v>
          </cell>
          <cell r="AS245">
            <v>2.7</v>
          </cell>
          <cell r="AV245">
            <v>2.4521386610453932</v>
          </cell>
          <cell r="BS245">
            <v>2.593</v>
          </cell>
        </row>
        <row r="246">
          <cell r="A246">
            <v>318</v>
          </cell>
          <cell r="B246">
            <v>40203</v>
          </cell>
          <cell r="D246">
            <v>1500.9</v>
          </cell>
          <cell r="E246">
            <v>1431.7</v>
          </cell>
          <cell r="G246" t="str">
            <v>Parcheo elaboración de fallos en vías urbanas y rurales del municipio de Medellín.</v>
          </cell>
          <cell r="H246" t="str">
            <v>2/2</v>
          </cell>
          <cell r="I246">
            <v>0</v>
          </cell>
          <cell r="J246">
            <v>77.900000000000006</v>
          </cell>
          <cell r="K246">
            <v>167.6</v>
          </cell>
          <cell r="L246">
            <v>434.3</v>
          </cell>
          <cell r="M246">
            <v>328.1</v>
          </cell>
          <cell r="N246">
            <v>190.3</v>
          </cell>
          <cell r="O246">
            <v>83.4</v>
          </cell>
          <cell r="P246">
            <v>64.3</v>
          </cell>
          <cell r="Q246">
            <v>85.8</v>
          </cell>
          <cell r="S246">
            <v>25</v>
          </cell>
          <cell r="T246" t="str">
            <v>1</v>
          </cell>
          <cell r="U246">
            <v>1238.8</v>
          </cell>
          <cell r="V246">
            <v>1240.8</v>
          </cell>
          <cell r="W246">
            <v>735</v>
          </cell>
          <cell r="Y246">
            <v>3.3</v>
          </cell>
          <cell r="Z246">
            <v>1235.9000000000001</v>
          </cell>
          <cell r="AA246">
            <v>1238.0999999999999</v>
          </cell>
          <cell r="AB246">
            <v>732.3</v>
          </cell>
          <cell r="AD246">
            <v>3.2</v>
          </cell>
          <cell r="AE246">
            <v>1237</v>
          </cell>
          <cell r="AF246">
            <v>1240.4000000000001</v>
          </cell>
          <cell r="AG246">
            <v>734.8</v>
          </cell>
          <cell r="AI246">
            <v>2.9</v>
          </cell>
          <cell r="AK246">
            <v>1570.3534000000002</v>
          </cell>
          <cell r="AM246">
            <v>1588.7081800000001</v>
          </cell>
          <cell r="AO246">
            <v>1532.6241299999999</v>
          </cell>
          <cell r="AP246" t="str">
            <v>Muestra tomada en la volqueta</v>
          </cell>
          <cell r="AQ246" t="str">
            <v>-</v>
          </cell>
          <cell r="AR246">
            <v>1617</v>
          </cell>
          <cell r="AS246">
            <v>3.1</v>
          </cell>
          <cell r="AV246">
            <v>2.4392587095428784</v>
          </cell>
          <cell r="BS246">
            <v>2.5982861594391045</v>
          </cell>
        </row>
        <row r="247">
          <cell r="A247">
            <v>319</v>
          </cell>
          <cell r="B247">
            <v>40203</v>
          </cell>
          <cell r="D247">
            <v>1500.4</v>
          </cell>
          <cell r="E247">
            <v>1435</v>
          </cell>
          <cell r="I247">
            <v>0</v>
          </cell>
          <cell r="J247">
            <v>175.6</v>
          </cell>
          <cell r="K247">
            <v>221.6</v>
          </cell>
          <cell r="L247">
            <v>353</v>
          </cell>
          <cell r="M247">
            <v>268.89999999999998</v>
          </cell>
          <cell r="N247">
            <v>201</v>
          </cell>
          <cell r="O247">
            <v>87.6</v>
          </cell>
          <cell r="P247">
            <v>58.1</v>
          </cell>
          <cell r="Q247">
            <v>69.2</v>
          </cell>
          <cell r="S247">
            <v>25</v>
          </cell>
          <cell r="T247" t="str">
            <v>1</v>
          </cell>
          <cell r="AK247">
            <v>0</v>
          </cell>
          <cell r="AM247">
            <v>0</v>
          </cell>
          <cell r="AO247">
            <v>0</v>
          </cell>
          <cell r="AP247" t="str">
            <v>Muestra tomada en la volqueta</v>
          </cell>
          <cell r="AQ247" t="str">
            <v>-</v>
          </cell>
          <cell r="AR247">
            <v>0</v>
          </cell>
          <cell r="AS247">
            <v>0</v>
          </cell>
          <cell r="AV247">
            <v>0</v>
          </cell>
          <cell r="BS247">
            <v>2.5982861594391045</v>
          </cell>
        </row>
        <row r="248">
          <cell r="A248">
            <v>320</v>
          </cell>
          <cell r="B248">
            <v>40204</v>
          </cell>
          <cell r="D248">
            <v>1500.3</v>
          </cell>
          <cell r="E248">
            <v>1431.1</v>
          </cell>
          <cell r="G248" t="str">
            <v>Parcheo elaboración de fallos en vías urbanas y rurales del municipio de Medellín.</v>
          </cell>
          <cell r="H248" t="str">
            <v>2/2</v>
          </cell>
          <cell r="I248">
            <v>0</v>
          </cell>
          <cell r="J248">
            <v>154.4</v>
          </cell>
          <cell r="K248">
            <v>192.6</v>
          </cell>
          <cell r="L248">
            <v>337.3</v>
          </cell>
          <cell r="M248">
            <v>311.7</v>
          </cell>
          <cell r="N248">
            <v>212</v>
          </cell>
          <cell r="O248">
            <v>82.3</v>
          </cell>
          <cell r="P248">
            <v>59</v>
          </cell>
          <cell r="Q248">
            <v>81.8</v>
          </cell>
          <cell r="S248">
            <v>25</v>
          </cell>
          <cell r="T248" t="str">
            <v>1</v>
          </cell>
          <cell r="U248">
            <v>1232.9000000000001</v>
          </cell>
          <cell r="V248">
            <v>1237.8</v>
          </cell>
          <cell r="W248">
            <v>733.8</v>
          </cell>
          <cell r="Y248">
            <v>2.7</v>
          </cell>
          <cell r="Z248">
            <v>1238.0999999999999</v>
          </cell>
          <cell r="AA248">
            <v>1239.9000000000001</v>
          </cell>
          <cell r="AB248">
            <v>735.7</v>
          </cell>
          <cell r="AD248">
            <v>3.2</v>
          </cell>
          <cell r="AE248">
            <v>1238.0999999999999</v>
          </cell>
          <cell r="AF248">
            <v>1239.5999999999999</v>
          </cell>
          <cell r="AG248">
            <v>735.3</v>
          </cell>
          <cell r="AI248">
            <v>3.3</v>
          </cell>
          <cell r="AK248">
            <v>1778.3742400000001</v>
          </cell>
          <cell r="AM248">
            <v>1683.5412100000003</v>
          </cell>
          <cell r="AO248">
            <v>1706.9945399999999</v>
          </cell>
          <cell r="AP248" t="str">
            <v>Muestra tomada en el elevador</v>
          </cell>
          <cell r="AQ248" t="str">
            <v>-</v>
          </cell>
          <cell r="AR248">
            <v>1791</v>
          </cell>
          <cell r="AS248">
            <v>3.1</v>
          </cell>
          <cell r="AV248">
            <v>2.4451235666891549</v>
          </cell>
          <cell r="BS248">
            <v>2.5907325912503221</v>
          </cell>
        </row>
        <row r="249">
          <cell r="A249">
            <v>321</v>
          </cell>
          <cell r="B249">
            <v>40204</v>
          </cell>
          <cell r="D249">
            <v>1500.5</v>
          </cell>
          <cell r="E249">
            <v>1430.2</v>
          </cell>
          <cell r="G249" t="str">
            <v>Parcheo elaboración de fallos en vías urbanas y rurales del municipio de Medellín.</v>
          </cell>
          <cell r="H249" t="str">
            <v>1/2</v>
          </cell>
          <cell r="I249">
            <v>0</v>
          </cell>
          <cell r="J249">
            <v>231.5</v>
          </cell>
          <cell r="K249">
            <v>170.5</v>
          </cell>
          <cell r="L249">
            <v>295.10000000000002</v>
          </cell>
          <cell r="M249">
            <v>284.3</v>
          </cell>
          <cell r="N249">
            <v>222.4</v>
          </cell>
          <cell r="O249">
            <v>72.400000000000006</v>
          </cell>
          <cell r="P249">
            <v>68.400000000000006</v>
          </cell>
          <cell r="Q249">
            <v>85.6</v>
          </cell>
          <cell r="S249">
            <v>25</v>
          </cell>
          <cell r="T249" t="str">
            <v>1</v>
          </cell>
          <cell r="U249">
            <v>1236.4000000000001</v>
          </cell>
          <cell r="V249">
            <v>1238.9000000000001</v>
          </cell>
          <cell r="W249">
            <v>736.3</v>
          </cell>
          <cell r="Y249">
            <v>2.9</v>
          </cell>
          <cell r="Z249">
            <v>1237</v>
          </cell>
          <cell r="AA249">
            <v>1238.0999999999999</v>
          </cell>
          <cell r="AB249">
            <v>737.6</v>
          </cell>
          <cell r="AD249">
            <v>3.2</v>
          </cell>
          <cell r="AE249">
            <v>1236.9000000000001</v>
          </cell>
          <cell r="AF249">
            <v>1237.9000000000001</v>
          </cell>
          <cell r="AG249">
            <v>738.7</v>
          </cell>
          <cell r="AI249">
            <v>3.1</v>
          </cell>
          <cell r="AK249">
            <v>1508.1510900000001</v>
          </cell>
          <cell r="AM249">
            <v>1569.3336900000002</v>
          </cell>
          <cell r="AO249">
            <v>1715.1522200000002</v>
          </cell>
          <cell r="AP249" t="str">
            <v>Muestra tomada en la volqueta</v>
          </cell>
          <cell r="AQ249" t="str">
            <v>-</v>
          </cell>
          <cell r="AR249">
            <v>1679</v>
          </cell>
          <cell r="AS249">
            <v>3.1</v>
          </cell>
          <cell r="AV249">
            <v>2.4625428827416425</v>
          </cell>
          <cell r="BS249">
            <v>2.5907325912503221</v>
          </cell>
        </row>
        <row r="250">
          <cell r="A250">
            <v>322</v>
          </cell>
          <cell r="B250">
            <v>40205</v>
          </cell>
          <cell r="D250">
            <v>1500.1</v>
          </cell>
          <cell r="E250">
            <v>1428.7</v>
          </cell>
          <cell r="G250" t="str">
            <v>Parcheo elaboración de fallos en vías urbanas y rurales del municipio de Medellín.</v>
          </cell>
          <cell r="H250" t="str">
            <v>1/2</v>
          </cell>
          <cell r="I250">
            <v>0</v>
          </cell>
          <cell r="J250">
            <v>190.2</v>
          </cell>
          <cell r="K250">
            <v>205.9</v>
          </cell>
          <cell r="L250">
            <v>296.7</v>
          </cell>
          <cell r="M250">
            <v>292.7</v>
          </cell>
          <cell r="N250">
            <v>210.9</v>
          </cell>
          <cell r="O250">
            <v>79.5</v>
          </cell>
          <cell r="P250">
            <v>58.1</v>
          </cell>
          <cell r="Q250">
            <v>94.7</v>
          </cell>
          <cell r="S250">
            <v>25</v>
          </cell>
          <cell r="T250" t="str">
            <v>1</v>
          </cell>
          <cell r="U250">
            <v>1239.4000000000001</v>
          </cell>
          <cell r="V250">
            <v>1240.3</v>
          </cell>
          <cell r="W250">
            <v>743.6</v>
          </cell>
          <cell r="Y250">
            <v>3.3</v>
          </cell>
          <cell r="Z250">
            <v>1238.0999999999999</v>
          </cell>
          <cell r="AA250">
            <v>1240.5999999999999</v>
          </cell>
          <cell r="AB250">
            <v>737.5</v>
          </cell>
          <cell r="AD250">
            <v>3.3</v>
          </cell>
          <cell r="AE250">
            <v>1237.2</v>
          </cell>
          <cell r="AF250">
            <v>1238.4000000000001</v>
          </cell>
          <cell r="AG250">
            <v>739.3</v>
          </cell>
          <cell r="AI250">
            <v>2.8</v>
          </cell>
          <cell r="AK250">
            <v>1831.3991600000002</v>
          </cell>
          <cell r="AM250">
            <v>1593.8067300000002</v>
          </cell>
          <cell r="AO250">
            <v>1773.2756900000002</v>
          </cell>
          <cell r="AP250" t="str">
            <v>Muestra tomada en el elevador</v>
          </cell>
          <cell r="AQ250" t="str">
            <v>-</v>
          </cell>
          <cell r="AR250">
            <v>1829</v>
          </cell>
          <cell r="AS250">
            <v>3.1</v>
          </cell>
          <cell r="AV250">
            <v>2.471108431950428</v>
          </cell>
          <cell r="BS250">
            <v>2.5923814459704611</v>
          </cell>
        </row>
        <row r="251">
          <cell r="A251">
            <v>323</v>
          </cell>
          <cell r="B251">
            <v>40205</v>
          </cell>
          <cell r="D251">
            <v>1500.3</v>
          </cell>
          <cell r="E251">
            <v>1431.4</v>
          </cell>
          <cell r="G251" t="str">
            <v>Parcheo elaboración de fallos en vías urbanas y rurales del municipio de Medellín.</v>
          </cell>
          <cell r="H251" t="str">
            <v>2/2</v>
          </cell>
          <cell r="I251">
            <v>0</v>
          </cell>
          <cell r="J251">
            <v>183.3</v>
          </cell>
          <cell r="K251">
            <v>177.8</v>
          </cell>
          <cell r="L251">
            <v>330.6</v>
          </cell>
          <cell r="M251">
            <v>281.60000000000002</v>
          </cell>
          <cell r="N251">
            <v>225.6</v>
          </cell>
          <cell r="O251">
            <v>75.900000000000006</v>
          </cell>
          <cell r="P251">
            <v>69.7</v>
          </cell>
          <cell r="Q251">
            <v>86.9</v>
          </cell>
          <cell r="S251">
            <v>25</v>
          </cell>
          <cell r="T251" t="str">
            <v>1</v>
          </cell>
          <cell r="U251">
            <v>1238.3</v>
          </cell>
          <cell r="V251">
            <v>1240</v>
          </cell>
          <cell r="W251">
            <v>737.5</v>
          </cell>
          <cell r="Y251">
            <v>3.5</v>
          </cell>
          <cell r="Z251">
            <v>1236.7</v>
          </cell>
          <cell r="AA251">
            <v>1238.3</v>
          </cell>
          <cell r="AB251">
            <v>736.4</v>
          </cell>
          <cell r="AD251">
            <v>3.6</v>
          </cell>
          <cell r="AE251">
            <v>1232.7</v>
          </cell>
          <cell r="AF251">
            <v>1235.8</v>
          </cell>
          <cell r="AG251">
            <v>731.9</v>
          </cell>
          <cell r="AI251">
            <v>3</v>
          </cell>
          <cell r="AK251">
            <v>1533.64384</v>
          </cell>
          <cell r="AM251">
            <v>1971.09943</v>
          </cell>
          <cell r="AO251">
            <v>1821.2020600000001</v>
          </cell>
          <cell r="AP251" t="str">
            <v>Muestra tomada en la volqueta</v>
          </cell>
          <cell r="AQ251" t="str">
            <v>-</v>
          </cell>
          <cell r="AR251">
            <v>1854</v>
          </cell>
          <cell r="AS251">
            <v>3.4</v>
          </cell>
          <cell r="AV251">
            <v>2.4510210590962296</v>
          </cell>
          <cell r="BS251">
            <v>2.5923814459704611</v>
          </cell>
        </row>
        <row r="252">
          <cell r="A252">
            <v>324</v>
          </cell>
          <cell r="B252">
            <v>40206</v>
          </cell>
          <cell r="D252">
            <v>1502</v>
          </cell>
          <cell r="E252">
            <v>1432.6</v>
          </cell>
          <cell r="I252">
            <v>0</v>
          </cell>
          <cell r="J252">
            <v>165.3</v>
          </cell>
          <cell r="K252">
            <v>181.7</v>
          </cell>
          <cell r="L252">
            <v>343.6</v>
          </cell>
          <cell r="M252">
            <v>300.5</v>
          </cell>
          <cell r="N252">
            <v>220.6</v>
          </cell>
          <cell r="O252">
            <v>80</v>
          </cell>
          <cell r="P252">
            <v>59.6</v>
          </cell>
          <cell r="Q252">
            <v>81.3</v>
          </cell>
          <cell r="S252">
            <v>25</v>
          </cell>
          <cell r="T252" t="str">
            <v>1</v>
          </cell>
          <cell r="U252">
            <v>1237.4000000000001</v>
          </cell>
          <cell r="V252">
            <v>1238.0999999999999</v>
          </cell>
          <cell r="W252">
            <v>738.1</v>
          </cell>
          <cell r="Y252">
            <v>2.9</v>
          </cell>
          <cell r="Z252">
            <v>1237.2</v>
          </cell>
          <cell r="AA252">
            <v>1238.7</v>
          </cell>
          <cell r="AB252">
            <v>734.5</v>
          </cell>
          <cell r="AD252">
            <v>2.9</v>
          </cell>
          <cell r="AE252">
            <v>1236.8</v>
          </cell>
          <cell r="AF252">
            <v>1237.9000000000001</v>
          </cell>
          <cell r="AG252">
            <v>733.3</v>
          </cell>
          <cell r="AI252">
            <v>3.1</v>
          </cell>
          <cell r="AK252">
            <v>1730.44787</v>
          </cell>
          <cell r="AM252">
            <v>1544.8606500000001</v>
          </cell>
          <cell r="AO252">
            <v>1611.1418000000001</v>
          </cell>
          <cell r="AP252" t="str">
            <v>Muestra tomada en el elevador</v>
          </cell>
          <cell r="AQ252" t="str">
            <v>-</v>
          </cell>
          <cell r="AR252">
            <v>1700</v>
          </cell>
          <cell r="AS252">
            <v>3</v>
          </cell>
          <cell r="AV252">
            <v>2.4526843578448592</v>
          </cell>
          <cell r="BS252">
            <v>2.580507928322803</v>
          </cell>
        </row>
        <row r="253">
          <cell r="A253">
            <v>325</v>
          </cell>
          <cell r="B253">
            <v>40206</v>
          </cell>
          <cell r="D253">
            <v>1501.9</v>
          </cell>
          <cell r="E253">
            <v>1432.2</v>
          </cell>
          <cell r="I253">
            <v>0</v>
          </cell>
          <cell r="J253">
            <v>170.8</v>
          </cell>
          <cell r="K253">
            <v>176.1</v>
          </cell>
          <cell r="L253">
            <v>326.7</v>
          </cell>
          <cell r="M253">
            <v>298.7</v>
          </cell>
          <cell r="N253">
            <v>225.5</v>
          </cell>
          <cell r="O253">
            <v>84.5</v>
          </cell>
          <cell r="P253">
            <v>63.8</v>
          </cell>
          <cell r="Q253">
            <v>86.1</v>
          </cell>
          <cell r="S253">
            <v>25</v>
          </cell>
          <cell r="T253" t="str">
            <v>1</v>
          </cell>
          <cell r="U253">
            <v>1236.9000000000001</v>
          </cell>
          <cell r="V253">
            <v>1237.8</v>
          </cell>
          <cell r="W253">
            <v>736.9</v>
          </cell>
          <cell r="Y253">
            <v>2.8</v>
          </cell>
          <cell r="Z253">
            <v>1236.3</v>
          </cell>
          <cell r="AA253">
            <v>1239.2</v>
          </cell>
          <cell r="AB253">
            <v>736.7</v>
          </cell>
          <cell r="AD253">
            <v>3</v>
          </cell>
          <cell r="AE253">
            <v>1236</v>
          </cell>
          <cell r="AF253">
            <v>1236.7</v>
          </cell>
          <cell r="AG253">
            <v>737.7</v>
          </cell>
          <cell r="AI253">
            <v>2.8</v>
          </cell>
          <cell r="AK253">
            <v>1578.51108</v>
          </cell>
          <cell r="AM253">
            <v>1607.06296</v>
          </cell>
          <cell r="AO253">
            <v>1649.8907799999999</v>
          </cell>
          <cell r="AP253" t="str">
            <v>Muestra tomada en la volqueta</v>
          </cell>
          <cell r="AQ253" t="str">
            <v>-</v>
          </cell>
          <cell r="AR253">
            <v>1694</v>
          </cell>
          <cell r="AS253">
            <v>2.9</v>
          </cell>
          <cell r="AV253">
            <v>2.4616477496097571</v>
          </cell>
          <cell r="BS253">
            <v>2.580507928322803</v>
          </cell>
        </row>
        <row r="254">
          <cell r="A254">
            <v>326</v>
          </cell>
          <cell r="B254">
            <v>40207</v>
          </cell>
          <cell r="D254">
            <v>1501</v>
          </cell>
          <cell r="E254">
            <v>1412.2</v>
          </cell>
          <cell r="I254">
            <v>0</v>
          </cell>
          <cell r="J254">
            <v>95.7</v>
          </cell>
          <cell r="K254">
            <v>154.19999999999999</v>
          </cell>
          <cell r="L254">
            <v>304.3</v>
          </cell>
          <cell r="M254">
            <v>319.8</v>
          </cell>
          <cell r="N254">
            <v>283.10000000000002</v>
          </cell>
          <cell r="O254">
            <v>86.5</v>
          </cell>
          <cell r="P254">
            <v>76.2</v>
          </cell>
          <cell r="Q254">
            <v>92.4</v>
          </cell>
          <cell r="S254">
            <v>25</v>
          </cell>
          <cell r="T254" t="str">
            <v>1</v>
          </cell>
          <cell r="U254">
            <v>1229.8</v>
          </cell>
          <cell r="V254">
            <v>1230.8</v>
          </cell>
          <cell r="W254">
            <v>731.2</v>
          </cell>
          <cell r="Y254">
            <v>3.6</v>
          </cell>
          <cell r="Z254">
            <v>1230.5</v>
          </cell>
          <cell r="AA254">
            <v>1231.3</v>
          </cell>
          <cell r="AB254">
            <v>732</v>
          </cell>
          <cell r="AD254">
            <v>3.1</v>
          </cell>
          <cell r="AE254">
            <v>1231</v>
          </cell>
          <cell r="AF254">
            <v>1232.0999999999999</v>
          </cell>
          <cell r="AG254">
            <v>730.1</v>
          </cell>
          <cell r="AI254">
            <v>3.9</v>
          </cell>
          <cell r="AK254">
            <v>1639.6936799999999</v>
          </cell>
          <cell r="AM254">
            <v>1702.9157</v>
          </cell>
          <cell r="AO254">
            <v>1744.72381</v>
          </cell>
          <cell r="AP254" t="str">
            <v>Muestra tomada en el elevador</v>
          </cell>
          <cell r="AR254">
            <v>1785</v>
          </cell>
          <cell r="AS254">
            <v>3.5</v>
          </cell>
          <cell r="AV254">
            <v>2.4522098181427459</v>
          </cell>
          <cell r="BS254">
            <v>2.5529999999999999</v>
          </cell>
        </row>
        <row r="255">
          <cell r="A255">
            <v>327</v>
          </cell>
          <cell r="B255">
            <v>40207</v>
          </cell>
          <cell r="D255">
            <v>1501.9</v>
          </cell>
          <cell r="E255">
            <v>1410.2</v>
          </cell>
          <cell r="I255">
            <v>0</v>
          </cell>
          <cell r="J255">
            <v>123</v>
          </cell>
          <cell r="K255">
            <v>170</v>
          </cell>
          <cell r="L255">
            <v>308</v>
          </cell>
          <cell r="M255">
            <v>299.8</v>
          </cell>
          <cell r="N255">
            <v>261.3</v>
          </cell>
          <cell r="O255">
            <v>84.5</v>
          </cell>
          <cell r="P255">
            <v>75.3</v>
          </cell>
          <cell r="Q255">
            <v>88.3</v>
          </cell>
          <cell r="S255">
            <v>25</v>
          </cell>
          <cell r="T255" t="str">
            <v>1</v>
          </cell>
          <cell r="AK255">
            <v>0</v>
          </cell>
          <cell r="AM255">
            <v>0</v>
          </cell>
          <cell r="AO255">
            <v>0</v>
          </cell>
          <cell r="AP255" t="str">
            <v>Muestra tomada en la volqueta</v>
          </cell>
          <cell r="AR255">
            <v>0</v>
          </cell>
          <cell r="AS255">
            <v>0</v>
          </cell>
          <cell r="AV255">
            <v>0</v>
          </cell>
          <cell r="BS255">
            <v>2.5529999999999999</v>
          </cell>
        </row>
        <row r="256">
          <cell r="A256">
            <v>328</v>
          </cell>
          <cell r="B256">
            <v>40207</v>
          </cell>
          <cell r="D256">
            <v>1501.8</v>
          </cell>
          <cell r="E256">
            <v>1422.2</v>
          </cell>
          <cell r="I256">
            <v>0</v>
          </cell>
          <cell r="J256">
            <v>166.3</v>
          </cell>
          <cell r="K256">
            <v>203</v>
          </cell>
          <cell r="L256">
            <v>297</v>
          </cell>
          <cell r="M256">
            <v>264.5</v>
          </cell>
          <cell r="N256">
            <v>244.9</v>
          </cell>
          <cell r="O256">
            <v>81.5</v>
          </cell>
          <cell r="P256">
            <v>72.599999999999994</v>
          </cell>
          <cell r="Q256">
            <v>92.4</v>
          </cell>
          <cell r="S256">
            <v>25</v>
          </cell>
          <cell r="T256" t="str">
            <v>1</v>
          </cell>
          <cell r="U256">
            <v>1234.5999999999999</v>
          </cell>
          <cell r="V256">
            <v>1235</v>
          </cell>
          <cell r="W256">
            <v>740.6</v>
          </cell>
          <cell r="Y256">
            <v>3.2</v>
          </cell>
          <cell r="Z256">
            <v>1237.0999999999999</v>
          </cell>
          <cell r="AA256">
            <v>1237.5999999999999</v>
          </cell>
          <cell r="AB256">
            <v>741.6</v>
          </cell>
          <cell r="AD256">
            <v>3.3</v>
          </cell>
          <cell r="AE256">
            <v>1234</v>
          </cell>
          <cell r="AF256">
            <v>1234.5</v>
          </cell>
          <cell r="AG256">
            <v>735.1</v>
          </cell>
          <cell r="AI256">
            <v>3.16</v>
          </cell>
          <cell r="AK256">
            <v>1613.1812200000002</v>
          </cell>
          <cell r="AM256">
            <v>1664.1667200000002</v>
          </cell>
          <cell r="AO256">
            <v>1477.55979</v>
          </cell>
          <cell r="AR256">
            <v>1689</v>
          </cell>
          <cell r="AS256">
            <v>3.2</v>
          </cell>
          <cell r="AV256">
            <v>2.4801531600932418</v>
          </cell>
          <cell r="BS256">
            <v>2.5529999999999999</v>
          </cell>
        </row>
        <row r="257">
          <cell r="A257">
            <v>329</v>
          </cell>
          <cell r="B257">
            <v>40210</v>
          </cell>
          <cell r="D257">
            <v>1501.3</v>
          </cell>
          <cell r="E257">
            <v>1424</v>
          </cell>
          <cell r="G257" t="str">
            <v>Parcheo elaboración de fallos en vías urbanas y rurales del municipio de Medellín.</v>
          </cell>
          <cell r="H257" t="str">
            <v>1/2</v>
          </cell>
          <cell r="I257">
            <v>0</v>
          </cell>
          <cell r="J257">
            <v>189.6</v>
          </cell>
          <cell r="K257">
            <v>180.4</v>
          </cell>
          <cell r="L257">
            <v>233</v>
          </cell>
          <cell r="M257">
            <v>309.8</v>
          </cell>
          <cell r="N257">
            <v>259.8</v>
          </cell>
          <cell r="O257">
            <v>88.3</v>
          </cell>
          <cell r="P257">
            <v>69.099999999999994</v>
          </cell>
          <cell r="Q257">
            <v>94</v>
          </cell>
          <cell r="S257">
            <v>25</v>
          </cell>
          <cell r="T257" t="str">
            <v>1</v>
          </cell>
          <cell r="U257">
            <v>1239.9000000000001</v>
          </cell>
          <cell r="V257">
            <v>1240.5</v>
          </cell>
          <cell r="W257">
            <v>738.9</v>
          </cell>
          <cell r="Y257">
            <v>3.4</v>
          </cell>
          <cell r="Z257">
            <v>1238.8</v>
          </cell>
          <cell r="AA257">
            <v>1239.4000000000001</v>
          </cell>
          <cell r="AB257">
            <v>740.3</v>
          </cell>
          <cell r="AD257">
            <v>2.7</v>
          </cell>
          <cell r="AE257">
            <v>1232.8</v>
          </cell>
          <cell r="AF257">
            <v>1233.5999999999999</v>
          </cell>
          <cell r="AG257">
            <v>734.4</v>
          </cell>
          <cell r="AI257">
            <v>3.1</v>
          </cell>
          <cell r="AK257">
            <v>1771.2362700000001</v>
          </cell>
          <cell r="AM257">
            <v>1549.9592</v>
          </cell>
          <cell r="AO257">
            <v>1554.0380400000001</v>
          </cell>
          <cell r="AP257" t="str">
            <v>Muestra tomada en el elevador</v>
          </cell>
          <cell r="AR257">
            <v>1712</v>
          </cell>
          <cell r="AS257">
            <v>3.1</v>
          </cell>
          <cell r="AV257">
            <v>2.4672650641357361</v>
          </cell>
          <cell r="BS257">
            <v>2.5680000000000001</v>
          </cell>
        </row>
        <row r="258">
          <cell r="A258">
            <v>330</v>
          </cell>
          <cell r="B258">
            <v>40210</v>
          </cell>
          <cell r="D258">
            <v>1501.3</v>
          </cell>
          <cell r="E258">
            <v>1421.5</v>
          </cell>
          <cell r="G258" t="str">
            <v>Parcheo elaboración de fallos en vías urbanas y rurales del municipio de Medellín.</v>
          </cell>
          <cell r="H258" t="str">
            <v>2/2</v>
          </cell>
          <cell r="I258">
            <v>0</v>
          </cell>
          <cell r="J258">
            <v>108</v>
          </cell>
          <cell r="K258">
            <v>206.7</v>
          </cell>
          <cell r="L258">
            <v>274.3</v>
          </cell>
          <cell r="M258">
            <v>322.10000000000002</v>
          </cell>
          <cell r="N258">
            <v>246.7</v>
          </cell>
          <cell r="O258">
            <v>85.2</v>
          </cell>
          <cell r="P258">
            <v>74.900000000000006</v>
          </cell>
          <cell r="Q258">
            <v>103.6</v>
          </cell>
          <cell r="S258">
            <v>25</v>
          </cell>
          <cell r="T258" t="str">
            <v>1</v>
          </cell>
          <cell r="U258">
            <v>1235.5</v>
          </cell>
          <cell r="V258">
            <v>1236.0999999999999</v>
          </cell>
          <cell r="W258">
            <v>741.4</v>
          </cell>
          <cell r="Y258">
            <v>3.6</v>
          </cell>
          <cell r="Z258">
            <v>1237.2</v>
          </cell>
          <cell r="AA258">
            <v>1237.7</v>
          </cell>
          <cell r="AB258">
            <v>741.6</v>
          </cell>
          <cell r="AD258">
            <v>3</v>
          </cell>
          <cell r="AE258">
            <v>1240.7</v>
          </cell>
          <cell r="AF258">
            <v>1241.3</v>
          </cell>
          <cell r="AG258">
            <v>743.4</v>
          </cell>
          <cell r="AI258">
            <v>2.9</v>
          </cell>
          <cell r="AK258">
            <v>1665.18643</v>
          </cell>
          <cell r="AM258">
            <v>1564.23514</v>
          </cell>
          <cell r="AO258">
            <v>1567.2942699999999</v>
          </cell>
          <cell r="AP258" t="str">
            <v>Muestra tomada en la volqueta</v>
          </cell>
          <cell r="AR258">
            <v>1706</v>
          </cell>
          <cell r="AS258">
            <v>3.2</v>
          </cell>
          <cell r="AV258">
            <v>2.4871009215330324</v>
          </cell>
          <cell r="BS258">
            <v>2.5680000000000001</v>
          </cell>
        </row>
        <row r="259">
          <cell r="A259">
            <v>331</v>
          </cell>
          <cell r="B259">
            <v>40211</v>
          </cell>
          <cell r="D259">
            <v>1500.5</v>
          </cell>
          <cell r="E259">
            <v>1421.9</v>
          </cell>
          <cell r="G259" t="str">
            <v>Parcheo elaboración de fallos en vías urbanas y rurales del municipio de Medellín.</v>
          </cell>
          <cell r="H259" t="str">
            <v>1/2</v>
          </cell>
          <cell r="I259">
            <v>0</v>
          </cell>
          <cell r="J259">
            <v>142.6</v>
          </cell>
          <cell r="K259">
            <v>120.7</v>
          </cell>
          <cell r="L259">
            <v>321.39999999999998</v>
          </cell>
          <cell r="M259">
            <v>316</v>
          </cell>
          <cell r="N259">
            <v>270.7</v>
          </cell>
          <cell r="O259">
            <v>94.8</v>
          </cell>
          <cell r="P259">
            <v>67</v>
          </cell>
          <cell r="Q259">
            <v>88.7</v>
          </cell>
          <cell r="S259">
            <v>25</v>
          </cell>
          <cell r="T259" t="str">
            <v>1</v>
          </cell>
          <cell r="U259">
            <v>1235.4000000000001</v>
          </cell>
          <cell r="V259">
            <v>1236.0999999999999</v>
          </cell>
          <cell r="W259">
            <v>739.1</v>
          </cell>
          <cell r="Y259">
            <v>3.09</v>
          </cell>
          <cell r="Z259">
            <v>1236.2</v>
          </cell>
          <cell r="AA259">
            <v>1237.7</v>
          </cell>
          <cell r="AB259">
            <v>735.4</v>
          </cell>
          <cell r="AD259">
            <v>3.4</v>
          </cell>
          <cell r="AE259">
            <v>1236.2</v>
          </cell>
          <cell r="AF259">
            <v>1237.4000000000001</v>
          </cell>
          <cell r="AG259">
            <v>736.7</v>
          </cell>
          <cell r="AI259">
            <v>3.24</v>
          </cell>
          <cell r="AK259">
            <v>1680.48208</v>
          </cell>
          <cell r="AM259">
            <v>1419.43632</v>
          </cell>
          <cell r="AO259">
            <v>1550.97891</v>
          </cell>
          <cell r="AP259" t="str">
            <v>Muestra tomada en el elevador</v>
          </cell>
          <cell r="AR259">
            <v>1634</v>
          </cell>
          <cell r="AS259">
            <v>3.2</v>
          </cell>
          <cell r="AV259">
            <v>2.464681923710728</v>
          </cell>
          <cell r="BS259">
            <v>2.58</v>
          </cell>
        </row>
        <row r="260">
          <cell r="A260">
            <v>332</v>
          </cell>
          <cell r="B260">
            <v>40211</v>
          </cell>
          <cell r="D260">
            <v>1500.2</v>
          </cell>
          <cell r="E260">
            <v>1427.8</v>
          </cell>
          <cell r="G260" t="str">
            <v>Parcheo elaboración de fallos en vías urbanas y rurales del municipio de Medellín.</v>
          </cell>
          <cell r="H260" t="str">
            <v>2/2</v>
          </cell>
          <cell r="I260">
            <v>0</v>
          </cell>
          <cell r="J260">
            <v>104</v>
          </cell>
          <cell r="K260">
            <v>180.8</v>
          </cell>
          <cell r="L260">
            <v>365.8</v>
          </cell>
          <cell r="M260">
            <v>324.2</v>
          </cell>
          <cell r="N260">
            <v>215.6</v>
          </cell>
          <cell r="O260">
            <v>75.5</v>
          </cell>
          <cell r="P260">
            <v>70.900000000000006</v>
          </cell>
          <cell r="Q260">
            <v>91</v>
          </cell>
          <cell r="S260">
            <v>25</v>
          </cell>
          <cell r="T260" t="str">
            <v>1</v>
          </cell>
          <cell r="U260">
            <v>1236.2</v>
          </cell>
          <cell r="V260">
            <v>1237.8</v>
          </cell>
          <cell r="W260">
            <v>738.5</v>
          </cell>
          <cell r="Y260">
            <v>3.5</v>
          </cell>
          <cell r="Z260">
            <v>1238.9000000000001</v>
          </cell>
          <cell r="AA260">
            <v>1241.7</v>
          </cell>
          <cell r="AB260">
            <v>737.9</v>
          </cell>
          <cell r="AD260">
            <v>3.8</v>
          </cell>
          <cell r="AE260">
            <v>1236.2</v>
          </cell>
          <cell r="AF260">
            <v>1237.7</v>
          </cell>
          <cell r="AG260">
            <v>738.7</v>
          </cell>
          <cell r="AI260">
            <v>3.6</v>
          </cell>
          <cell r="AK260">
            <v>1361.31285</v>
          </cell>
          <cell r="AM260">
            <v>1521.40732</v>
          </cell>
          <cell r="AO260">
            <v>1569.3336900000002</v>
          </cell>
          <cell r="AP260" t="str">
            <v>Muestra tomada en la volqueta</v>
          </cell>
          <cell r="AR260">
            <v>1560</v>
          </cell>
          <cell r="AS260">
            <v>3.6</v>
          </cell>
          <cell r="AV260">
            <v>2.4635502033963257</v>
          </cell>
          <cell r="BS260">
            <v>2.58</v>
          </cell>
        </row>
        <row r="261">
          <cell r="A261">
            <v>333</v>
          </cell>
          <cell r="B261">
            <v>40212</v>
          </cell>
          <cell r="D261">
            <v>1501.5</v>
          </cell>
          <cell r="E261">
            <v>1428.3</v>
          </cell>
          <cell r="G261" t="str">
            <v>Parcheo elaboración de fallos en vías urbanas y rurales del municipio de Medellín.</v>
          </cell>
          <cell r="H261" t="str">
            <v>1/2</v>
          </cell>
          <cell r="I261">
            <v>0</v>
          </cell>
          <cell r="J261">
            <v>177.8</v>
          </cell>
          <cell r="K261">
            <v>148.69999999999999</v>
          </cell>
          <cell r="L261">
            <v>321.3</v>
          </cell>
          <cell r="M261">
            <v>310.7</v>
          </cell>
          <cell r="N261">
            <v>226.9</v>
          </cell>
          <cell r="O261">
            <v>80.7</v>
          </cell>
          <cell r="P261">
            <v>72.900000000000006</v>
          </cell>
          <cell r="Q261">
            <v>89.3</v>
          </cell>
          <cell r="S261">
            <v>25</v>
          </cell>
          <cell r="T261" t="str">
            <v>1</v>
          </cell>
          <cell r="U261">
            <v>1237.3</v>
          </cell>
          <cell r="V261">
            <v>1238.0999999999999</v>
          </cell>
          <cell r="W261">
            <v>741.3</v>
          </cell>
          <cell r="Y261">
            <v>3.2</v>
          </cell>
          <cell r="Z261">
            <v>1235</v>
          </cell>
          <cell r="AA261">
            <v>1236.2</v>
          </cell>
          <cell r="AB261">
            <v>736.4</v>
          </cell>
          <cell r="AD261">
            <v>3.4</v>
          </cell>
          <cell r="AE261">
            <v>1236.8</v>
          </cell>
          <cell r="AF261">
            <v>1237.4000000000001</v>
          </cell>
          <cell r="AG261">
            <v>735.1</v>
          </cell>
          <cell r="AI261">
            <v>3.4</v>
          </cell>
          <cell r="AK261">
            <v>1854.8524900000002</v>
          </cell>
          <cell r="AM261">
            <v>1557.09717</v>
          </cell>
          <cell r="AO261">
            <v>1523.4467400000001</v>
          </cell>
          <cell r="AP261" t="str">
            <v>Muestra tomada en el elevador</v>
          </cell>
          <cell r="AR261">
            <v>1737</v>
          </cell>
          <cell r="AS261">
            <v>3.3</v>
          </cell>
          <cell r="AV261">
            <v>2.467362256832597</v>
          </cell>
          <cell r="BS261">
            <v>2.5779999999999998</v>
          </cell>
        </row>
        <row r="262">
          <cell r="A262">
            <v>334</v>
          </cell>
          <cell r="B262">
            <v>40212</v>
          </cell>
          <cell r="D262">
            <v>1500.9</v>
          </cell>
          <cell r="E262">
            <v>1430.6</v>
          </cell>
          <cell r="G262" t="str">
            <v>Parcheo elaboración de fallos en vías urbanas y rurales del municipio de Medellín.</v>
          </cell>
          <cell r="H262" t="str">
            <v>2/2</v>
          </cell>
          <cell r="I262">
            <v>0</v>
          </cell>
          <cell r="J262">
            <v>211.5</v>
          </cell>
          <cell r="K262">
            <v>155.19999999999999</v>
          </cell>
          <cell r="L262">
            <v>323.10000000000002</v>
          </cell>
          <cell r="M262">
            <v>296.3</v>
          </cell>
          <cell r="N262">
            <v>211</v>
          </cell>
          <cell r="O262">
            <v>77.400000000000006</v>
          </cell>
          <cell r="P262">
            <v>65.8</v>
          </cell>
          <cell r="Q262">
            <v>90.3</v>
          </cell>
          <cell r="S262">
            <v>25</v>
          </cell>
          <cell r="T262" t="str">
            <v>1</v>
          </cell>
          <cell r="U262">
            <v>1234.5999999999999</v>
          </cell>
          <cell r="V262">
            <v>1235.3</v>
          </cell>
          <cell r="W262">
            <v>737.3</v>
          </cell>
          <cell r="Y262">
            <v>3.4</v>
          </cell>
          <cell r="Z262">
            <v>1236.5999999999999</v>
          </cell>
          <cell r="AA262">
            <v>1238.0999999999999</v>
          </cell>
          <cell r="AB262">
            <v>740.2</v>
          </cell>
          <cell r="AD262">
            <v>3.2</v>
          </cell>
          <cell r="AE262">
            <v>1236.8</v>
          </cell>
          <cell r="AF262">
            <v>1237.7</v>
          </cell>
          <cell r="AG262">
            <v>738.9</v>
          </cell>
          <cell r="AI262">
            <v>3.2</v>
          </cell>
          <cell r="AK262">
            <v>1484.69776</v>
          </cell>
          <cell r="AM262">
            <v>1609.10238</v>
          </cell>
          <cell r="AO262">
            <v>1669.2652700000001</v>
          </cell>
          <cell r="AP262" t="str">
            <v>Muestra tomada en la volqueta</v>
          </cell>
          <cell r="AR262">
            <v>1683</v>
          </cell>
          <cell r="AS262">
            <v>3.3</v>
          </cell>
          <cell r="AV262">
            <v>2.4735099719373301</v>
          </cell>
          <cell r="BS262">
            <v>2.5779999999999998</v>
          </cell>
        </row>
        <row r="263">
          <cell r="A263">
            <v>335</v>
          </cell>
          <cell r="B263">
            <v>40213</v>
          </cell>
          <cell r="D263">
            <v>1501.4</v>
          </cell>
          <cell r="E263">
            <v>1427.9</v>
          </cell>
          <cell r="G263" t="str">
            <v>Parcheo elaboración de fallos en vías urbanas y rurales del municipio de Medellín.</v>
          </cell>
          <cell r="H263" t="str">
            <v>1/2</v>
          </cell>
          <cell r="I263">
            <v>0</v>
          </cell>
          <cell r="J263">
            <v>159.9</v>
          </cell>
          <cell r="K263">
            <v>173.6</v>
          </cell>
          <cell r="L263">
            <v>293.5</v>
          </cell>
          <cell r="M263">
            <v>302.5</v>
          </cell>
          <cell r="N263">
            <v>243.5</v>
          </cell>
          <cell r="O263">
            <v>82</v>
          </cell>
          <cell r="P263">
            <v>76.599999999999994</v>
          </cell>
          <cell r="Q263">
            <v>96.3</v>
          </cell>
          <cell r="S263">
            <v>25</v>
          </cell>
          <cell r="T263" t="str">
            <v>1</v>
          </cell>
          <cell r="U263">
            <v>1238.3</v>
          </cell>
          <cell r="V263">
            <v>1239.4000000000001</v>
          </cell>
          <cell r="W263">
            <v>737.3</v>
          </cell>
          <cell r="Y263">
            <v>3.3</v>
          </cell>
          <cell r="Z263">
            <v>1239</v>
          </cell>
          <cell r="AA263">
            <v>1240.7</v>
          </cell>
          <cell r="AB263">
            <v>736.2</v>
          </cell>
          <cell r="AD263">
            <v>3</v>
          </cell>
          <cell r="AE263">
            <v>1234.0999999999999</v>
          </cell>
          <cell r="AF263">
            <v>1235.3</v>
          </cell>
          <cell r="AG263">
            <v>735.5</v>
          </cell>
          <cell r="AI263">
            <v>3.3</v>
          </cell>
          <cell r="AK263">
            <v>1623.37832</v>
          </cell>
          <cell r="AM263">
            <v>1426.57429</v>
          </cell>
          <cell r="AO263">
            <v>1682.5215000000001</v>
          </cell>
          <cell r="AP263" t="str">
            <v>Muestra tomada en el elevador</v>
          </cell>
          <cell r="AQ263" t="str">
            <v>-</v>
          </cell>
          <cell r="AR263">
            <v>1651</v>
          </cell>
          <cell r="AS263">
            <v>3.2</v>
          </cell>
          <cell r="AV263">
            <v>2.4565689191812026</v>
          </cell>
          <cell r="BS263">
            <v>2.5779999999999998</v>
          </cell>
        </row>
        <row r="264">
          <cell r="A264">
            <v>336</v>
          </cell>
          <cell r="B264">
            <v>40213</v>
          </cell>
          <cell r="D264">
            <v>1501.4</v>
          </cell>
          <cell r="E264">
            <v>1427.9</v>
          </cell>
          <cell r="G264" t="str">
            <v>Parcheo elaboración de fallos en vías urbanas y rurales del municipio de Medellín.</v>
          </cell>
          <cell r="H264" t="str">
            <v>2/2</v>
          </cell>
          <cell r="I264">
            <v>0</v>
          </cell>
          <cell r="J264">
            <v>141.19999999999999</v>
          </cell>
          <cell r="K264">
            <v>238.2</v>
          </cell>
          <cell r="L264">
            <v>224.3</v>
          </cell>
          <cell r="M264">
            <v>291.10000000000002</v>
          </cell>
          <cell r="N264">
            <v>274.3</v>
          </cell>
          <cell r="O264">
            <v>92.8</v>
          </cell>
          <cell r="P264">
            <v>69.3</v>
          </cell>
          <cell r="Q264">
            <v>96.7</v>
          </cell>
          <cell r="S264">
            <v>25</v>
          </cell>
          <cell r="T264" t="str">
            <v>1</v>
          </cell>
          <cell r="U264">
            <v>1234.3</v>
          </cell>
          <cell r="V264">
            <v>1234.7</v>
          </cell>
          <cell r="W264">
            <v>730.4</v>
          </cell>
          <cell r="Y264">
            <v>3.2</v>
          </cell>
          <cell r="Z264">
            <v>1234.0999999999999</v>
          </cell>
          <cell r="AA264">
            <v>1234.5</v>
          </cell>
          <cell r="AB264">
            <v>733.6</v>
          </cell>
          <cell r="AD264">
            <v>3</v>
          </cell>
          <cell r="AE264">
            <v>1232.4000000000001</v>
          </cell>
          <cell r="AF264">
            <v>1232.8</v>
          </cell>
          <cell r="AG264">
            <v>732.6</v>
          </cell>
          <cell r="AI264">
            <v>3.2</v>
          </cell>
          <cell r="AK264">
            <v>1620.3191900000002</v>
          </cell>
          <cell r="AM264">
            <v>1781.43337</v>
          </cell>
          <cell r="AO264">
            <v>1689.6594700000001</v>
          </cell>
          <cell r="AP264" t="str">
            <v>Muestra tomada en la volqueta</v>
          </cell>
          <cell r="AQ264" t="str">
            <v>-</v>
          </cell>
          <cell r="AR264">
            <v>1778</v>
          </cell>
          <cell r="AS264">
            <v>3.1</v>
          </cell>
          <cell r="AV264">
            <v>2.4511861667399559</v>
          </cell>
          <cell r="BS264">
            <v>2.5779999999999998</v>
          </cell>
        </row>
        <row r="265">
          <cell r="A265">
            <v>337</v>
          </cell>
          <cell r="B265">
            <v>40214</v>
          </cell>
          <cell r="D265">
            <v>1500.5</v>
          </cell>
          <cell r="E265">
            <v>1424.7</v>
          </cell>
          <cell r="G265" t="str">
            <v>Parcheo elaboración de fallos en vías urbanas y rurales del municipio de Medellín.</v>
          </cell>
          <cell r="H265" t="str">
            <v>1/2</v>
          </cell>
          <cell r="I265">
            <v>0</v>
          </cell>
          <cell r="J265">
            <v>205.3</v>
          </cell>
          <cell r="K265">
            <v>237.6</v>
          </cell>
          <cell r="L265">
            <v>246.2</v>
          </cell>
          <cell r="M265">
            <v>266.2</v>
          </cell>
          <cell r="N265">
            <v>229</v>
          </cell>
          <cell r="O265">
            <v>86.3</v>
          </cell>
          <cell r="P265">
            <v>66.900000000000006</v>
          </cell>
          <cell r="Q265">
            <v>87.2</v>
          </cell>
          <cell r="S265">
            <v>25</v>
          </cell>
          <cell r="T265" t="str">
            <v>1</v>
          </cell>
          <cell r="U265">
            <v>1238.2</v>
          </cell>
          <cell r="V265">
            <v>1239.0999999999999</v>
          </cell>
          <cell r="W265">
            <v>742.2</v>
          </cell>
          <cell r="Y265">
            <v>2.7</v>
          </cell>
          <cell r="Z265">
            <v>1237.4000000000001</v>
          </cell>
          <cell r="AA265">
            <v>1238.4000000000001</v>
          </cell>
          <cell r="AB265">
            <v>742</v>
          </cell>
          <cell r="AD265">
            <v>3.4</v>
          </cell>
          <cell r="AE265">
            <v>1235.2</v>
          </cell>
          <cell r="AF265">
            <v>1235.8</v>
          </cell>
          <cell r="AG265">
            <v>740.3</v>
          </cell>
          <cell r="AI265">
            <v>3.2</v>
          </cell>
          <cell r="AK265">
            <v>1720.2507700000001</v>
          </cell>
          <cell r="AM265">
            <v>1592.78702</v>
          </cell>
          <cell r="AO265">
            <v>1706.9945399999999</v>
          </cell>
          <cell r="AP265" t="str">
            <v>Muestra tomada en el elevador</v>
          </cell>
          <cell r="AQ265" t="str">
            <v>-</v>
          </cell>
          <cell r="AR265">
            <v>1785</v>
          </cell>
          <cell r="AS265">
            <v>3.1</v>
          </cell>
          <cell r="AV265">
            <v>2.485187093187418</v>
          </cell>
          <cell r="BS265">
            <v>2.581</v>
          </cell>
        </row>
        <row r="266">
          <cell r="A266">
            <v>338</v>
          </cell>
          <cell r="B266">
            <v>40214</v>
          </cell>
          <cell r="D266">
            <v>1501.6</v>
          </cell>
          <cell r="E266">
            <v>1421.8</v>
          </cell>
          <cell r="G266" t="str">
            <v>Parcheo elaboración de fallos en vías urbanas y rurales del municipio de Medellín.</v>
          </cell>
          <cell r="H266" t="str">
            <v>2/2</v>
          </cell>
          <cell r="I266">
            <v>0</v>
          </cell>
          <cell r="J266">
            <v>181.5</v>
          </cell>
          <cell r="K266">
            <v>197.3</v>
          </cell>
          <cell r="L266">
            <v>219.4</v>
          </cell>
          <cell r="M266">
            <v>304.8</v>
          </cell>
          <cell r="N266">
            <v>257.60000000000002</v>
          </cell>
          <cell r="O266">
            <v>85.4</v>
          </cell>
          <cell r="P266">
            <v>78.599999999999994</v>
          </cell>
          <cell r="Q266">
            <v>97.2</v>
          </cell>
          <cell r="S266">
            <v>25</v>
          </cell>
          <cell r="T266" t="str">
            <v>1</v>
          </cell>
          <cell r="U266">
            <v>1231.2</v>
          </cell>
          <cell r="V266">
            <v>1231.5999999999999</v>
          </cell>
          <cell r="W266">
            <v>737</v>
          </cell>
          <cell r="Y266">
            <v>3.3</v>
          </cell>
          <cell r="Z266">
            <v>1235.0999999999999</v>
          </cell>
          <cell r="AA266">
            <v>1235.5</v>
          </cell>
          <cell r="AB266">
            <v>740.9</v>
          </cell>
          <cell r="AD266">
            <v>3.5</v>
          </cell>
          <cell r="AE266">
            <v>1234.3</v>
          </cell>
          <cell r="AF266">
            <v>1234.5999999999999</v>
          </cell>
          <cell r="AG266">
            <v>739</v>
          </cell>
          <cell r="AI266">
            <v>3.4</v>
          </cell>
          <cell r="AK266">
            <v>1636.6345500000002</v>
          </cell>
          <cell r="AM266">
            <v>1843.6356799999999</v>
          </cell>
          <cell r="AO266">
            <v>1704.9551199999999</v>
          </cell>
          <cell r="AP266" t="str">
            <v>Muestra tomada en la volqueta</v>
          </cell>
          <cell r="AQ266" t="str">
            <v>-</v>
          </cell>
          <cell r="AR266">
            <v>1852</v>
          </cell>
          <cell r="AS266">
            <v>3.4</v>
          </cell>
          <cell r="AV266">
            <v>2.4850333691975299</v>
          </cell>
          <cell r="BS266">
            <v>2.581</v>
          </cell>
        </row>
        <row r="267">
          <cell r="A267">
            <v>339</v>
          </cell>
          <cell r="B267">
            <v>40215</v>
          </cell>
          <cell r="D267">
            <v>1501.7</v>
          </cell>
          <cell r="E267">
            <v>1427.9</v>
          </cell>
          <cell r="G267" t="str">
            <v>Parcheo elaboración de fallos en vías urbanas y rurales del municipio de Medellín.</v>
          </cell>
          <cell r="H267" t="str">
            <v>1/2</v>
          </cell>
          <cell r="I267">
            <v>0</v>
          </cell>
          <cell r="J267">
            <v>172.2</v>
          </cell>
          <cell r="K267">
            <v>219.3</v>
          </cell>
          <cell r="L267">
            <v>302.7</v>
          </cell>
          <cell r="M267">
            <v>281</v>
          </cell>
          <cell r="N267">
            <v>222.7</v>
          </cell>
          <cell r="O267">
            <v>80.400000000000006</v>
          </cell>
          <cell r="P267">
            <v>60.3</v>
          </cell>
          <cell r="Q267">
            <v>89.3</v>
          </cell>
          <cell r="S267">
            <v>25</v>
          </cell>
          <cell r="T267" t="str">
            <v>1</v>
          </cell>
          <cell r="U267">
            <v>1236.2</v>
          </cell>
          <cell r="V267">
            <v>1237.5999999999999</v>
          </cell>
          <cell r="W267">
            <v>740</v>
          </cell>
          <cell r="Y267">
            <v>3.5</v>
          </cell>
          <cell r="Z267">
            <v>1236.8</v>
          </cell>
          <cell r="AA267">
            <v>1238.2</v>
          </cell>
          <cell r="AB267">
            <v>739.8</v>
          </cell>
          <cell r="AD267">
            <v>3.5</v>
          </cell>
          <cell r="AE267">
            <v>1233.5999999999999</v>
          </cell>
          <cell r="AF267">
            <v>1237.7</v>
          </cell>
          <cell r="AG267">
            <v>735.6</v>
          </cell>
          <cell r="AI267">
            <v>3.1</v>
          </cell>
          <cell r="AK267">
            <v>1994.55276</v>
          </cell>
          <cell r="AM267">
            <v>1628.4768700000002</v>
          </cell>
          <cell r="AO267">
            <v>1467.3626900000002</v>
          </cell>
          <cell r="AP267" t="str">
            <v>Muestra tomada en el elevador</v>
          </cell>
          <cell r="AQ267" t="str">
            <v>-</v>
          </cell>
          <cell r="AR267">
            <v>1793</v>
          </cell>
          <cell r="AS267">
            <v>3.4</v>
          </cell>
          <cell r="AV267">
            <v>2.4670117516152494</v>
          </cell>
          <cell r="BS267">
            <v>2.58</v>
          </cell>
        </row>
        <row r="268">
          <cell r="A268">
            <v>340</v>
          </cell>
          <cell r="B268">
            <v>40215</v>
          </cell>
          <cell r="D268">
            <v>1500.9</v>
          </cell>
          <cell r="E268">
            <v>1428</v>
          </cell>
          <cell r="G268" t="str">
            <v>Parcheo elaboración de fallos en vías urbanas y rurales del municipio de Medellín.</v>
          </cell>
          <cell r="H268" t="str">
            <v>2/2</v>
          </cell>
          <cell r="I268">
            <v>0</v>
          </cell>
          <cell r="J268">
            <v>126.1</v>
          </cell>
          <cell r="K268">
            <v>223.4</v>
          </cell>
          <cell r="L268">
            <v>304.8</v>
          </cell>
          <cell r="M268">
            <v>290.89999999999998</v>
          </cell>
          <cell r="N268">
            <v>241.1</v>
          </cell>
          <cell r="O268">
            <v>78.599999999999994</v>
          </cell>
          <cell r="P268">
            <v>71.3</v>
          </cell>
          <cell r="Q268">
            <v>91.8</v>
          </cell>
          <cell r="S268">
            <v>25</v>
          </cell>
          <cell r="T268" t="str">
            <v>1</v>
          </cell>
          <cell r="U268">
            <v>1234.5</v>
          </cell>
          <cell r="V268">
            <v>1235.0999999999999</v>
          </cell>
          <cell r="W268">
            <v>738</v>
          </cell>
          <cell r="Y268">
            <v>3.1</v>
          </cell>
          <cell r="Z268">
            <v>1234.5</v>
          </cell>
          <cell r="AA268">
            <v>1235.7</v>
          </cell>
          <cell r="AB268">
            <v>735.4</v>
          </cell>
          <cell r="AD268">
            <v>3.4</v>
          </cell>
          <cell r="AE268">
            <v>1233.2</v>
          </cell>
          <cell r="AF268">
            <v>1235.2</v>
          </cell>
          <cell r="AG268">
            <v>735.1</v>
          </cell>
          <cell r="AI268">
            <v>3.6</v>
          </cell>
          <cell r="AK268">
            <v>1959.8826199999999</v>
          </cell>
          <cell r="AM268">
            <v>1811.0049600000002</v>
          </cell>
          <cell r="AO268">
            <v>1808.9655399999999</v>
          </cell>
          <cell r="AP268" t="str">
            <v>Muestra tomada en la volqueta</v>
          </cell>
          <cell r="AQ268" t="str">
            <v>-</v>
          </cell>
          <cell r="AR268">
            <v>1966</v>
          </cell>
          <cell r="AS268">
            <v>3.4</v>
          </cell>
          <cell r="AV268">
            <v>2.4650452735842912</v>
          </cell>
          <cell r="BS268">
            <v>2.58</v>
          </cell>
        </row>
        <row r="269">
          <cell r="A269">
            <v>341</v>
          </cell>
          <cell r="B269">
            <v>40216</v>
          </cell>
          <cell r="D269">
            <v>1500.4</v>
          </cell>
          <cell r="E269">
            <v>1427.1</v>
          </cell>
          <cell r="G269" t="str">
            <v>Parcheo elaboración de fallos en vías urbanas y rurales del municipio de Medellín.</v>
          </cell>
          <cell r="H269" t="str">
            <v>1/2</v>
          </cell>
          <cell r="I269">
            <v>0</v>
          </cell>
          <cell r="J269">
            <v>160.9</v>
          </cell>
          <cell r="K269">
            <v>150.69999999999999</v>
          </cell>
          <cell r="L269">
            <v>298.8</v>
          </cell>
          <cell r="M269">
            <v>330.5</v>
          </cell>
          <cell r="N269">
            <v>227.2</v>
          </cell>
          <cell r="O269">
            <v>84.5</v>
          </cell>
          <cell r="P269">
            <v>74.099999999999994</v>
          </cell>
          <cell r="Q269">
            <v>100.4</v>
          </cell>
          <cell r="S269">
            <v>25</v>
          </cell>
          <cell r="T269" t="str">
            <v>1</v>
          </cell>
          <cell r="U269">
            <v>1234.7</v>
          </cell>
          <cell r="V269">
            <v>1236.5</v>
          </cell>
          <cell r="W269">
            <v>739.1</v>
          </cell>
          <cell r="Y269">
            <v>3.3</v>
          </cell>
          <cell r="Z269">
            <v>1234</v>
          </cell>
          <cell r="AA269">
            <v>1236.0999999999999</v>
          </cell>
          <cell r="AB269">
            <v>737</v>
          </cell>
          <cell r="AD269">
            <v>3.2</v>
          </cell>
          <cell r="AE269">
            <v>1237.2</v>
          </cell>
          <cell r="AF269">
            <v>1239.2</v>
          </cell>
          <cell r="AG269">
            <v>737.7</v>
          </cell>
          <cell r="AI269">
            <v>2.9</v>
          </cell>
          <cell r="AK269">
            <v>1976.1979799999999</v>
          </cell>
          <cell r="AM269">
            <v>1753.9012</v>
          </cell>
          <cell r="AO269">
            <v>1699.8565700000001</v>
          </cell>
          <cell r="AP269" t="str">
            <v>Muestra tomada en el elevador</v>
          </cell>
          <cell r="AQ269" t="str">
            <v>-</v>
          </cell>
          <cell r="AR269">
            <v>1912</v>
          </cell>
          <cell r="AS269">
            <v>3.1</v>
          </cell>
          <cell r="AV269">
            <v>2.4666829249662858</v>
          </cell>
          <cell r="BS269">
            <v>2.5880000000000001</v>
          </cell>
        </row>
        <row r="270">
          <cell r="A270">
            <v>342</v>
          </cell>
          <cell r="B270">
            <v>40216</v>
          </cell>
          <cell r="D270">
            <v>1501</v>
          </cell>
          <cell r="E270">
            <v>1424.8</v>
          </cell>
          <cell r="G270" t="str">
            <v>Parcheo elaboración de fallos en vías urbanas y rurales del municipio de Medellín.</v>
          </cell>
          <cell r="H270" t="str">
            <v>2/2</v>
          </cell>
          <cell r="I270">
            <v>0</v>
          </cell>
          <cell r="J270">
            <v>129.4</v>
          </cell>
          <cell r="K270">
            <v>172.8</v>
          </cell>
          <cell r="L270">
            <v>287.39999999999998</v>
          </cell>
          <cell r="M270">
            <v>287.7</v>
          </cell>
          <cell r="N270">
            <v>288.5</v>
          </cell>
          <cell r="O270">
            <v>93.7</v>
          </cell>
          <cell r="P270">
            <v>69.5</v>
          </cell>
          <cell r="Q270">
            <v>95.8</v>
          </cell>
          <cell r="S270">
            <v>25</v>
          </cell>
          <cell r="T270" t="str">
            <v>1</v>
          </cell>
          <cell r="U270">
            <v>1228</v>
          </cell>
          <cell r="V270">
            <v>1229</v>
          </cell>
          <cell r="W270">
            <v>732.9</v>
          </cell>
          <cell r="Y270">
            <v>2.8</v>
          </cell>
          <cell r="Z270">
            <v>1234</v>
          </cell>
          <cell r="AA270">
            <v>1235</v>
          </cell>
          <cell r="AB270">
            <v>735.4</v>
          </cell>
          <cell r="AD270">
            <v>3</v>
          </cell>
          <cell r="AE270">
            <v>1233.0999999999999</v>
          </cell>
          <cell r="AF270">
            <v>1234.0999999999999</v>
          </cell>
          <cell r="AG270">
            <v>733.9</v>
          </cell>
          <cell r="AI270">
            <v>3.21</v>
          </cell>
          <cell r="AK270">
            <v>1561.1760100000001</v>
          </cell>
          <cell r="AM270">
            <v>1792.6501799999999</v>
          </cell>
          <cell r="AO270">
            <v>1582.5899200000001</v>
          </cell>
          <cell r="AP270" t="str">
            <v>Muestra tomada en la volqueta</v>
          </cell>
          <cell r="AQ270" t="str">
            <v>-</v>
          </cell>
          <cell r="AR270">
            <v>1741</v>
          </cell>
          <cell r="AS270">
            <v>3</v>
          </cell>
          <cell r="AV270">
            <v>2.4629405294463789</v>
          </cell>
          <cell r="BS270">
            <v>2.5880000000000001</v>
          </cell>
        </row>
        <row r="271">
          <cell r="A271">
            <v>343</v>
          </cell>
          <cell r="B271">
            <v>40217</v>
          </cell>
          <cell r="D271">
            <v>1500.9</v>
          </cell>
          <cell r="E271">
            <v>1422.9</v>
          </cell>
          <cell r="G271" t="str">
            <v>Parcheo elaboración de fallos en vías urbanas y rurales del municipio de Medellín.</v>
          </cell>
          <cell r="H271" t="str">
            <v>1/2</v>
          </cell>
          <cell r="I271">
            <v>0</v>
          </cell>
          <cell r="J271">
            <v>125.2</v>
          </cell>
          <cell r="K271">
            <v>153.30000000000001</v>
          </cell>
          <cell r="L271">
            <v>309.8</v>
          </cell>
          <cell r="M271">
            <v>333.6</v>
          </cell>
          <cell r="N271">
            <v>249</v>
          </cell>
          <cell r="O271">
            <v>77.7</v>
          </cell>
          <cell r="P271">
            <v>72</v>
          </cell>
          <cell r="Q271">
            <v>102.3</v>
          </cell>
          <cell r="S271">
            <v>25</v>
          </cell>
          <cell r="T271" t="str">
            <v>1</v>
          </cell>
          <cell r="U271">
            <v>1235.8</v>
          </cell>
          <cell r="V271">
            <v>1236.8</v>
          </cell>
          <cell r="W271">
            <v>740.7</v>
          </cell>
          <cell r="Y271">
            <v>3</v>
          </cell>
          <cell r="Z271">
            <v>1234.5</v>
          </cell>
          <cell r="AA271">
            <v>1235.7</v>
          </cell>
          <cell r="AB271">
            <v>738</v>
          </cell>
          <cell r="AD271">
            <v>3.1</v>
          </cell>
          <cell r="AE271">
            <v>1233.8</v>
          </cell>
          <cell r="AF271">
            <v>1235.5</v>
          </cell>
          <cell r="AG271">
            <v>735.6</v>
          </cell>
          <cell r="AI271">
            <v>3.6</v>
          </cell>
          <cell r="AK271">
            <v>1873.2072700000001</v>
          </cell>
          <cell r="AM271">
            <v>1859.9510399999999</v>
          </cell>
          <cell r="AO271">
            <v>1614.20093</v>
          </cell>
          <cell r="AP271" t="str">
            <v>Muestra tomada en el elevador</v>
          </cell>
          <cell r="AR271">
            <v>1892</v>
          </cell>
          <cell r="AS271">
            <v>3.2</v>
          </cell>
          <cell r="AV271">
            <v>2.4725909676213997</v>
          </cell>
          <cell r="BS271">
            <v>2.5939999999999999</v>
          </cell>
        </row>
        <row r="272">
          <cell r="A272">
            <v>344</v>
          </cell>
          <cell r="B272">
            <v>40217</v>
          </cell>
          <cell r="D272">
            <v>1501</v>
          </cell>
          <cell r="E272">
            <v>1428.1</v>
          </cell>
          <cell r="G272" t="str">
            <v>Parcheo elaboración de fallos en vías urbanas y rurales del municipio de Medellín.</v>
          </cell>
          <cell r="H272" t="str">
            <v>2/2</v>
          </cell>
          <cell r="I272">
            <v>0</v>
          </cell>
          <cell r="J272">
            <v>166.5</v>
          </cell>
          <cell r="K272">
            <v>126</v>
          </cell>
          <cell r="L272">
            <v>335.6</v>
          </cell>
          <cell r="M272">
            <v>307.8</v>
          </cell>
          <cell r="N272">
            <v>252.3</v>
          </cell>
          <cell r="O272">
            <v>88.7</v>
          </cell>
          <cell r="P272">
            <v>66.099999999999994</v>
          </cell>
          <cell r="Q272">
            <v>85.1</v>
          </cell>
          <cell r="S272">
            <v>25</v>
          </cell>
          <cell r="T272" t="str">
            <v>1</v>
          </cell>
          <cell r="U272">
            <v>1224.8</v>
          </cell>
          <cell r="V272">
            <v>1227.0999999999999</v>
          </cell>
          <cell r="W272">
            <v>726.8</v>
          </cell>
          <cell r="Y272">
            <v>3.1</v>
          </cell>
          <cell r="Z272">
            <v>1235.2</v>
          </cell>
          <cell r="AA272">
            <v>1236.8</v>
          </cell>
          <cell r="AB272">
            <v>734.5</v>
          </cell>
          <cell r="AD272">
            <v>3.1</v>
          </cell>
          <cell r="AE272">
            <v>1234.8</v>
          </cell>
          <cell r="AF272">
            <v>1236.3</v>
          </cell>
          <cell r="AG272">
            <v>732.2</v>
          </cell>
          <cell r="AI272">
            <v>3.3</v>
          </cell>
          <cell r="AK272">
            <v>1451.0473300000001</v>
          </cell>
          <cell r="AM272">
            <v>1600.9447</v>
          </cell>
          <cell r="AO272">
            <v>1483.6780500000002</v>
          </cell>
          <cell r="AP272" t="str">
            <v>Muestra tomada en la volqueta</v>
          </cell>
          <cell r="AR272">
            <v>1581</v>
          </cell>
          <cell r="AS272">
            <v>3.2</v>
          </cell>
          <cell r="AV272">
            <v>2.4450716186828267</v>
          </cell>
          <cell r="BS272">
            <v>2.5939999999999999</v>
          </cell>
        </row>
        <row r="273">
          <cell r="A273">
            <v>345</v>
          </cell>
          <cell r="B273">
            <v>40218</v>
          </cell>
          <cell r="D273">
            <v>1500.5</v>
          </cell>
          <cell r="E273">
            <v>1424.5</v>
          </cell>
          <cell r="G273" t="str">
            <v>Parcheo elaboración de fallos en vías urbanas y rurales del municipio de Medellín.</v>
          </cell>
          <cell r="H273" t="str">
            <v>1/2</v>
          </cell>
          <cell r="I273">
            <v>0</v>
          </cell>
          <cell r="J273">
            <v>195.3</v>
          </cell>
          <cell r="K273">
            <v>194.4</v>
          </cell>
          <cell r="L273">
            <v>249.1</v>
          </cell>
          <cell r="M273">
            <v>314</v>
          </cell>
          <cell r="N273">
            <v>241.6</v>
          </cell>
          <cell r="O273">
            <v>75.5</v>
          </cell>
          <cell r="P273">
            <v>70.099999999999994</v>
          </cell>
          <cell r="Q273">
            <v>84.5</v>
          </cell>
          <cell r="S273">
            <v>25</v>
          </cell>
          <cell r="T273" t="str">
            <v>1</v>
          </cell>
          <cell r="U273">
            <v>1234.4000000000001</v>
          </cell>
          <cell r="V273">
            <v>1235.0999999999999</v>
          </cell>
          <cell r="W273">
            <v>740.9</v>
          </cell>
          <cell r="Y273">
            <v>3.5</v>
          </cell>
          <cell r="Z273">
            <v>1235.0999999999999</v>
          </cell>
          <cell r="AA273">
            <v>1235.8</v>
          </cell>
          <cell r="AB273">
            <v>736.3</v>
          </cell>
          <cell r="AD273">
            <v>3.4</v>
          </cell>
          <cell r="AE273">
            <v>1234.7</v>
          </cell>
          <cell r="AF273">
            <v>1235.7</v>
          </cell>
          <cell r="AG273">
            <v>738</v>
          </cell>
          <cell r="AI273">
            <v>3.4</v>
          </cell>
          <cell r="AK273">
            <v>1851.7933600000001</v>
          </cell>
          <cell r="AM273">
            <v>1681.5017899999998</v>
          </cell>
          <cell r="AO273">
            <v>1798.7684400000001</v>
          </cell>
          <cell r="AP273" t="str">
            <v>Muestra tomada en el elevador</v>
          </cell>
          <cell r="AR273">
            <v>1891</v>
          </cell>
          <cell r="AS273">
            <v>3.4</v>
          </cell>
          <cell r="AV273">
            <v>2.4764878852584329</v>
          </cell>
          <cell r="BS273">
            <v>2.5979999999999999</v>
          </cell>
        </row>
        <row r="274">
          <cell r="A274">
            <v>346</v>
          </cell>
          <cell r="B274">
            <v>40218</v>
          </cell>
          <cell r="D274">
            <v>1500.9</v>
          </cell>
          <cell r="E274">
            <v>1427.7</v>
          </cell>
          <cell r="G274" t="str">
            <v>Parcheo elaboración de fallos en vías urbanas y rurales del municipio de Medellín.</v>
          </cell>
          <cell r="H274" t="str">
            <v>2/2</v>
          </cell>
          <cell r="I274">
            <v>0</v>
          </cell>
          <cell r="J274">
            <v>217</v>
          </cell>
          <cell r="K274">
            <v>186.7</v>
          </cell>
          <cell r="L274">
            <v>208.9</v>
          </cell>
          <cell r="M274">
            <v>296.89999999999998</v>
          </cell>
          <cell r="N274">
            <v>274</v>
          </cell>
          <cell r="O274">
            <v>80.2</v>
          </cell>
          <cell r="P274">
            <v>71.900000000000006</v>
          </cell>
          <cell r="Q274">
            <v>92.1</v>
          </cell>
          <cell r="S274">
            <v>25</v>
          </cell>
          <cell r="T274" t="str">
            <v>1</v>
          </cell>
          <cell r="U274">
            <v>1231.9000000000001</v>
          </cell>
          <cell r="V274">
            <v>1233.8</v>
          </cell>
          <cell r="W274">
            <v>734.8</v>
          </cell>
          <cell r="Y274">
            <v>2.9</v>
          </cell>
          <cell r="Z274">
            <v>1233.8</v>
          </cell>
          <cell r="AA274">
            <v>1234.2</v>
          </cell>
          <cell r="AB274">
            <v>736.3</v>
          </cell>
          <cell r="AD274">
            <v>3.6</v>
          </cell>
          <cell r="AE274">
            <v>1237.8</v>
          </cell>
          <cell r="AF274">
            <v>1238.5</v>
          </cell>
          <cell r="AG274">
            <v>736.4</v>
          </cell>
          <cell r="AI274">
            <v>3.1</v>
          </cell>
          <cell r="AK274">
            <v>1450.0276200000001</v>
          </cell>
          <cell r="AM274">
            <v>1871.1678500000003</v>
          </cell>
          <cell r="AO274">
            <v>1532.6241299999999</v>
          </cell>
          <cell r="AP274" t="str">
            <v>Muestra tomada en la volqueta</v>
          </cell>
          <cell r="AR274">
            <v>1707</v>
          </cell>
          <cell r="AS274">
            <v>3.2</v>
          </cell>
          <cell r="AV274">
            <v>2.4634370000173669</v>
          </cell>
          <cell r="BS274">
            <v>2.5979999999999999</v>
          </cell>
        </row>
        <row r="275">
          <cell r="A275">
            <v>347</v>
          </cell>
          <cell r="B275">
            <v>40219</v>
          </cell>
          <cell r="D275">
            <v>1500.1</v>
          </cell>
          <cell r="E275">
            <v>1427</v>
          </cell>
          <cell r="G275" t="str">
            <v>Parcheo elaboración de fallos en vías urbanas y rurales del municipio de Medellín.</v>
          </cell>
          <cell r="H275" t="str">
            <v>1/2</v>
          </cell>
          <cell r="I275">
            <v>0</v>
          </cell>
          <cell r="J275">
            <v>190.9</v>
          </cell>
          <cell r="K275">
            <v>193</v>
          </cell>
          <cell r="L275">
            <v>262.89999999999998</v>
          </cell>
          <cell r="M275">
            <v>300.39999999999998</v>
          </cell>
          <cell r="N275">
            <v>239.7</v>
          </cell>
          <cell r="O275">
            <v>77.7</v>
          </cell>
          <cell r="P275">
            <v>70.2</v>
          </cell>
          <cell r="Q275">
            <v>92.2</v>
          </cell>
          <cell r="S275">
            <v>25</v>
          </cell>
          <cell r="T275" t="str">
            <v>1</v>
          </cell>
          <cell r="U275">
            <v>1237.5999999999999</v>
          </cell>
          <cell r="V275">
            <v>1238.4000000000001</v>
          </cell>
          <cell r="W275">
            <v>742.2</v>
          </cell>
          <cell r="Y275">
            <v>3</v>
          </cell>
          <cell r="Z275">
            <v>1230.5</v>
          </cell>
          <cell r="AA275">
            <v>1232.3</v>
          </cell>
          <cell r="AB275">
            <v>732.9</v>
          </cell>
          <cell r="AD275">
            <v>3.6</v>
          </cell>
          <cell r="AE275">
            <v>1235.5</v>
          </cell>
          <cell r="AF275">
            <v>1236.9000000000001</v>
          </cell>
          <cell r="AG275">
            <v>735</v>
          </cell>
          <cell r="AI275">
            <v>3.2</v>
          </cell>
          <cell r="AK275">
            <v>1910.9365399999999</v>
          </cell>
          <cell r="AM275">
            <v>1625.4177400000001</v>
          </cell>
          <cell r="AO275">
            <v>1742.6843900000001</v>
          </cell>
          <cell r="AP275" t="str">
            <v>Muestra tomada en el elevador</v>
          </cell>
          <cell r="AR275">
            <v>1860</v>
          </cell>
          <cell r="AS275">
            <v>3.3</v>
          </cell>
          <cell r="AV275">
            <v>2.4660184281048059</v>
          </cell>
          <cell r="BS275">
            <v>2.5910000000000002</v>
          </cell>
        </row>
        <row r="276">
          <cell r="A276">
            <v>348</v>
          </cell>
          <cell r="B276">
            <v>40219</v>
          </cell>
          <cell r="D276">
            <v>1501.7</v>
          </cell>
          <cell r="E276">
            <v>1429.4</v>
          </cell>
          <cell r="G276" t="str">
            <v>Parcheo elaboración de fallos en vías urbanas y rurales del municipio de Medellín.</v>
          </cell>
          <cell r="H276" t="str">
            <v>2/2</v>
          </cell>
          <cell r="I276">
            <v>0</v>
          </cell>
          <cell r="J276">
            <v>209.4</v>
          </cell>
          <cell r="K276">
            <v>202</v>
          </cell>
          <cell r="L276">
            <v>255.9</v>
          </cell>
          <cell r="M276">
            <v>287.39999999999998</v>
          </cell>
          <cell r="N276">
            <v>241.8</v>
          </cell>
          <cell r="O276">
            <v>83.7</v>
          </cell>
          <cell r="P276">
            <v>62</v>
          </cell>
          <cell r="Q276">
            <v>87.2</v>
          </cell>
          <cell r="S276">
            <v>25</v>
          </cell>
          <cell r="T276" t="str">
            <v>1</v>
          </cell>
          <cell r="U276">
            <v>1234.4000000000001</v>
          </cell>
          <cell r="V276">
            <v>1235</v>
          </cell>
          <cell r="W276">
            <v>737.7</v>
          </cell>
          <cell r="Y276">
            <v>3.1</v>
          </cell>
          <cell r="Z276">
            <v>1233.7</v>
          </cell>
          <cell r="AA276">
            <v>1235.0999999999999</v>
          </cell>
          <cell r="AB276">
            <v>735.6</v>
          </cell>
          <cell r="AD276">
            <v>3.4</v>
          </cell>
          <cell r="AE276">
            <v>1232.2</v>
          </cell>
          <cell r="AF276">
            <v>1233</v>
          </cell>
          <cell r="AG276">
            <v>735.1</v>
          </cell>
          <cell r="AI276">
            <v>3.4</v>
          </cell>
          <cell r="AK276">
            <v>1742.6843900000001</v>
          </cell>
          <cell r="AM276">
            <v>1822.2217700000001</v>
          </cell>
          <cell r="AO276">
            <v>1758.9997499999999</v>
          </cell>
          <cell r="AP276" t="str">
            <v>Muestra tomada en la volqueta</v>
          </cell>
          <cell r="AR276">
            <v>1881</v>
          </cell>
          <cell r="AS276">
            <v>3.3</v>
          </cell>
          <cell r="AV276">
            <v>2.4683814392260786</v>
          </cell>
          <cell r="BS276">
            <v>2.5910000000000002</v>
          </cell>
        </row>
        <row r="277">
          <cell r="A277">
            <v>349</v>
          </cell>
          <cell r="B277">
            <v>40220</v>
          </cell>
          <cell r="D277">
            <v>1501.9</v>
          </cell>
          <cell r="E277">
            <v>1425.6</v>
          </cell>
          <cell r="G277" t="str">
            <v>Parcheo elaboración de fallos en vías urbanas y rurales del municipio de Medellín.</v>
          </cell>
          <cell r="H277" t="str">
            <v>1/2</v>
          </cell>
          <cell r="I277">
            <v>0</v>
          </cell>
          <cell r="J277">
            <v>161.5</v>
          </cell>
          <cell r="K277">
            <v>183.3</v>
          </cell>
          <cell r="L277">
            <v>289.60000000000002</v>
          </cell>
          <cell r="M277">
            <v>310.8</v>
          </cell>
          <cell r="N277">
            <v>235.1</v>
          </cell>
          <cell r="O277">
            <v>80.8</v>
          </cell>
          <cell r="P277">
            <v>72.599999999999994</v>
          </cell>
          <cell r="Q277">
            <v>91.9</v>
          </cell>
          <cell r="S277">
            <v>25</v>
          </cell>
          <cell r="T277" t="str">
            <v>1</v>
          </cell>
          <cell r="U277">
            <v>1236.2</v>
          </cell>
          <cell r="V277">
            <v>1236.8</v>
          </cell>
          <cell r="W277">
            <v>739.3</v>
          </cell>
          <cell r="Y277">
            <v>2.9</v>
          </cell>
          <cell r="Z277">
            <v>1231.2</v>
          </cell>
          <cell r="AA277">
            <v>1232.5</v>
          </cell>
          <cell r="AB277">
            <v>735.2</v>
          </cell>
          <cell r="AD277">
            <v>3</v>
          </cell>
          <cell r="AE277">
            <v>1233.9000000000001</v>
          </cell>
          <cell r="AF277">
            <v>1234.9000000000001</v>
          </cell>
          <cell r="AG277">
            <v>736</v>
          </cell>
          <cell r="AI277">
            <v>3</v>
          </cell>
          <cell r="AK277">
            <v>1809.9852500000002</v>
          </cell>
          <cell r="AM277">
            <v>1696.7974400000001</v>
          </cell>
          <cell r="AO277">
            <v>1474.5006600000002</v>
          </cell>
          <cell r="AP277" t="str">
            <v>Muestra tomada en el elevador</v>
          </cell>
          <cell r="AR277">
            <v>1762</v>
          </cell>
          <cell r="AS277">
            <v>3</v>
          </cell>
          <cell r="AV277">
            <v>2.470696812961795</v>
          </cell>
          <cell r="BS277">
            <v>2.5910000000000002</v>
          </cell>
        </row>
        <row r="278">
          <cell r="A278">
            <v>350</v>
          </cell>
          <cell r="B278">
            <v>40220</v>
          </cell>
          <cell r="D278">
            <v>1500.4</v>
          </cell>
          <cell r="E278">
            <v>1425.6</v>
          </cell>
          <cell r="G278" t="str">
            <v>Parcheo elaboración de fallos en vías urbanas y rurales del municipio de Medellín.</v>
          </cell>
          <cell r="H278" t="str">
            <v>2/2</v>
          </cell>
          <cell r="I278">
            <v>0</v>
          </cell>
          <cell r="J278">
            <v>195</v>
          </cell>
          <cell r="K278">
            <v>174.5</v>
          </cell>
          <cell r="L278">
            <v>277.5</v>
          </cell>
          <cell r="M278">
            <v>297.39999999999998</v>
          </cell>
          <cell r="N278">
            <v>246.3</v>
          </cell>
          <cell r="O278">
            <v>85.1</v>
          </cell>
          <cell r="P278">
            <v>62.3</v>
          </cell>
          <cell r="Q278">
            <v>87.5</v>
          </cell>
          <cell r="S278">
            <v>25</v>
          </cell>
          <cell r="T278" t="str">
            <v>1</v>
          </cell>
          <cell r="U278">
            <v>1232.4000000000001</v>
          </cell>
          <cell r="V278">
            <v>1233.3</v>
          </cell>
          <cell r="W278">
            <v>734.9</v>
          </cell>
          <cell r="Y278">
            <v>2.8</v>
          </cell>
          <cell r="Z278">
            <v>1230.8</v>
          </cell>
          <cell r="AA278">
            <v>1232.0999999999999</v>
          </cell>
          <cell r="AB278">
            <v>732.5</v>
          </cell>
          <cell r="AD278">
            <v>2.85</v>
          </cell>
          <cell r="AE278">
            <v>1235.0999999999999</v>
          </cell>
          <cell r="AF278">
            <v>1236</v>
          </cell>
          <cell r="AG278">
            <v>732.5</v>
          </cell>
          <cell r="AI278">
            <v>2.7</v>
          </cell>
          <cell r="AK278">
            <v>1543.84094</v>
          </cell>
          <cell r="AM278">
            <v>1523.4467400000001</v>
          </cell>
          <cell r="AO278">
            <v>1523.4467400000001</v>
          </cell>
          <cell r="AP278" t="str">
            <v>Muestra tomada en la volqueta</v>
          </cell>
          <cell r="AR278">
            <v>1610</v>
          </cell>
          <cell r="AS278">
            <v>2.8</v>
          </cell>
          <cell r="AV278">
            <v>2.4558995323641577</v>
          </cell>
          <cell r="BS278">
            <v>2.5910000000000002</v>
          </cell>
        </row>
        <row r="279">
          <cell r="A279">
            <v>351</v>
          </cell>
          <cell r="B279">
            <v>40221</v>
          </cell>
          <cell r="D279">
            <v>1500.4</v>
          </cell>
          <cell r="E279">
            <v>1428</v>
          </cell>
          <cell r="G279" t="str">
            <v>Parcheo elaboración de fallos en vías urbanas y rurales del municipio de Medellín.</v>
          </cell>
          <cell r="H279" t="str">
            <v>1/3</v>
          </cell>
          <cell r="I279">
            <v>0</v>
          </cell>
          <cell r="J279">
            <v>190.3</v>
          </cell>
          <cell r="K279">
            <v>194.8</v>
          </cell>
          <cell r="L279">
            <v>303.60000000000002</v>
          </cell>
          <cell r="M279">
            <v>292.2</v>
          </cell>
          <cell r="N279">
            <v>218</v>
          </cell>
          <cell r="O279">
            <v>75.099999999999994</v>
          </cell>
          <cell r="P279">
            <v>64.8</v>
          </cell>
          <cell r="Q279">
            <v>89.2</v>
          </cell>
          <cell r="S279">
            <v>25</v>
          </cell>
          <cell r="T279" t="str">
            <v>1</v>
          </cell>
          <cell r="U279">
            <v>1231.3</v>
          </cell>
          <cell r="V279">
            <v>1232.3</v>
          </cell>
          <cell r="W279">
            <v>733.6</v>
          </cell>
          <cell r="Y279">
            <v>3.3</v>
          </cell>
          <cell r="Z279">
            <v>1234.5</v>
          </cell>
          <cell r="AA279">
            <v>1235.7</v>
          </cell>
          <cell r="AB279">
            <v>735.6</v>
          </cell>
          <cell r="AD279">
            <v>3.3</v>
          </cell>
          <cell r="AE279">
            <v>1234.5</v>
          </cell>
          <cell r="AF279">
            <v>1235.3</v>
          </cell>
          <cell r="AG279">
            <v>735.9</v>
          </cell>
          <cell r="AI279">
            <v>3.14</v>
          </cell>
          <cell r="AK279">
            <v>1538.7423900000001</v>
          </cell>
          <cell r="AM279">
            <v>1595.8461500000001</v>
          </cell>
          <cell r="AO279">
            <v>1641.7331000000001</v>
          </cell>
          <cell r="AP279" t="str">
            <v>Muestra tomada en el elevador</v>
          </cell>
          <cell r="AR279">
            <v>1681</v>
          </cell>
          <cell r="AS279">
            <v>3.2</v>
          </cell>
          <cell r="AV279">
            <v>2.4626064481748791</v>
          </cell>
          <cell r="BS279">
            <v>2.5859999999999999</v>
          </cell>
        </row>
        <row r="280">
          <cell r="A280">
            <v>352</v>
          </cell>
          <cell r="B280">
            <v>40221</v>
          </cell>
          <cell r="D280">
            <v>1500.9</v>
          </cell>
          <cell r="E280">
            <v>1426.4</v>
          </cell>
          <cell r="G280" t="str">
            <v>Parcheo elaboración de fallos en vías urbanas y rurales del municipio de Medellín.</v>
          </cell>
          <cell r="H280" t="str">
            <v>2/3</v>
          </cell>
          <cell r="I280">
            <v>0</v>
          </cell>
          <cell r="J280">
            <v>185.4</v>
          </cell>
          <cell r="K280">
            <v>186.3</v>
          </cell>
          <cell r="L280">
            <v>319.89999999999998</v>
          </cell>
          <cell r="M280">
            <v>281.2</v>
          </cell>
          <cell r="N280">
            <v>223.2</v>
          </cell>
          <cell r="O280">
            <v>77.7</v>
          </cell>
          <cell r="P280">
            <v>70.599999999999994</v>
          </cell>
          <cell r="Q280">
            <v>82.1</v>
          </cell>
          <cell r="S280">
            <v>25</v>
          </cell>
          <cell r="T280" t="str">
            <v>1</v>
          </cell>
          <cell r="U280">
            <v>1229.8</v>
          </cell>
          <cell r="V280">
            <v>1231.3</v>
          </cell>
          <cell r="W280">
            <v>731.3</v>
          </cell>
          <cell r="Y280">
            <v>3</v>
          </cell>
          <cell r="Z280">
            <v>1229.0999999999999</v>
          </cell>
          <cell r="AA280">
            <v>1229.8</v>
          </cell>
          <cell r="AB280">
            <v>733</v>
          </cell>
          <cell r="AD280">
            <v>2.8</v>
          </cell>
          <cell r="AE280">
            <v>1236.2</v>
          </cell>
          <cell r="AF280">
            <v>1238</v>
          </cell>
          <cell r="AG280">
            <v>735.7</v>
          </cell>
          <cell r="AI280">
            <v>3.6</v>
          </cell>
          <cell r="AK280">
            <v>1455.12617</v>
          </cell>
          <cell r="AM280">
            <v>1601.96441</v>
          </cell>
          <cell r="AO280">
            <v>1689.6594700000001</v>
          </cell>
          <cell r="AP280" t="str">
            <v>Muestra tomada en la volqueta</v>
          </cell>
          <cell r="AR280">
            <v>1669</v>
          </cell>
          <cell r="AS280">
            <v>3.1</v>
          </cell>
          <cell r="AV280">
            <v>2.4576944392543081</v>
          </cell>
          <cell r="BS280">
            <v>2.5859999999999999</v>
          </cell>
        </row>
        <row r="281">
          <cell r="A281">
            <v>353</v>
          </cell>
          <cell r="B281">
            <v>40224</v>
          </cell>
          <cell r="D281">
            <v>1500.4</v>
          </cell>
          <cell r="E281">
            <v>1421.1</v>
          </cell>
          <cell r="G281" t="str">
            <v>Parcheo elaboración de fallos en vías urbanas y rurales del municipio de Medellín.</v>
          </cell>
          <cell r="H281" t="str">
            <v>1/2</v>
          </cell>
          <cell r="I281">
            <v>0</v>
          </cell>
          <cell r="J281">
            <v>155.5</v>
          </cell>
          <cell r="K281">
            <v>163.80000000000001</v>
          </cell>
          <cell r="L281">
            <v>328.9</v>
          </cell>
          <cell r="M281">
            <v>252.7</v>
          </cell>
          <cell r="N281">
            <v>267.2</v>
          </cell>
          <cell r="O281">
            <v>89.6</v>
          </cell>
          <cell r="P281">
            <v>74.5</v>
          </cell>
          <cell r="Q281">
            <v>88.9</v>
          </cell>
          <cell r="S281">
            <v>25</v>
          </cell>
          <cell r="T281" t="str">
            <v>1</v>
          </cell>
          <cell r="U281">
            <v>1235.9000000000001</v>
          </cell>
          <cell r="V281">
            <v>1237.4000000000001</v>
          </cell>
          <cell r="W281">
            <v>734.7</v>
          </cell>
          <cell r="Y281">
            <v>3.2</v>
          </cell>
          <cell r="Z281">
            <v>1236.5</v>
          </cell>
          <cell r="AA281">
            <v>1237.8</v>
          </cell>
          <cell r="AB281">
            <v>734.2</v>
          </cell>
          <cell r="AD281">
            <v>3.3</v>
          </cell>
          <cell r="AE281">
            <v>1234.5</v>
          </cell>
          <cell r="AF281">
            <v>1236.8</v>
          </cell>
          <cell r="AG281">
            <v>730.7</v>
          </cell>
          <cell r="AI281">
            <v>3.1</v>
          </cell>
          <cell r="AK281">
            <v>1511.2102200000002</v>
          </cell>
          <cell r="AM281">
            <v>1620.3191900000002</v>
          </cell>
          <cell r="AO281">
            <v>1421.4757400000001</v>
          </cell>
          <cell r="AP281" t="str">
            <v>Muestra tomada en el elevador</v>
          </cell>
          <cell r="AR281">
            <v>1578</v>
          </cell>
          <cell r="AS281">
            <v>3.2</v>
          </cell>
          <cell r="AV281">
            <v>2.4438597106295799</v>
          </cell>
          <cell r="BS281">
            <v>2.577</v>
          </cell>
        </row>
        <row r="282">
          <cell r="A282">
            <v>354</v>
          </cell>
          <cell r="B282">
            <v>40224</v>
          </cell>
          <cell r="D282">
            <v>1501</v>
          </cell>
          <cell r="E282">
            <v>1427</v>
          </cell>
          <cell r="G282" t="str">
            <v>Parcheo elaboración de fallos en vías urbanas y rurales del municipio de Medellín.</v>
          </cell>
          <cell r="H282" t="str">
            <v>2/2</v>
          </cell>
          <cell r="I282">
            <v>0</v>
          </cell>
          <cell r="J282">
            <v>156.4</v>
          </cell>
          <cell r="K282">
            <v>179</v>
          </cell>
          <cell r="L282">
            <v>314.60000000000002</v>
          </cell>
          <cell r="M282">
            <v>298.3</v>
          </cell>
          <cell r="N282">
            <v>240.6</v>
          </cell>
          <cell r="O282">
            <v>88.8</v>
          </cell>
          <cell r="P282">
            <v>63.5</v>
          </cell>
          <cell r="Q282">
            <v>85.8</v>
          </cell>
          <cell r="S282">
            <v>25</v>
          </cell>
          <cell r="T282" t="str">
            <v>1</v>
          </cell>
          <cell r="U282">
            <v>1236.7</v>
          </cell>
          <cell r="V282">
            <v>1237.3</v>
          </cell>
          <cell r="W282">
            <v>737.5</v>
          </cell>
          <cell r="Y282">
            <v>3.1</v>
          </cell>
          <cell r="Z282">
            <v>1233.0999999999999</v>
          </cell>
          <cell r="AA282">
            <v>1234.4000000000001</v>
          </cell>
          <cell r="AB282">
            <v>733.2</v>
          </cell>
          <cell r="AD282">
            <v>3</v>
          </cell>
          <cell r="AE282">
            <v>1232.5999999999999</v>
          </cell>
          <cell r="AF282">
            <v>1233.5999999999999</v>
          </cell>
          <cell r="AG282">
            <v>732.5</v>
          </cell>
          <cell r="AI282">
            <v>3.2</v>
          </cell>
          <cell r="AK282">
            <v>1648.8710700000001</v>
          </cell>
          <cell r="AM282">
            <v>1540.78181</v>
          </cell>
          <cell r="AO282">
            <v>1483.6780500000002</v>
          </cell>
          <cell r="AP282" t="str">
            <v>Muestra tomada en la volqueta</v>
          </cell>
          <cell r="AR282">
            <v>1638</v>
          </cell>
          <cell r="AS282">
            <v>3.1</v>
          </cell>
          <cell r="AV282">
            <v>2.4576148925183725</v>
          </cell>
          <cell r="BS282">
            <v>2.577</v>
          </cell>
        </row>
        <row r="283">
          <cell r="A283">
            <v>355</v>
          </cell>
          <cell r="B283">
            <v>40225</v>
          </cell>
          <cell r="D283">
            <v>1501.1</v>
          </cell>
          <cell r="E283">
            <v>1425.2</v>
          </cell>
          <cell r="G283" t="str">
            <v>Parcheo elaboración de fallos en vías urbanas y rurales del municipio de Medellín.</v>
          </cell>
          <cell r="H283" t="str">
            <v>1/2</v>
          </cell>
          <cell r="I283">
            <v>0</v>
          </cell>
          <cell r="J283">
            <v>172.1</v>
          </cell>
          <cell r="K283">
            <v>213.7</v>
          </cell>
          <cell r="L283">
            <v>282.2</v>
          </cell>
          <cell r="M283">
            <v>280.2</v>
          </cell>
          <cell r="N283">
            <v>237.2</v>
          </cell>
          <cell r="O283">
            <v>79.5</v>
          </cell>
          <cell r="P283">
            <v>73.8</v>
          </cell>
          <cell r="Q283">
            <v>86.5</v>
          </cell>
          <cell r="S283">
            <v>25</v>
          </cell>
          <cell r="T283" t="str">
            <v>1</v>
          </cell>
          <cell r="U283">
            <v>1230.7</v>
          </cell>
          <cell r="V283">
            <v>1232.2</v>
          </cell>
          <cell r="W283">
            <v>733.9</v>
          </cell>
          <cell r="Y283">
            <v>3</v>
          </cell>
          <cell r="Z283">
            <v>1227.5999999999999</v>
          </cell>
          <cell r="AA283">
            <v>1228.9000000000001</v>
          </cell>
          <cell r="AB283">
            <v>733</v>
          </cell>
          <cell r="AD283">
            <v>3.4</v>
          </cell>
          <cell r="AE283">
            <v>1229.7</v>
          </cell>
          <cell r="AF283">
            <v>1231.0999999999999</v>
          </cell>
          <cell r="AG283">
            <v>730.2</v>
          </cell>
          <cell r="AI283">
            <v>3.4</v>
          </cell>
          <cell r="AK283">
            <v>1663.1470099999999</v>
          </cell>
          <cell r="AM283">
            <v>1792.6501799999999</v>
          </cell>
          <cell r="AO283">
            <v>1460.2247200000002</v>
          </cell>
          <cell r="AP283" t="str">
            <v>Muestra tomada en el elevador</v>
          </cell>
          <cell r="AR283">
            <v>1737</v>
          </cell>
          <cell r="AS283">
            <v>3.3</v>
          </cell>
          <cell r="AV283">
            <v>2.4595438753498668</v>
          </cell>
          <cell r="BS283">
            <v>2.5737999999999999</v>
          </cell>
        </row>
        <row r="284">
          <cell r="A284">
            <v>356</v>
          </cell>
          <cell r="B284">
            <v>40225</v>
          </cell>
          <cell r="D284">
            <v>1501.3</v>
          </cell>
          <cell r="E284">
            <v>1426.8</v>
          </cell>
          <cell r="G284" t="str">
            <v>Parcheo elaboración de fallos en vías urbanas y rurales del municipio de Medellín.</v>
          </cell>
          <cell r="H284" t="str">
            <v>2/2</v>
          </cell>
          <cell r="I284">
            <v>0</v>
          </cell>
          <cell r="J284">
            <v>205.2</v>
          </cell>
          <cell r="K284">
            <v>160.30000000000001</v>
          </cell>
          <cell r="L284">
            <v>308.60000000000002</v>
          </cell>
          <cell r="M284">
            <v>285.8</v>
          </cell>
          <cell r="N284">
            <v>224.4</v>
          </cell>
          <cell r="O284">
            <v>79.7</v>
          </cell>
          <cell r="P284">
            <v>70.7</v>
          </cell>
          <cell r="Q284">
            <v>92.1</v>
          </cell>
          <cell r="S284">
            <v>25</v>
          </cell>
          <cell r="T284" t="str">
            <v>1</v>
          </cell>
          <cell r="U284">
            <v>1234.9000000000001</v>
          </cell>
          <cell r="V284">
            <v>1235.5</v>
          </cell>
          <cell r="W284">
            <v>739</v>
          </cell>
          <cell r="Y284">
            <v>3.1</v>
          </cell>
          <cell r="Z284">
            <v>1235</v>
          </cell>
          <cell r="AA284">
            <v>1235.8</v>
          </cell>
          <cell r="AB284">
            <v>734.5</v>
          </cell>
          <cell r="AD284">
            <v>3.1</v>
          </cell>
          <cell r="AE284">
            <v>1236.5999999999999</v>
          </cell>
          <cell r="AF284">
            <v>1237.8</v>
          </cell>
          <cell r="AG284">
            <v>738.4</v>
          </cell>
          <cell r="AI284">
            <v>3.1</v>
          </cell>
          <cell r="AK284">
            <v>1794.6896000000002</v>
          </cell>
          <cell r="AM284">
            <v>1422.4954499999999</v>
          </cell>
          <cell r="AO284">
            <v>1789.5910500000002</v>
          </cell>
          <cell r="AP284" t="str">
            <v>Muestra tomada en la volqueta</v>
          </cell>
          <cell r="AR284">
            <v>1765</v>
          </cell>
          <cell r="AS284">
            <v>3.1</v>
          </cell>
          <cell r="AV284">
            <v>2.4684175421803816</v>
          </cell>
          <cell r="BS284">
            <v>2.5785999999999998</v>
          </cell>
        </row>
        <row r="285">
          <cell r="A285">
            <v>357</v>
          </cell>
          <cell r="B285">
            <v>40226</v>
          </cell>
          <cell r="D285">
            <v>1501.1</v>
          </cell>
          <cell r="E285">
            <v>1429.5</v>
          </cell>
          <cell r="G285" t="str">
            <v>Parcheo elaboración de fallos en vías urbanas y rurales del municipio de Medellín.</v>
          </cell>
          <cell r="H285" t="str">
            <v>1/2</v>
          </cell>
          <cell r="I285">
            <v>0</v>
          </cell>
          <cell r="J285">
            <v>218.8</v>
          </cell>
          <cell r="K285">
            <v>196.1</v>
          </cell>
          <cell r="L285">
            <v>297.60000000000002</v>
          </cell>
          <cell r="M285">
            <v>269</v>
          </cell>
          <cell r="N285">
            <v>216.7</v>
          </cell>
          <cell r="O285">
            <v>78.599999999999994</v>
          </cell>
          <cell r="P285">
            <v>68</v>
          </cell>
          <cell r="Q285">
            <v>84.7</v>
          </cell>
          <cell r="S285">
            <v>25</v>
          </cell>
          <cell r="T285" t="str">
            <v>1</v>
          </cell>
          <cell r="U285">
            <v>1234.5</v>
          </cell>
          <cell r="V285">
            <v>1235.0999999999999</v>
          </cell>
          <cell r="W285">
            <v>734.4</v>
          </cell>
          <cell r="Y285">
            <v>3.2</v>
          </cell>
          <cell r="Z285">
            <v>1237.3</v>
          </cell>
          <cell r="AA285">
            <v>1238.0999999999999</v>
          </cell>
          <cell r="AB285">
            <v>734.2</v>
          </cell>
          <cell r="AD285">
            <v>3.1</v>
          </cell>
          <cell r="AE285">
            <v>1232.4000000000001</v>
          </cell>
          <cell r="AF285">
            <v>1234.5</v>
          </cell>
          <cell r="AG285">
            <v>729.7</v>
          </cell>
          <cell r="AI285">
            <v>3</v>
          </cell>
          <cell r="AK285">
            <v>1880.3452400000001</v>
          </cell>
          <cell r="AM285">
            <v>1643.7725200000002</v>
          </cell>
          <cell r="AO285">
            <v>1560.1563000000001</v>
          </cell>
          <cell r="AP285" t="str">
            <v>Muestra tomada en el elevador</v>
          </cell>
          <cell r="AR285">
            <v>1768</v>
          </cell>
          <cell r="AS285">
            <v>3.1</v>
          </cell>
          <cell r="AV285">
            <v>2.4469412529443235</v>
          </cell>
          <cell r="BS285">
            <v>2.5720000000000001</v>
          </cell>
        </row>
        <row r="286">
          <cell r="A286">
            <v>358</v>
          </cell>
          <cell r="B286">
            <v>40226</v>
          </cell>
          <cell r="D286">
            <v>1501.9</v>
          </cell>
          <cell r="E286">
            <v>1432.5</v>
          </cell>
          <cell r="G286" t="str">
            <v>Parcheo elaboración de fallos en vías urbanas y rurales del municipio de Medellín.</v>
          </cell>
          <cell r="H286" t="str">
            <v>2/2</v>
          </cell>
          <cell r="I286">
            <v>0</v>
          </cell>
          <cell r="J286">
            <v>146.19999999999999</v>
          </cell>
          <cell r="K286">
            <v>199.6</v>
          </cell>
          <cell r="L286">
            <v>356.2</v>
          </cell>
          <cell r="M286">
            <v>278.5</v>
          </cell>
          <cell r="N286">
            <v>214.6</v>
          </cell>
          <cell r="O286">
            <v>84.8</v>
          </cell>
          <cell r="P286">
            <v>66.3</v>
          </cell>
          <cell r="Q286">
            <v>86.3</v>
          </cell>
          <cell r="S286">
            <v>25</v>
          </cell>
          <cell r="T286" t="str">
            <v>1</v>
          </cell>
          <cell r="U286">
            <v>1233.8</v>
          </cell>
          <cell r="V286">
            <v>1235.2</v>
          </cell>
          <cell r="W286">
            <v>733.9</v>
          </cell>
          <cell r="Y286">
            <v>3.3</v>
          </cell>
          <cell r="Z286">
            <v>1235.8</v>
          </cell>
          <cell r="AA286">
            <v>1237.5</v>
          </cell>
          <cell r="AB286">
            <v>731.2</v>
          </cell>
          <cell r="AD286">
            <v>3</v>
          </cell>
          <cell r="AE286">
            <v>1229.2</v>
          </cell>
          <cell r="AF286">
            <v>1231.5</v>
          </cell>
          <cell r="AG286">
            <v>730</v>
          </cell>
          <cell r="AI286">
            <v>3.6</v>
          </cell>
          <cell r="AK286">
            <v>1865.0495900000001</v>
          </cell>
          <cell r="AM286">
            <v>1605.0235400000001</v>
          </cell>
          <cell r="AO286">
            <v>1687.6200500000002</v>
          </cell>
          <cell r="AP286" t="str">
            <v>Muestra tomada en la volqueta</v>
          </cell>
          <cell r="AR286">
            <v>1794</v>
          </cell>
          <cell r="AS286">
            <v>3.3</v>
          </cell>
          <cell r="AV286">
            <v>2.4438617628238011</v>
          </cell>
          <cell r="BS286">
            <v>2.5720000000000001</v>
          </cell>
        </row>
        <row r="287">
          <cell r="A287">
            <v>359</v>
          </cell>
          <cell r="B287">
            <v>40227</v>
          </cell>
          <cell r="D287">
            <v>1501</v>
          </cell>
          <cell r="E287">
            <v>1422.3</v>
          </cell>
          <cell r="G287" t="str">
            <v>Parcheo elaboración de fallos en vías urbanas y rurales del municipio de Medellín.</v>
          </cell>
          <cell r="H287" t="str">
            <v>1/2</v>
          </cell>
          <cell r="I287">
            <v>0</v>
          </cell>
          <cell r="J287">
            <v>153.1</v>
          </cell>
          <cell r="K287">
            <v>219.1</v>
          </cell>
          <cell r="L287">
            <v>263.60000000000002</v>
          </cell>
          <cell r="M287">
            <v>298.5</v>
          </cell>
          <cell r="N287">
            <v>248.2</v>
          </cell>
          <cell r="O287">
            <v>86.9</v>
          </cell>
          <cell r="P287">
            <v>65</v>
          </cell>
          <cell r="Q287">
            <v>87.9</v>
          </cell>
          <cell r="S287">
            <v>25</v>
          </cell>
          <cell r="T287" t="str">
            <v>1</v>
          </cell>
          <cell r="U287">
            <v>1232.9000000000001</v>
          </cell>
          <cell r="V287">
            <v>1235.3</v>
          </cell>
          <cell r="W287">
            <v>733.4</v>
          </cell>
          <cell r="Y287">
            <v>3</v>
          </cell>
          <cell r="Z287">
            <v>1230.3</v>
          </cell>
          <cell r="AA287">
            <v>1233.8</v>
          </cell>
          <cell r="AB287">
            <v>730.9</v>
          </cell>
          <cell r="AD287">
            <v>3.7</v>
          </cell>
          <cell r="AE287">
            <v>1229.0999999999999</v>
          </cell>
          <cell r="AF287">
            <v>1230.8</v>
          </cell>
          <cell r="AG287">
            <v>729.7</v>
          </cell>
          <cell r="AI287">
            <v>3.5</v>
          </cell>
          <cell r="AK287">
            <v>1711.0733800000003</v>
          </cell>
          <cell r="AM287">
            <v>1480.6189200000001</v>
          </cell>
          <cell r="AO287">
            <v>1501.0131200000001</v>
          </cell>
          <cell r="AP287" t="str">
            <v>Muestra tomada en el elevador</v>
          </cell>
          <cell r="AR287">
            <v>1638</v>
          </cell>
          <cell r="AS287">
            <v>3.4</v>
          </cell>
          <cell r="AV287">
            <v>2.4447215719855691</v>
          </cell>
          <cell r="BS287">
            <v>2.581</v>
          </cell>
        </row>
        <row r="288">
          <cell r="A288">
            <v>360</v>
          </cell>
          <cell r="B288">
            <v>40227</v>
          </cell>
          <cell r="D288">
            <v>1500.8</v>
          </cell>
          <cell r="E288">
            <v>1430</v>
          </cell>
          <cell r="G288" t="str">
            <v>Parcheo elaboración de fallos en vías urbanas y rurales del municipio de Medellín.</v>
          </cell>
          <cell r="H288" t="str">
            <v>2/2</v>
          </cell>
          <cell r="I288">
            <v>0</v>
          </cell>
          <cell r="J288">
            <v>173.6</v>
          </cell>
          <cell r="K288">
            <v>250.5</v>
          </cell>
          <cell r="L288">
            <v>277</v>
          </cell>
          <cell r="M288">
            <v>244.8</v>
          </cell>
          <cell r="N288">
            <v>227</v>
          </cell>
          <cell r="O288">
            <v>87.3</v>
          </cell>
          <cell r="P288">
            <v>69.5</v>
          </cell>
          <cell r="Q288">
            <v>100.3</v>
          </cell>
          <cell r="S288">
            <v>25</v>
          </cell>
          <cell r="T288" t="str">
            <v>1</v>
          </cell>
          <cell r="U288">
            <v>1237</v>
          </cell>
          <cell r="V288">
            <v>1237.7</v>
          </cell>
          <cell r="W288">
            <v>741.3</v>
          </cell>
          <cell r="Y288">
            <v>3.2</v>
          </cell>
          <cell r="Z288">
            <v>1233.5999999999999</v>
          </cell>
          <cell r="AA288">
            <v>1235.2</v>
          </cell>
          <cell r="AB288">
            <v>735.8</v>
          </cell>
          <cell r="AD288">
            <v>3.6</v>
          </cell>
          <cell r="AE288">
            <v>1235.0999999999999</v>
          </cell>
          <cell r="AF288">
            <v>1236.2</v>
          </cell>
          <cell r="AG288">
            <v>738.9</v>
          </cell>
          <cell r="AI288">
            <v>3.5</v>
          </cell>
          <cell r="AK288">
            <v>1890.54234</v>
          </cell>
          <cell r="AM288">
            <v>1753.9012</v>
          </cell>
          <cell r="AO288">
            <v>1956.8234900000002</v>
          </cell>
          <cell r="AP288" t="str">
            <v>Muestra tomada en la volqueta</v>
          </cell>
          <cell r="AR288">
            <v>1983</v>
          </cell>
          <cell r="AS288">
            <v>3.4</v>
          </cell>
          <cell r="AV288">
            <v>2.4746463190673507</v>
          </cell>
          <cell r="BS288">
            <v>2.581</v>
          </cell>
        </row>
        <row r="289">
          <cell r="A289">
            <v>361</v>
          </cell>
          <cell r="B289">
            <v>40228</v>
          </cell>
          <cell r="D289">
            <v>1500.6</v>
          </cell>
          <cell r="E289">
            <v>1426.6</v>
          </cell>
          <cell r="G289" t="str">
            <v>Parcheo elaboración de fallos en vías urbanas y rurales del municipio de Medellín.</v>
          </cell>
          <cell r="H289" t="str">
            <v>1/2</v>
          </cell>
          <cell r="I289">
            <v>0</v>
          </cell>
          <cell r="J289">
            <v>172.6</v>
          </cell>
          <cell r="K289">
            <v>193.8</v>
          </cell>
          <cell r="L289">
            <v>312</v>
          </cell>
          <cell r="M289">
            <v>279.8</v>
          </cell>
          <cell r="N289">
            <v>227.1</v>
          </cell>
          <cell r="O289">
            <v>78.400000000000006</v>
          </cell>
          <cell r="P289">
            <v>73.7</v>
          </cell>
          <cell r="Q289">
            <v>89.2</v>
          </cell>
          <cell r="S289">
            <v>25</v>
          </cell>
          <cell r="T289" t="str">
            <v>1</v>
          </cell>
          <cell r="U289">
            <v>1234.7</v>
          </cell>
          <cell r="V289">
            <v>1235.5</v>
          </cell>
          <cell r="W289">
            <v>735.6</v>
          </cell>
          <cell r="Y289">
            <v>3.6</v>
          </cell>
          <cell r="Z289">
            <v>1232.0999999999999</v>
          </cell>
          <cell r="AA289">
            <v>1233.2</v>
          </cell>
          <cell r="AB289">
            <v>733.1</v>
          </cell>
          <cell r="AD289">
            <v>3.5</v>
          </cell>
          <cell r="AE289">
            <v>1228.5999999999999</v>
          </cell>
          <cell r="AF289">
            <v>1229.5999999999999</v>
          </cell>
          <cell r="AG289">
            <v>731</v>
          </cell>
          <cell r="AI289">
            <v>3.4</v>
          </cell>
          <cell r="AK289">
            <v>1625.4177400000001</v>
          </cell>
          <cell r="AM289">
            <v>1487.7568900000001</v>
          </cell>
          <cell r="AO289">
            <v>1738.6055500000002</v>
          </cell>
          <cell r="AP289" t="str">
            <v>Muestra tomada en el elevador</v>
          </cell>
          <cell r="AR289">
            <v>1707</v>
          </cell>
          <cell r="AS289">
            <v>3.5</v>
          </cell>
          <cell r="AV289">
            <v>2.458687480430001</v>
          </cell>
          <cell r="BS289">
            <v>2.5760000000000001</v>
          </cell>
        </row>
        <row r="290">
          <cell r="A290">
            <v>362</v>
          </cell>
          <cell r="B290">
            <v>40228</v>
          </cell>
          <cell r="D290">
            <v>1500.8</v>
          </cell>
          <cell r="E290">
            <v>1427.9</v>
          </cell>
          <cell r="G290" t="str">
            <v>Parcheo elaboración de fallos en vías urbanas y rurales del municipio de Medellín.</v>
          </cell>
          <cell r="H290" t="str">
            <v>2/2</v>
          </cell>
          <cell r="I290">
            <v>0</v>
          </cell>
          <cell r="J290">
            <v>253.9</v>
          </cell>
          <cell r="K290">
            <v>195.8</v>
          </cell>
          <cell r="L290">
            <v>210.1</v>
          </cell>
          <cell r="M290">
            <v>284.2</v>
          </cell>
          <cell r="N290">
            <v>245.3</v>
          </cell>
          <cell r="O290">
            <v>85</v>
          </cell>
          <cell r="P290">
            <v>63.8</v>
          </cell>
          <cell r="Q290">
            <v>89.8</v>
          </cell>
          <cell r="S290">
            <v>25</v>
          </cell>
          <cell r="T290" t="str">
            <v>1</v>
          </cell>
          <cell r="U290">
            <v>1232.7</v>
          </cell>
          <cell r="V290">
            <v>1233</v>
          </cell>
          <cell r="W290">
            <v>738.2</v>
          </cell>
          <cell r="Y290">
            <v>3.1</v>
          </cell>
          <cell r="Z290">
            <v>1338.3</v>
          </cell>
          <cell r="AA290">
            <v>1328.9</v>
          </cell>
          <cell r="AB290">
            <v>792.66</v>
          </cell>
          <cell r="AD290">
            <v>3.5</v>
          </cell>
          <cell r="AE290">
            <v>1233</v>
          </cell>
          <cell r="AF290">
            <v>1233.5999999999999</v>
          </cell>
          <cell r="AG290">
            <v>736.3</v>
          </cell>
          <cell r="AI290">
            <v>3.5</v>
          </cell>
          <cell r="AK290">
            <v>1629.49658</v>
          </cell>
          <cell r="AM290">
            <v>1939.4884200000001</v>
          </cell>
          <cell r="AO290">
            <v>1718.2113500000003</v>
          </cell>
          <cell r="AP290" t="str">
            <v>Muestra tomada en la volqueta</v>
          </cell>
          <cell r="AR290">
            <v>1798</v>
          </cell>
          <cell r="AS290">
            <v>3.4</v>
          </cell>
          <cell r="AV290">
            <v>2.4815233159518697</v>
          </cell>
          <cell r="BS290">
            <v>2.5760000000000001</v>
          </cell>
        </row>
        <row r="291">
          <cell r="A291">
            <v>363</v>
          </cell>
          <cell r="B291">
            <v>40229</v>
          </cell>
          <cell r="D291">
            <v>1501.1</v>
          </cell>
          <cell r="E291">
            <v>1422.3</v>
          </cell>
          <cell r="G291" t="str">
            <v>Parcheo elaboración de fallos en vías urbanas y rurales del municipio de Medellín.</v>
          </cell>
          <cell r="H291" t="str">
            <v>1/2</v>
          </cell>
          <cell r="I291">
            <v>0</v>
          </cell>
          <cell r="J291">
            <v>144.4</v>
          </cell>
          <cell r="K291">
            <v>175.6</v>
          </cell>
          <cell r="L291">
            <v>267.7</v>
          </cell>
          <cell r="M291">
            <v>333.3</v>
          </cell>
          <cell r="N291">
            <v>242.1</v>
          </cell>
          <cell r="O291">
            <v>82.7</v>
          </cell>
          <cell r="P291">
            <v>78.900000000000006</v>
          </cell>
          <cell r="Q291">
            <v>97.6</v>
          </cell>
          <cell r="S291">
            <v>25</v>
          </cell>
          <cell r="T291" t="str">
            <v>1</v>
          </cell>
          <cell r="U291">
            <v>1235.5</v>
          </cell>
          <cell r="V291">
            <v>1239.4000000000001</v>
          </cell>
          <cell r="W291">
            <v>738.7</v>
          </cell>
          <cell r="Y291">
            <v>3.2</v>
          </cell>
          <cell r="Z291">
            <v>1237.2</v>
          </cell>
          <cell r="AA291">
            <v>1238.4000000000001</v>
          </cell>
          <cell r="AB291">
            <v>737.5</v>
          </cell>
          <cell r="AD291">
            <v>3.1</v>
          </cell>
          <cell r="AE291">
            <v>1234.7</v>
          </cell>
          <cell r="AF291">
            <v>1236.0999999999999</v>
          </cell>
          <cell r="AG291">
            <v>734.7</v>
          </cell>
          <cell r="AI291">
            <v>3.2</v>
          </cell>
          <cell r="AK291">
            <v>1955.80378</v>
          </cell>
          <cell r="AM291">
            <v>1723.3099</v>
          </cell>
          <cell r="AO291">
            <v>1904.81828</v>
          </cell>
          <cell r="AP291" t="str">
            <v>Muestra tomada en el elevador</v>
          </cell>
          <cell r="AR291">
            <v>1955</v>
          </cell>
          <cell r="AS291">
            <v>3.2</v>
          </cell>
          <cell r="AV291">
            <v>2.4594531639673392</v>
          </cell>
          <cell r="BS291">
            <v>2.573</v>
          </cell>
        </row>
        <row r="292">
          <cell r="A292">
            <v>364</v>
          </cell>
          <cell r="B292">
            <v>40229</v>
          </cell>
          <cell r="D292">
            <v>1501</v>
          </cell>
          <cell r="E292">
            <v>1424.2</v>
          </cell>
          <cell r="G292" t="str">
            <v>Parcheo elaboración de fallos en vías urbanas y rurales del municipio de Medellín.</v>
          </cell>
          <cell r="H292" t="str">
            <v>2/2</v>
          </cell>
          <cell r="I292">
            <v>0</v>
          </cell>
          <cell r="J292">
            <v>174.1</v>
          </cell>
          <cell r="K292">
            <v>197.4</v>
          </cell>
          <cell r="L292">
            <v>258.39999999999998</v>
          </cell>
          <cell r="M292">
            <v>324</v>
          </cell>
          <cell r="N292">
            <v>241.7</v>
          </cell>
          <cell r="O292">
            <v>82.3</v>
          </cell>
          <cell r="P292">
            <v>63.2</v>
          </cell>
          <cell r="Q292">
            <v>83.1</v>
          </cell>
          <cell r="S292">
            <v>25</v>
          </cell>
          <cell r="T292" t="str">
            <v>1</v>
          </cell>
          <cell r="U292">
            <v>1234.0999999999999</v>
          </cell>
          <cell r="V292">
            <v>1235.2</v>
          </cell>
          <cell r="W292">
            <v>729.2</v>
          </cell>
          <cell r="Y292">
            <v>3.5</v>
          </cell>
          <cell r="Z292">
            <v>1234.2</v>
          </cell>
          <cell r="AA292">
            <v>1235.5999999999999</v>
          </cell>
          <cell r="AB292">
            <v>729.7</v>
          </cell>
          <cell r="AD292">
            <v>3.7</v>
          </cell>
          <cell r="AE292">
            <v>1230</v>
          </cell>
          <cell r="AF292">
            <v>1232.5999999999999</v>
          </cell>
          <cell r="AG292">
            <v>723.7</v>
          </cell>
          <cell r="AI292">
            <v>3.6</v>
          </cell>
          <cell r="AK292">
            <v>1636.6345500000002</v>
          </cell>
          <cell r="AM292">
            <v>1673.34411</v>
          </cell>
          <cell r="AO292">
            <v>1462.26414</v>
          </cell>
          <cell r="AP292" t="str">
            <v>Muestra tomada en la volqueta</v>
          </cell>
          <cell r="AR292">
            <v>1639</v>
          </cell>
          <cell r="AS292">
            <v>3.6</v>
          </cell>
          <cell r="AV292">
            <v>2.4247279226471856</v>
          </cell>
          <cell r="BS292">
            <v>2.573</v>
          </cell>
        </row>
        <row r="293">
          <cell r="A293">
            <v>365</v>
          </cell>
          <cell r="B293">
            <v>40230</v>
          </cell>
          <cell r="D293">
            <v>1501.1</v>
          </cell>
          <cell r="E293">
            <v>1423.3</v>
          </cell>
          <cell r="G293" t="str">
            <v>Parcheo elaboración de fallos en vías urbanas y rurales del municipio de Medellín.</v>
          </cell>
          <cell r="H293" t="str">
            <v>1/2</v>
          </cell>
          <cell r="I293">
            <v>0</v>
          </cell>
          <cell r="J293">
            <v>168.6</v>
          </cell>
          <cell r="K293">
            <v>157.4</v>
          </cell>
          <cell r="L293">
            <v>301.89999999999998</v>
          </cell>
          <cell r="M293">
            <v>317.7</v>
          </cell>
          <cell r="N293">
            <v>214.1</v>
          </cell>
          <cell r="O293">
            <v>74.900000000000006</v>
          </cell>
          <cell r="P293">
            <v>74.599999999999994</v>
          </cell>
          <cell r="Q293">
            <v>114.1</v>
          </cell>
          <cell r="S293">
            <v>25</v>
          </cell>
          <cell r="T293" t="str">
            <v>1</v>
          </cell>
          <cell r="U293">
            <v>1233.5</v>
          </cell>
          <cell r="V293">
            <v>1235.5</v>
          </cell>
          <cell r="W293">
            <v>737.9</v>
          </cell>
          <cell r="Y293">
            <v>4</v>
          </cell>
          <cell r="Z293">
            <v>1236.5999999999999</v>
          </cell>
          <cell r="AA293">
            <v>1237.3</v>
          </cell>
          <cell r="AB293">
            <v>741.2</v>
          </cell>
          <cell r="AD293">
            <v>3.5</v>
          </cell>
          <cell r="AE293">
            <v>1233.7</v>
          </cell>
          <cell r="AF293">
            <v>1234.5999999999999</v>
          </cell>
          <cell r="AG293">
            <v>738.1</v>
          </cell>
          <cell r="AI293">
            <v>3.6</v>
          </cell>
          <cell r="AK293">
            <v>1763.0785900000001</v>
          </cell>
          <cell r="AM293">
            <v>1863.01017</v>
          </cell>
          <cell r="AO293">
            <v>1953.7643600000001</v>
          </cell>
          <cell r="AP293" t="str">
            <v>Muestra tomada en el elevador</v>
          </cell>
          <cell r="AQ293" t="str">
            <v>-</v>
          </cell>
          <cell r="AR293">
            <v>1981</v>
          </cell>
          <cell r="AS293">
            <v>3.7</v>
          </cell>
          <cell r="AV293">
            <v>2.4781750338533048</v>
          </cell>
          <cell r="BS293">
            <v>2.569</v>
          </cell>
        </row>
        <row r="294">
          <cell r="A294">
            <v>366</v>
          </cell>
          <cell r="B294">
            <v>40231</v>
          </cell>
          <cell r="D294">
            <v>1501.3</v>
          </cell>
          <cell r="E294">
            <v>1420.1</v>
          </cell>
          <cell r="G294" t="str">
            <v>Parcheo elaboración de fallos en vías urbanas y rurales del municipio de Medellín.</v>
          </cell>
          <cell r="H294" t="str">
            <v>1/2</v>
          </cell>
          <cell r="I294">
            <v>0</v>
          </cell>
          <cell r="J294">
            <v>112.4</v>
          </cell>
          <cell r="K294">
            <v>182.1</v>
          </cell>
          <cell r="L294">
            <v>250.9</v>
          </cell>
          <cell r="M294">
            <v>323</v>
          </cell>
          <cell r="N294">
            <v>253.5</v>
          </cell>
          <cell r="O294">
            <v>96.7</v>
          </cell>
          <cell r="P294">
            <v>76.599999999999994</v>
          </cell>
          <cell r="Q294">
            <v>124.9</v>
          </cell>
          <cell r="S294">
            <v>25</v>
          </cell>
          <cell r="T294" t="str">
            <v>1</v>
          </cell>
          <cell r="U294">
            <v>1234.8</v>
          </cell>
          <cell r="V294">
            <v>1235.5999999999999</v>
          </cell>
          <cell r="W294">
            <v>745.2</v>
          </cell>
          <cell r="Y294">
            <v>3.2</v>
          </cell>
          <cell r="Z294">
            <v>1235.0999999999999</v>
          </cell>
          <cell r="AA294">
            <v>1236.3</v>
          </cell>
          <cell r="AB294">
            <v>738.5</v>
          </cell>
          <cell r="AD294">
            <v>3.5</v>
          </cell>
          <cell r="AE294">
            <v>1233.5999999999999</v>
          </cell>
          <cell r="AF294">
            <v>1235.0999999999999</v>
          </cell>
          <cell r="AG294">
            <v>736</v>
          </cell>
          <cell r="AI294">
            <v>3.4</v>
          </cell>
          <cell r="AK294">
            <v>1802.84728</v>
          </cell>
          <cell r="AM294">
            <v>1926.2321900000002</v>
          </cell>
          <cell r="AO294">
            <v>1879.3255300000001</v>
          </cell>
          <cell r="AP294" t="str">
            <v>Muestra tomada en el elevador</v>
          </cell>
          <cell r="AQ294" t="str">
            <v>-</v>
          </cell>
          <cell r="AR294">
            <v>1997</v>
          </cell>
          <cell r="AS294">
            <v>3.4</v>
          </cell>
          <cell r="AV294">
            <v>2.4829528632226454</v>
          </cell>
          <cell r="BS294">
            <v>2.5640000000000001</v>
          </cell>
        </row>
        <row r="295">
          <cell r="A295">
            <v>367</v>
          </cell>
          <cell r="B295">
            <v>40231</v>
          </cell>
          <cell r="D295">
            <v>1500.7</v>
          </cell>
          <cell r="E295">
            <v>1419.5</v>
          </cell>
          <cell r="G295" t="str">
            <v>Parcheo elaboración de fallos en vías urbanas y rurales del municipio de Medellín.</v>
          </cell>
          <cell r="H295" t="str">
            <v>2/2</v>
          </cell>
          <cell r="I295">
            <v>0</v>
          </cell>
          <cell r="J295">
            <v>173.4</v>
          </cell>
          <cell r="K295">
            <v>191</v>
          </cell>
          <cell r="L295">
            <v>254.1</v>
          </cell>
          <cell r="M295">
            <v>312.89999999999998</v>
          </cell>
          <cell r="N295">
            <v>217.7</v>
          </cell>
          <cell r="O295">
            <v>87.1</v>
          </cell>
          <cell r="P295">
            <v>70.2</v>
          </cell>
          <cell r="Q295">
            <v>113.1</v>
          </cell>
          <cell r="S295">
            <v>25</v>
          </cell>
          <cell r="T295" t="str">
            <v>1</v>
          </cell>
          <cell r="U295">
            <v>1233.0999999999999</v>
          </cell>
          <cell r="V295">
            <v>1235.8</v>
          </cell>
          <cell r="W295">
            <v>735.3</v>
          </cell>
          <cell r="Y295">
            <v>3.2</v>
          </cell>
          <cell r="Z295">
            <v>1234.4000000000001</v>
          </cell>
          <cell r="AA295">
            <v>1235.5</v>
          </cell>
          <cell r="AB295">
            <v>737.6</v>
          </cell>
          <cell r="AD295">
            <v>3.5</v>
          </cell>
          <cell r="AE295">
            <v>1235.4000000000001</v>
          </cell>
          <cell r="AF295">
            <v>1236.7</v>
          </cell>
          <cell r="AG295">
            <v>737.6</v>
          </cell>
          <cell r="AI295">
            <v>3.6</v>
          </cell>
          <cell r="AK295">
            <v>1515.2890600000001</v>
          </cell>
          <cell r="AM295">
            <v>1752.8814900000002</v>
          </cell>
          <cell r="AO295">
            <v>1723.3099</v>
          </cell>
          <cell r="AP295" t="str">
            <v>Muestra tomada en la volqueta</v>
          </cell>
          <cell r="AQ295" t="str">
            <v>-</v>
          </cell>
          <cell r="AR295">
            <v>1758</v>
          </cell>
          <cell r="AS295">
            <v>3.4</v>
          </cell>
          <cell r="AV295">
            <v>2.4655020563188339</v>
          </cell>
          <cell r="BS295">
            <v>2.5640000000000001</v>
          </cell>
        </row>
        <row r="296">
          <cell r="A296">
            <v>368</v>
          </cell>
          <cell r="B296">
            <v>40232</v>
          </cell>
          <cell r="D296">
            <v>1500.8</v>
          </cell>
          <cell r="E296">
            <v>1430.3</v>
          </cell>
          <cell r="G296" t="str">
            <v>Parcheo elaboración de fallos en vías urbanas y rurales del municipio de Medellín.</v>
          </cell>
          <cell r="H296" t="str">
            <v>1/2</v>
          </cell>
          <cell r="I296">
            <v>0</v>
          </cell>
          <cell r="J296">
            <v>193</v>
          </cell>
          <cell r="K296">
            <v>176</v>
          </cell>
          <cell r="L296">
            <v>304.89999999999998</v>
          </cell>
          <cell r="M296">
            <v>290.10000000000002</v>
          </cell>
          <cell r="N296">
            <v>222.3</v>
          </cell>
          <cell r="O296">
            <v>69.7</v>
          </cell>
          <cell r="P296">
            <v>70</v>
          </cell>
          <cell r="Q296">
            <v>104.3</v>
          </cell>
          <cell r="S296">
            <v>25</v>
          </cell>
          <cell r="T296" t="str">
            <v>1</v>
          </cell>
          <cell r="U296">
            <v>1236.8</v>
          </cell>
          <cell r="V296">
            <v>1237.9000000000001</v>
          </cell>
          <cell r="W296">
            <v>740.1</v>
          </cell>
          <cell r="Y296">
            <v>3.2</v>
          </cell>
          <cell r="Z296">
            <v>1231.5</v>
          </cell>
          <cell r="AA296">
            <v>1233.7</v>
          </cell>
          <cell r="AB296">
            <v>734.1</v>
          </cell>
          <cell r="AD296">
            <v>3.1</v>
          </cell>
          <cell r="AE296">
            <v>1232.5999999999999</v>
          </cell>
          <cell r="AF296">
            <v>1233.9000000000001</v>
          </cell>
          <cell r="AG296">
            <v>735.9</v>
          </cell>
          <cell r="AI296">
            <v>3.5</v>
          </cell>
          <cell r="AK296">
            <v>1838.5371300000002</v>
          </cell>
          <cell r="AM296">
            <v>1492.85544</v>
          </cell>
          <cell r="AO296">
            <v>1662.1273000000001</v>
          </cell>
          <cell r="AP296" t="str">
            <v>Muestra tomada en el elevador</v>
          </cell>
          <cell r="AQ296" t="str">
            <v>-</v>
          </cell>
          <cell r="AR296">
            <v>1763</v>
          </cell>
          <cell r="AS296">
            <v>3.3</v>
          </cell>
          <cell r="AV296">
            <v>2.4676291173638862</v>
          </cell>
          <cell r="BS296">
            <v>2.589</v>
          </cell>
        </row>
        <row r="297">
          <cell r="A297">
            <v>369</v>
          </cell>
          <cell r="B297">
            <v>40232</v>
          </cell>
          <cell r="D297">
            <v>1500.3</v>
          </cell>
          <cell r="E297">
            <v>1419.4</v>
          </cell>
          <cell r="G297" t="str">
            <v>Parcheo elaboración de fallos en vías urbanas y rurales del municipio de Medellín.</v>
          </cell>
          <cell r="H297" t="str">
            <v>2/2</v>
          </cell>
          <cell r="I297">
            <v>0</v>
          </cell>
          <cell r="J297">
            <v>173.7</v>
          </cell>
          <cell r="K297">
            <v>115.3</v>
          </cell>
          <cell r="L297">
            <v>292.89999999999998</v>
          </cell>
          <cell r="M297">
            <v>348.7</v>
          </cell>
          <cell r="N297">
            <v>235.5</v>
          </cell>
          <cell r="O297">
            <v>90.5</v>
          </cell>
          <cell r="P297">
            <v>66.7</v>
          </cell>
          <cell r="Q297">
            <v>96.1</v>
          </cell>
          <cell r="S297">
            <v>25</v>
          </cell>
          <cell r="T297" t="str">
            <v>1</v>
          </cell>
          <cell r="U297">
            <v>1236.5</v>
          </cell>
          <cell r="V297">
            <v>1237.7</v>
          </cell>
          <cell r="W297">
            <v>737.7</v>
          </cell>
          <cell r="Y297">
            <v>3.4</v>
          </cell>
          <cell r="Z297">
            <v>1231.8</v>
          </cell>
          <cell r="AA297">
            <v>1233</v>
          </cell>
          <cell r="AB297">
            <v>732.4</v>
          </cell>
          <cell r="AD297">
            <v>3.7</v>
          </cell>
          <cell r="AE297">
            <v>1234.4000000000001</v>
          </cell>
          <cell r="AF297">
            <v>1236.0999999999999</v>
          </cell>
          <cell r="AG297">
            <v>733.1</v>
          </cell>
          <cell r="AI297">
            <v>3.7</v>
          </cell>
          <cell r="AK297">
            <v>1539.7620999999999</v>
          </cell>
          <cell r="AM297">
            <v>1543.84094</v>
          </cell>
          <cell r="AO297">
            <v>1453.0867499999999</v>
          </cell>
          <cell r="AP297" t="str">
            <v>Muestra tomada en la volqueta</v>
          </cell>
          <cell r="AQ297" t="str">
            <v>-</v>
          </cell>
          <cell r="AR297">
            <v>1587</v>
          </cell>
          <cell r="AS297">
            <v>3.6</v>
          </cell>
          <cell r="AV297">
            <v>2.455371226983095</v>
          </cell>
          <cell r="BS297">
            <v>2.589</v>
          </cell>
        </row>
        <row r="298">
          <cell r="A298">
            <v>370</v>
          </cell>
          <cell r="B298">
            <v>40233</v>
          </cell>
          <cell r="D298">
            <v>1500.7</v>
          </cell>
          <cell r="E298">
            <v>1424</v>
          </cell>
          <cell r="G298" t="str">
            <v>Parcheo elaboración de fallos en vías urbanas y rurales del municipio de Medellín.</v>
          </cell>
          <cell r="H298" t="str">
            <v>1/2</v>
          </cell>
          <cell r="I298">
            <v>0</v>
          </cell>
          <cell r="J298">
            <v>170.7</v>
          </cell>
          <cell r="K298">
            <v>163.4</v>
          </cell>
          <cell r="L298">
            <v>290</v>
          </cell>
          <cell r="M298">
            <v>295.5</v>
          </cell>
          <cell r="N298">
            <v>242.2</v>
          </cell>
          <cell r="O298">
            <v>78</v>
          </cell>
          <cell r="P298">
            <v>76.900000000000006</v>
          </cell>
          <cell r="Q298">
            <v>107.3</v>
          </cell>
          <cell r="S298">
            <v>25</v>
          </cell>
          <cell r="T298" t="str">
            <v>1</v>
          </cell>
          <cell r="U298">
            <v>1235</v>
          </cell>
          <cell r="V298">
            <v>1237.3</v>
          </cell>
          <cell r="W298">
            <v>736.7</v>
          </cell>
          <cell r="Y298">
            <v>3.2</v>
          </cell>
          <cell r="Z298">
            <v>1235.9000000000001</v>
          </cell>
          <cell r="AA298">
            <v>1236.9000000000001</v>
          </cell>
          <cell r="AB298">
            <v>740.9</v>
          </cell>
          <cell r="AD298">
            <v>3.4</v>
          </cell>
          <cell r="AE298">
            <v>1237.7</v>
          </cell>
          <cell r="AF298">
            <v>1238.5999999999999</v>
          </cell>
          <cell r="AG298">
            <v>743.7</v>
          </cell>
          <cell r="AI298">
            <v>3.3</v>
          </cell>
          <cell r="AK298">
            <v>1299.1105400000001</v>
          </cell>
          <cell r="AM298">
            <v>1636.6345500000002</v>
          </cell>
          <cell r="AO298">
            <v>1709.0339600000002</v>
          </cell>
          <cell r="AP298" t="str">
            <v>Muestra tomada en la volqueta</v>
          </cell>
          <cell r="AQ298" t="str">
            <v>-</v>
          </cell>
          <cell r="AR298">
            <v>1648</v>
          </cell>
          <cell r="AS298">
            <v>3.3</v>
          </cell>
          <cell r="AV298">
            <v>2.47928770873789</v>
          </cell>
          <cell r="BS298">
            <v>2.5870000000000002</v>
          </cell>
        </row>
        <row r="299">
          <cell r="A299">
            <v>371</v>
          </cell>
          <cell r="B299">
            <v>40233</v>
          </cell>
          <cell r="D299">
            <v>1500.3</v>
          </cell>
          <cell r="E299">
            <v>1423.5</v>
          </cell>
          <cell r="G299" t="str">
            <v>Parcheo elaboración de fallos en vías urbanas y rurales del municipio de Medellín.</v>
          </cell>
          <cell r="H299" t="str">
            <v>2/2</v>
          </cell>
          <cell r="I299">
            <v>0</v>
          </cell>
          <cell r="J299">
            <v>174.9</v>
          </cell>
          <cell r="K299">
            <v>146.1</v>
          </cell>
          <cell r="L299">
            <v>321.8</v>
          </cell>
          <cell r="M299">
            <v>314.60000000000002</v>
          </cell>
          <cell r="N299">
            <v>220.3</v>
          </cell>
          <cell r="O299">
            <v>81.099999999999994</v>
          </cell>
          <cell r="P299">
            <v>64</v>
          </cell>
          <cell r="Q299">
            <v>100.7</v>
          </cell>
          <cell r="S299">
            <v>25</v>
          </cell>
          <cell r="T299" t="str">
            <v>1</v>
          </cell>
          <cell r="U299">
            <v>1237.5999999999999</v>
          </cell>
          <cell r="V299">
            <v>1238.7</v>
          </cell>
          <cell r="W299">
            <v>740.5</v>
          </cell>
          <cell r="Y299">
            <v>3.4</v>
          </cell>
          <cell r="Z299">
            <v>1237.9000000000001</v>
          </cell>
          <cell r="AA299">
            <v>1240.5</v>
          </cell>
          <cell r="AB299">
            <v>741.1</v>
          </cell>
          <cell r="AD299">
            <v>3.5</v>
          </cell>
          <cell r="AE299">
            <v>1232.9000000000001</v>
          </cell>
          <cell r="AF299">
            <v>1235.3</v>
          </cell>
          <cell r="AG299">
            <v>738.3</v>
          </cell>
          <cell r="AI299">
            <v>3.3</v>
          </cell>
          <cell r="AK299">
            <v>1620.3191900000002</v>
          </cell>
          <cell r="AM299">
            <v>1618.2797699999999</v>
          </cell>
          <cell r="AO299">
            <v>1689.6594700000001</v>
          </cell>
          <cell r="AP299" t="str">
            <v>Muestra tomada en el elevador</v>
          </cell>
          <cell r="AQ299" t="str">
            <v>-</v>
          </cell>
          <cell r="AR299">
            <v>1741</v>
          </cell>
          <cell r="AS299">
            <v>3.4</v>
          </cell>
          <cell r="AV299">
            <v>2.4739430046752457</v>
          </cell>
          <cell r="BS299">
            <v>2.5870000000000002</v>
          </cell>
        </row>
        <row r="300">
          <cell r="A300">
            <v>372</v>
          </cell>
          <cell r="B300">
            <v>40234</v>
          </cell>
          <cell r="D300">
            <v>1500.3</v>
          </cell>
          <cell r="E300">
            <v>1427.5</v>
          </cell>
          <cell r="G300" t="str">
            <v>Parcheo elaboración de fallos en vías urbanas y rurales del municipio de Medellín.</v>
          </cell>
          <cell r="H300" t="str">
            <v>1/2</v>
          </cell>
          <cell r="I300">
            <v>0</v>
          </cell>
          <cell r="J300">
            <v>196.6</v>
          </cell>
          <cell r="K300">
            <v>157.19999999999999</v>
          </cell>
          <cell r="L300">
            <v>317.7</v>
          </cell>
          <cell r="M300">
            <v>281.89999999999998</v>
          </cell>
          <cell r="N300">
            <v>232.1</v>
          </cell>
          <cell r="O300">
            <v>76.3</v>
          </cell>
          <cell r="P300">
            <v>72.8</v>
          </cell>
          <cell r="Q300">
            <v>92.9</v>
          </cell>
          <cell r="S300">
            <v>25</v>
          </cell>
          <cell r="T300" t="str">
            <v>1</v>
          </cell>
          <cell r="U300">
            <v>1235.5</v>
          </cell>
          <cell r="V300">
            <v>1236.5</v>
          </cell>
          <cell r="W300">
            <v>739.6</v>
          </cell>
          <cell r="Y300">
            <v>3.4</v>
          </cell>
          <cell r="Z300">
            <v>1234.2</v>
          </cell>
          <cell r="AA300">
            <v>1235.8</v>
          </cell>
          <cell r="AB300">
            <v>735.2</v>
          </cell>
          <cell r="AD300">
            <v>3.1</v>
          </cell>
          <cell r="AE300">
            <v>1230.0999999999999</v>
          </cell>
          <cell r="AF300">
            <v>1231.5999999999999</v>
          </cell>
          <cell r="AG300">
            <v>732.4</v>
          </cell>
          <cell r="AI300">
            <v>2.9</v>
          </cell>
          <cell r="AK300">
            <v>1758.9997499999999</v>
          </cell>
          <cell r="AM300">
            <v>1635.61484</v>
          </cell>
          <cell r="AO300">
            <v>1511.2102200000002</v>
          </cell>
          <cell r="AP300" t="str">
            <v>Muestra tomada en la volqueta</v>
          </cell>
          <cell r="AQ300" t="str">
            <v>-</v>
          </cell>
          <cell r="AR300">
            <v>1730</v>
          </cell>
          <cell r="AS300">
            <v>3.1</v>
          </cell>
          <cell r="AV300">
            <v>2.4647693588750919</v>
          </cell>
          <cell r="BS300">
            <v>2.5910000000000002</v>
          </cell>
        </row>
        <row r="301">
          <cell r="A301">
            <v>373</v>
          </cell>
          <cell r="B301">
            <v>40234</v>
          </cell>
          <cell r="D301">
            <v>1500.4</v>
          </cell>
          <cell r="E301">
            <v>1426.9</v>
          </cell>
          <cell r="G301" t="str">
            <v>Parcheo elaboración de fallos en vías urbanas y rurales del municipio de Medellín.</v>
          </cell>
          <cell r="H301" t="str">
            <v>2/2</v>
          </cell>
          <cell r="I301">
            <v>0</v>
          </cell>
          <cell r="J301">
            <v>218.3</v>
          </cell>
          <cell r="K301">
            <v>170.8</v>
          </cell>
          <cell r="L301">
            <v>269.10000000000002</v>
          </cell>
          <cell r="M301">
            <v>297.60000000000002</v>
          </cell>
          <cell r="N301">
            <v>219.9</v>
          </cell>
          <cell r="O301">
            <v>74.400000000000006</v>
          </cell>
          <cell r="P301">
            <v>74</v>
          </cell>
          <cell r="Q301">
            <v>102.8</v>
          </cell>
          <cell r="S301">
            <v>25</v>
          </cell>
          <cell r="T301" t="str">
            <v>1</v>
          </cell>
          <cell r="U301">
            <v>1330.6</v>
          </cell>
          <cell r="V301">
            <v>1331.3</v>
          </cell>
          <cell r="W301">
            <v>798.5</v>
          </cell>
          <cell r="Y301">
            <v>3.8</v>
          </cell>
          <cell r="Z301">
            <v>1236.3</v>
          </cell>
          <cell r="AA301">
            <v>1237.0999999999999</v>
          </cell>
          <cell r="AB301">
            <v>738.5</v>
          </cell>
          <cell r="AD301">
            <v>3.86</v>
          </cell>
          <cell r="AE301">
            <v>1235.7</v>
          </cell>
          <cell r="AF301">
            <v>1238.0999999999999</v>
          </cell>
          <cell r="AG301">
            <v>738.3</v>
          </cell>
          <cell r="AI301">
            <v>3.95</v>
          </cell>
          <cell r="AK301">
            <v>2039.42</v>
          </cell>
          <cell r="AM301">
            <v>1618.2797699999999</v>
          </cell>
          <cell r="AO301">
            <v>1735.5464200000001</v>
          </cell>
          <cell r="AP301" t="str">
            <v>Muestra tomada en el elevador</v>
          </cell>
          <cell r="AQ301" t="str">
            <v>-</v>
          </cell>
          <cell r="AR301">
            <v>1826</v>
          </cell>
          <cell r="AS301">
            <v>3.9</v>
          </cell>
          <cell r="AV301">
            <v>2.475838277743462</v>
          </cell>
          <cell r="BS301">
            <v>2.5910000000000002</v>
          </cell>
        </row>
        <row r="302">
          <cell r="A302">
            <v>374</v>
          </cell>
          <cell r="B302">
            <v>40235</v>
          </cell>
          <cell r="D302">
            <v>1500.8</v>
          </cell>
          <cell r="E302">
            <v>1428.8</v>
          </cell>
          <cell r="G302" t="str">
            <v>Parcheo elaboración de fallos en vías urbanas y rurales del municipio de Medellín.</v>
          </cell>
          <cell r="H302" t="str">
            <v>1/2</v>
          </cell>
          <cell r="I302">
            <v>0</v>
          </cell>
          <cell r="J302">
            <v>107.9</v>
          </cell>
          <cell r="K302">
            <v>175.3</v>
          </cell>
          <cell r="L302">
            <v>389.8</v>
          </cell>
          <cell r="M302">
            <v>312.39999999999998</v>
          </cell>
          <cell r="N302">
            <v>218.2</v>
          </cell>
          <cell r="O302">
            <v>74.5</v>
          </cell>
          <cell r="P302">
            <v>69</v>
          </cell>
          <cell r="Q302">
            <v>81.7</v>
          </cell>
          <cell r="S302">
            <v>25</v>
          </cell>
          <cell r="T302" t="str">
            <v>1</v>
          </cell>
          <cell r="U302">
            <v>1237.4000000000001</v>
          </cell>
          <cell r="V302">
            <v>1238.8</v>
          </cell>
          <cell r="W302">
            <v>733.1</v>
          </cell>
          <cell r="Y302">
            <v>3.2</v>
          </cell>
          <cell r="Z302">
            <v>1235.9000000000001</v>
          </cell>
          <cell r="AA302">
            <v>1237.8</v>
          </cell>
          <cell r="AB302">
            <v>730.6</v>
          </cell>
          <cell r="AD302">
            <v>3.35</v>
          </cell>
          <cell r="AE302">
            <v>1234.2</v>
          </cell>
          <cell r="AF302">
            <v>1237.5999999999999</v>
          </cell>
          <cell r="AG302">
            <v>731.7</v>
          </cell>
          <cell r="AI302">
            <v>3.5</v>
          </cell>
          <cell r="AK302">
            <v>1569.3336900000002</v>
          </cell>
          <cell r="AM302">
            <v>1447.9882</v>
          </cell>
          <cell r="AO302">
            <v>1568.3139800000001</v>
          </cell>
          <cell r="AP302" t="str">
            <v>Muestra tomada en la volqueta</v>
          </cell>
          <cell r="AQ302" t="str">
            <v>-</v>
          </cell>
          <cell r="AR302">
            <v>1578</v>
          </cell>
          <cell r="AS302">
            <v>3.4</v>
          </cell>
          <cell r="AV302">
            <v>2.4339362541661069</v>
          </cell>
          <cell r="BS302">
            <v>2.5920000000000001</v>
          </cell>
        </row>
        <row r="303">
          <cell r="A303">
            <v>375</v>
          </cell>
          <cell r="B303">
            <v>40235</v>
          </cell>
          <cell r="D303">
            <v>1500.8</v>
          </cell>
          <cell r="E303">
            <v>1428.5</v>
          </cell>
          <cell r="G303" t="str">
            <v>Parcheo elaboración de fallos en vías urbanas y rurales del municipio de Medellín.</v>
          </cell>
          <cell r="H303" t="str">
            <v>2/2</v>
          </cell>
          <cell r="I303">
            <v>0</v>
          </cell>
          <cell r="J303">
            <v>143.19999999999999</v>
          </cell>
          <cell r="K303">
            <v>210.4</v>
          </cell>
          <cell r="L303">
            <v>355.5</v>
          </cell>
          <cell r="M303">
            <v>290.3</v>
          </cell>
          <cell r="N303">
            <v>205.6</v>
          </cell>
          <cell r="O303">
            <v>70.8</v>
          </cell>
          <cell r="P303">
            <v>68.400000000000006</v>
          </cell>
          <cell r="Q303">
            <v>84.3</v>
          </cell>
          <cell r="S303">
            <v>25</v>
          </cell>
          <cell r="T303" t="str">
            <v>1</v>
          </cell>
          <cell r="U303">
            <v>1236.7</v>
          </cell>
          <cell r="V303">
            <v>1237.8</v>
          </cell>
          <cell r="W303">
            <v>738.5</v>
          </cell>
          <cell r="Y303">
            <v>2.9</v>
          </cell>
          <cell r="Z303">
            <v>1235.7</v>
          </cell>
          <cell r="AA303">
            <v>1237</v>
          </cell>
          <cell r="AB303">
            <v>737.3</v>
          </cell>
          <cell r="AD303">
            <v>3.2</v>
          </cell>
          <cell r="AE303">
            <v>1230.7</v>
          </cell>
          <cell r="AF303">
            <v>1232.9000000000001</v>
          </cell>
          <cell r="AG303">
            <v>729.6</v>
          </cell>
          <cell r="AI303">
            <v>3.3</v>
          </cell>
          <cell r="AK303">
            <v>1659.06817</v>
          </cell>
          <cell r="AM303">
            <v>1652.94991</v>
          </cell>
          <cell r="AO303">
            <v>1499.99341</v>
          </cell>
          <cell r="AP303" t="str">
            <v>Muestra tomada en el elevador</v>
          </cell>
          <cell r="AQ303" t="str">
            <v>-</v>
          </cell>
          <cell r="AR303">
            <v>1686</v>
          </cell>
          <cell r="AS303">
            <v>3.1</v>
          </cell>
          <cell r="AV303">
            <v>2.4577940695216434</v>
          </cell>
          <cell r="BS303">
            <v>2.5920000000000001</v>
          </cell>
        </row>
        <row r="304">
          <cell r="A304">
            <v>376</v>
          </cell>
          <cell r="B304">
            <v>40236</v>
          </cell>
          <cell r="D304">
            <v>1500.8</v>
          </cell>
          <cell r="E304">
            <v>1425.8</v>
          </cell>
          <cell r="G304" t="str">
            <v>Parcheo elaboración de fallos en vías urbanas y rurales del municipio de Medellín.</v>
          </cell>
          <cell r="H304" t="str">
            <v>1/1</v>
          </cell>
          <cell r="I304">
            <v>0</v>
          </cell>
          <cell r="J304">
            <v>184</v>
          </cell>
          <cell r="K304">
            <v>159.19999999999999</v>
          </cell>
          <cell r="L304">
            <v>270.7</v>
          </cell>
          <cell r="M304">
            <v>336.8</v>
          </cell>
          <cell r="N304">
            <v>237.3</v>
          </cell>
          <cell r="O304">
            <v>76.5</v>
          </cell>
          <cell r="P304">
            <v>71.3</v>
          </cell>
          <cell r="Q304">
            <v>90</v>
          </cell>
          <cell r="S304">
            <v>25</v>
          </cell>
          <cell r="T304" t="str">
            <v>1</v>
          </cell>
          <cell r="U304">
            <v>1235.0999999999999</v>
          </cell>
          <cell r="V304">
            <v>1236.4000000000001</v>
          </cell>
          <cell r="W304">
            <v>734.1</v>
          </cell>
          <cell r="Y304">
            <v>3.5</v>
          </cell>
          <cell r="Z304">
            <v>1236.5999999999999</v>
          </cell>
          <cell r="AA304">
            <v>1238.0999999999999</v>
          </cell>
          <cell r="AB304">
            <v>733</v>
          </cell>
          <cell r="AD304">
            <v>3.4</v>
          </cell>
          <cell r="AE304">
            <v>1234.7</v>
          </cell>
          <cell r="AF304">
            <v>1236.8</v>
          </cell>
          <cell r="AG304">
            <v>730.9</v>
          </cell>
          <cell r="AI304">
            <v>3.3</v>
          </cell>
          <cell r="AK304">
            <v>1569.3336900000002</v>
          </cell>
          <cell r="AM304">
            <v>1456.14588</v>
          </cell>
          <cell r="AO304">
            <v>1371.5099499999999</v>
          </cell>
          <cell r="AP304" t="str">
            <v>Muestra tomada en el elevador</v>
          </cell>
          <cell r="AQ304" t="str">
            <v>-</v>
          </cell>
          <cell r="AR304">
            <v>1523</v>
          </cell>
          <cell r="AS304">
            <v>3.4</v>
          </cell>
          <cell r="AV304">
            <v>2.4420753391969652</v>
          </cell>
          <cell r="BS304">
            <v>2.5870000000000002</v>
          </cell>
        </row>
        <row r="305">
          <cell r="A305">
            <v>377</v>
          </cell>
          <cell r="B305">
            <v>40237</v>
          </cell>
          <cell r="D305">
            <v>1500.1</v>
          </cell>
          <cell r="E305">
            <v>1425.1</v>
          </cell>
          <cell r="G305" t="str">
            <v>Parcheo elaboración de fallos en vías urbanas y rurales del municipio de Medellín.</v>
          </cell>
          <cell r="H305" t="str">
            <v>1/1</v>
          </cell>
          <cell r="I305">
            <v>0</v>
          </cell>
          <cell r="J305">
            <v>129.1</v>
          </cell>
          <cell r="K305">
            <v>210.3</v>
          </cell>
          <cell r="L305">
            <v>303.2</v>
          </cell>
          <cell r="M305">
            <v>301.3</v>
          </cell>
          <cell r="N305">
            <v>238</v>
          </cell>
          <cell r="O305">
            <v>83.5</v>
          </cell>
          <cell r="P305">
            <v>66.5</v>
          </cell>
          <cell r="Q305">
            <v>93.2</v>
          </cell>
          <cell r="S305">
            <v>25</v>
          </cell>
          <cell r="T305" t="str">
            <v>1</v>
          </cell>
          <cell r="U305">
            <v>1235.9000000000001</v>
          </cell>
          <cell r="V305">
            <v>1236.5</v>
          </cell>
          <cell r="W305">
            <v>734.4</v>
          </cell>
          <cell r="Y305">
            <v>2.8</v>
          </cell>
          <cell r="Z305">
            <v>1234.2</v>
          </cell>
          <cell r="AA305">
            <v>1236.5</v>
          </cell>
          <cell r="AB305">
            <v>732.7</v>
          </cell>
          <cell r="AD305">
            <v>2.7</v>
          </cell>
          <cell r="AE305">
            <v>1236.9000000000001</v>
          </cell>
          <cell r="AF305">
            <v>1238.2</v>
          </cell>
          <cell r="AG305">
            <v>734.1</v>
          </cell>
          <cell r="AI305">
            <v>3.6</v>
          </cell>
          <cell r="AK305">
            <v>1453.0867499999999</v>
          </cell>
          <cell r="AM305">
            <v>1370.4902400000001</v>
          </cell>
          <cell r="AO305">
            <v>1466.3429800000001</v>
          </cell>
          <cell r="AP305" t="str">
            <v>Muestra tomada en el elevador</v>
          </cell>
          <cell r="AQ305" t="str">
            <v>-</v>
          </cell>
          <cell r="AR305">
            <v>1490</v>
          </cell>
          <cell r="AS305">
            <v>3</v>
          </cell>
          <cell r="AV305">
            <v>2.4477936480743923</v>
          </cell>
          <cell r="BS305">
            <v>2.585</v>
          </cell>
        </row>
        <row r="306">
          <cell r="A306">
            <v>378</v>
          </cell>
          <cell r="B306">
            <v>40238</v>
          </cell>
          <cell r="D306">
            <v>1501.3</v>
          </cell>
          <cell r="E306">
            <v>1428.8</v>
          </cell>
          <cell r="G306" t="str">
            <v>Parcheo elaboración de fallos en vías urbanas y rurales del municipio de Medellín.</v>
          </cell>
          <cell r="H306" t="str">
            <v>1/2</v>
          </cell>
          <cell r="I306">
            <v>0</v>
          </cell>
          <cell r="J306">
            <v>225.7</v>
          </cell>
          <cell r="K306">
            <v>187.2</v>
          </cell>
          <cell r="L306">
            <v>268.39999999999998</v>
          </cell>
          <cell r="M306">
            <v>274.10000000000002</v>
          </cell>
          <cell r="N306">
            <v>233.5</v>
          </cell>
          <cell r="O306">
            <v>86</v>
          </cell>
          <cell r="P306">
            <v>66.3</v>
          </cell>
          <cell r="Q306">
            <v>87.6</v>
          </cell>
          <cell r="S306">
            <v>25</v>
          </cell>
          <cell r="T306" t="str">
            <v>1</v>
          </cell>
          <cell r="U306">
            <v>1233.9000000000001</v>
          </cell>
          <cell r="V306">
            <v>1235.4000000000001</v>
          </cell>
          <cell r="W306">
            <v>733.4</v>
          </cell>
          <cell r="Y306">
            <v>3.1</v>
          </cell>
          <cell r="Z306">
            <v>1233.2</v>
          </cell>
          <cell r="AA306">
            <v>1234.5</v>
          </cell>
          <cell r="AB306">
            <v>732.9</v>
          </cell>
          <cell r="AD306">
            <v>3.6</v>
          </cell>
          <cell r="AE306">
            <v>1232.2</v>
          </cell>
          <cell r="AF306">
            <v>1233.4000000000001</v>
          </cell>
          <cell r="AG306">
            <v>733.3</v>
          </cell>
          <cell r="AI306">
            <v>3.1</v>
          </cell>
          <cell r="AK306">
            <v>1573.4125300000001</v>
          </cell>
          <cell r="AM306">
            <v>1675.3835300000001</v>
          </cell>
          <cell r="AO306">
            <v>1511.2102200000002</v>
          </cell>
          <cell r="AP306" t="str">
            <v>Muestra tomada en el elevador</v>
          </cell>
          <cell r="AQ306" t="str">
            <v>-</v>
          </cell>
          <cell r="AR306">
            <v>1665</v>
          </cell>
          <cell r="AS306">
            <v>3.3</v>
          </cell>
          <cell r="AV306">
            <v>2.4529401159666575</v>
          </cell>
          <cell r="BS306">
            <v>2.5790000000000002</v>
          </cell>
        </row>
        <row r="307">
          <cell r="A307">
            <v>379</v>
          </cell>
          <cell r="B307">
            <v>40238</v>
          </cell>
          <cell r="D307">
            <v>1500.9</v>
          </cell>
          <cell r="E307">
            <v>1427.4</v>
          </cell>
          <cell r="G307" t="str">
            <v>Parcheo elaboración de fallos en vías urbanas y rurales del municipio de Medellín.</v>
          </cell>
          <cell r="H307" t="str">
            <v>2/2</v>
          </cell>
          <cell r="I307">
            <v>0</v>
          </cell>
          <cell r="J307">
            <v>217.2</v>
          </cell>
          <cell r="K307">
            <v>183.5</v>
          </cell>
          <cell r="L307">
            <v>276.89999999999998</v>
          </cell>
          <cell r="M307">
            <v>301</v>
          </cell>
          <cell r="N307">
            <v>216.2</v>
          </cell>
          <cell r="O307">
            <v>72.2</v>
          </cell>
          <cell r="P307">
            <v>70.900000000000006</v>
          </cell>
          <cell r="Q307">
            <v>89.5</v>
          </cell>
          <cell r="S307">
            <v>25</v>
          </cell>
          <cell r="T307" t="str">
            <v>1</v>
          </cell>
          <cell r="U307">
            <v>1235</v>
          </cell>
          <cell r="V307">
            <v>1236.4000000000001</v>
          </cell>
          <cell r="W307">
            <v>736.5</v>
          </cell>
          <cell r="Y307">
            <v>3.4</v>
          </cell>
          <cell r="Z307">
            <v>1233.3</v>
          </cell>
          <cell r="AA307">
            <v>1235.2</v>
          </cell>
          <cell r="AB307">
            <v>735.2</v>
          </cell>
          <cell r="AD307">
            <v>3.3</v>
          </cell>
          <cell r="AE307">
            <v>1233.5999999999999</v>
          </cell>
          <cell r="AF307">
            <v>1235.4000000000001</v>
          </cell>
          <cell r="AG307">
            <v>736.1</v>
          </cell>
          <cell r="AI307">
            <v>2.9</v>
          </cell>
          <cell r="AK307">
            <v>1689.6594700000001</v>
          </cell>
          <cell r="AM307">
            <v>1691.6988900000001</v>
          </cell>
          <cell r="AO307">
            <v>1530.5847100000001</v>
          </cell>
          <cell r="AP307" t="str">
            <v>Muestra tomada en la volqueta</v>
          </cell>
          <cell r="AQ307" t="str">
            <v>-</v>
          </cell>
          <cell r="AR307">
            <v>1727</v>
          </cell>
          <cell r="AS307">
            <v>3.2</v>
          </cell>
          <cell r="AV307">
            <v>2.4620284479079722</v>
          </cell>
          <cell r="BS307">
            <v>2.5790000000000002</v>
          </cell>
        </row>
        <row r="308">
          <cell r="A308">
            <v>380</v>
          </cell>
          <cell r="B308">
            <v>40239</v>
          </cell>
          <cell r="D308">
            <v>1500.4</v>
          </cell>
          <cell r="E308">
            <v>1422.4</v>
          </cell>
          <cell r="G308" t="str">
            <v>Parcheo elaboración de fallos en vías urbanas y rurales del municipio de Medellín.</v>
          </cell>
          <cell r="H308" t="str">
            <v>1/2</v>
          </cell>
          <cell r="I308">
            <v>0</v>
          </cell>
          <cell r="J308">
            <v>183.5</v>
          </cell>
          <cell r="K308">
            <v>166.6</v>
          </cell>
          <cell r="L308">
            <v>273.60000000000002</v>
          </cell>
          <cell r="M308">
            <v>305.3</v>
          </cell>
          <cell r="N308">
            <v>243.5</v>
          </cell>
          <cell r="O308">
            <v>78.400000000000006</v>
          </cell>
          <cell r="P308">
            <v>75.099999999999994</v>
          </cell>
          <cell r="Q308">
            <v>96.4</v>
          </cell>
          <cell r="S308">
            <v>25</v>
          </cell>
          <cell r="T308" t="str">
            <v>1</v>
          </cell>
          <cell r="U308">
            <v>1236.2</v>
          </cell>
          <cell r="V308">
            <v>1237.8</v>
          </cell>
          <cell r="W308">
            <v>735.8</v>
          </cell>
          <cell r="Y308">
            <v>3.7</v>
          </cell>
          <cell r="Z308">
            <v>1235.2</v>
          </cell>
          <cell r="AA308">
            <v>1236.2</v>
          </cell>
          <cell r="AB308">
            <v>737.4</v>
          </cell>
          <cell r="AD308">
            <v>3.3</v>
          </cell>
          <cell r="AE308">
            <v>1235.0999999999999</v>
          </cell>
          <cell r="AF308">
            <v>1236.5</v>
          </cell>
          <cell r="AG308">
            <v>737.5</v>
          </cell>
          <cell r="AI308">
            <v>3.1</v>
          </cell>
          <cell r="AK308">
            <v>1582.5899200000001</v>
          </cell>
          <cell r="AM308">
            <v>1585.6490500000002</v>
          </cell>
          <cell r="AO308">
            <v>1492.85544</v>
          </cell>
          <cell r="AP308" t="str">
            <v>Muestra tomada en el elevador</v>
          </cell>
          <cell r="AQ308" t="str">
            <v>-</v>
          </cell>
          <cell r="AR308">
            <v>1637</v>
          </cell>
          <cell r="AS308">
            <v>3.4</v>
          </cell>
          <cell r="AV308">
            <v>2.4641190828029882</v>
          </cell>
          <cell r="BS308">
            <v>2.5790000000000002</v>
          </cell>
        </row>
        <row r="309">
          <cell r="A309">
            <v>381</v>
          </cell>
          <cell r="B309">
            <v>40239</v>
          </cell>
          <cell r="D309">
            <v>1500.5</v>
          </cell>
          <cell r="E309">
            <v>1427.1</v>
          </cell>
          <cell r="G309" t="str">
            <v>Parcheo elaboración de fallos en vías urbanas y rurales del municipio de Medellín.</v>
          </cell>
          <cell r="H309" t="str">
            <v>2/2</v>
          </cell>
          <cell r="I309">
            <v>0</v>
          </cell>
          <cell r="J309">
            <v>240</v>
          </cell>
          <cell r="K309">
            <v>206.5</v>
          </cell>
          <cell r="L309">
            <v>274.60000000000002</v>
          </cell>
          <cell r="M309">
            <v>268.8</v>
          </cell>
          <cell r="N309">
            <v>216.6</v>
          </cell>
          <cell r="O309">
            <v>81.400000000000006</v>
          </cell>
          <cell r="P309">
            <v>62.7</v>
          </cell>
          <cell r="Q309">
            <v>76.5</v>
          </cell>
          <cell r="S309">
            <v>25</v>
          </cell>
          <cell r="T309" t="str">
            <v>1</v>
          </cell>
          <cell r="U309">
            <v>1231</v>
          </cell>
          <cell r="V309">
            <v>1231.9000000000001</v>
          </cell>
          <cell r="W309">
            <v>731.6</v>
          </cell>
          <cell r="Y309">
            <v>3.4</v>
          </cell>
          <cell r="Z309">
            <v>1234</v>
          </cell>
          <cell r="AA309">
            <v>1234.5999999999999</v>
          </cell>
          <cell r="AB309">
            <v>734.4</v>
          </cell>
          <cell r="AD309">
            <v>3.1</v>
          </cell>
          <cell r="AE309">
            <v>1234.7</v>
          </cell>
          <cell r="AF309">
            <v>1235.9000000000001</v>
          </cell>
          <cell r="AG309">
            <v>730.6</v>
          </cell>
          <cell r="AI309">
            <v>3.4</v>
          </cell>
          <cell r="AK309">
            <v>1513.24964</v>
          </cell>
          <cell r="AM309">
            <v>1540.78181</v>
          </cell>
          <cell r="AO309">
            <v>1495.9145700000001</v>
          </cell>
          <cell r="AP309" t="str">
            <v>Muestra tomada en la volqueta</v>
          </cell>
          <cell r="AQ309" t="str">
            <v>-</v>
          </cell>
          <cell r="AR309">
            <v>1588</v>
          </cell>
          <cell r="AS309">
            <v>3.3</v>
          </cell>
          <cell r="AV309">
            <v>2.449825170785533</v>
          </cell>
          <cell r="BS309">
            <v>2.5790000000000002</v>
          </cell>
        </row>
        <row r="310">
          <cell r="A310">
            <v>382</v>
          </cell>
          <cell r="B310">
            <v>40240</v>
          </cell>
          <cell r="D310">
            <v>1500.4</v>
          </cell>
          <cell r="E310">
            <v>1424.9</v>
          </cell>
          <cell r="G310" t="str">
            <v>Parcheo elaboración de fallos en vías urbanas y rurales del municipio de Medellín.</v>
          </cell>
          <cell r="H310" t="str">
            <v>1/2</v>
          </cell>
          <cell r="I310">
            <v>0</v>
          </cell>
          <cell r="J310">
            <v>165.8</v>
          </cell>
          <cell r="K310">
            <v>144.69999999999999</v>
          </cell>
          <cell r="L310">
            <v>320.8</v>
          </cell>
          <cell r="M310">
            <v>341.3</v>
          </cell>
          <cell r="N310">
            <v>224.2</v>
          </cell>
          <cell r="O310">
            <v>71.3</v>
          </cell>
          <cell r="P310">
            <v>68.900000000000006</v>
          </cell>
          <cell r="Q310">
            <v>87.9</v>
          </cell>
          <cell r="S310">
            <v>25</v>
          </cell>
          <cell r="T310" t="str">
            <v>1</v>
          </cell>
          <cell r="U310">
            <v>1233.9000000000001</v>
          </cell>
          <cell r="V310">
            <v>1236.3</v>
          </cell>
          <cell r="W310">
            <v>732.2</v>
          </cell>
          <cell r="Y310">
            <v>3.3</v>
          </cell>
          <cell r="Z310">
            <v>1234.8</v>
          </cell>
          <cell r="AA310">
            <v>1236.0999999999999</v>
          </cell>
          <cell r="AB310">
            <v>731.2</v>
          </cell>
          <cell r="AD310">
            <v>3.6</v>
          </cell>
          <cell r="AE310">
            <v>1236.4000000000001</v>
          </cell>
          <cell r="AF310">
            <v>1238.5999999999999</v>
          </cell>
          <cell r="AG310">
            <v>732.3</v>
          </cell>
          <cell r="AI310">
            <v>3.1</v>
          </cell>
          <cell r="AK310">
            <v>1455.12617</v>
          </cell>
          <cell r="AM310">
            <v>1450.0276200000001</v>
          </cell>
          <cell r="AO310">
            <v>1510.1905100000001</v>
          </cell>
          <cell r="AQ310" t="str">
            <v>-</v>
          </cell>
          <cell r="AR310">
            <v>1525</v>
          </cell>
          <cell r="AS310">
            <v>3.3</v>
          </cell>
          <cell r="AV310">
            <v>2.4379786064873206</v>
          </cell>
          <cell r="BS310">
            <v>2.5739999999999998</v>
          </cell>
        </row>
        <row r="311">
          <cell r="A311">
            <v>383</v>
          </cell>
          <cell r="B311">
            <v>40240</v>
          </cell>
          <cell r="D311">
            <v>1500.6</v>
          </cell>
          <cell r="E311">
            <v>1426.1</v>
          </cell>
          <cell r="G311" t="str">
            <v>Parcheo elaboración de fallos en vías urbanas y rurales del municipio de Medellín.</v>
          </cell>
          <cell r="H311" t="str">
            <v>2/2</v>
          </cell>
          <cell r="I311">
            <v>0</v>
          </cell>
          <cell r="J311">
            <v>146.1</v>
          </cell>
          <cell r="K311">
            <v>167</v>
          </cell>
          <cell r="L311">
            <v>324</v>
          </cell>
          <cell r="M311">
            <v>336.3</v>
          </cell>
          <cell r="N311">
            <v>224.9</v>
          </cell>
          <cell r="O311">
            <v>79.8</v>
          </cell>
          <cell r="P311">
            <v>62.2</v>
          </cell>
          <cell r="Q311">
            <v>85.8</v>
          </cell>
          <cell r="S311">
            <v>25</v>
          </cell>
          <cell r="T311" t="str">
            <v>1</v>
          </cell>
          <cell r="U311">
            <v>1233.5</v>
          </cell>
          <cell r="V311">
            <v>1234.5999999999999</v>
          </cell>
          <cell r="W311">
            <v>732</v>
          </cell>
          <cell r="Y311">
            <v>3.1</v>
          </cell>
          <cell r="Z311">
            <v>1234.9000000000001</v>
          </cell>
          <cell r="AA311">
            <v>1236.4000000000001</v>
          </cell>
          <cell r="AB311">
            <v>730.5</v>
          </cell>
          <cell r="AD311">
            <v>3.3</v>
          </cell>
          <cell r="AE311">
            <v>1234</v>
          </cell>
          <cell r="AF311">
            <v>1236.4000000000001</v>
          </cell>
          <cell r="AG311">
            <v>730.5</v>
          </cell>
          <cell r="AI311">
            <v>3.3</v>
          </cell>
          <cell r="AK311">
            <v>1481.6386299999999</v>
          </cell>
          <cell r="AM311">
            <v>1455.12617</v>
          </cell>
          <cell r="AO311">
            <v>1444.9290700000001</v>
          </cell>
          <cell r="AQ311" t="str">
            <v>-</v>
          </cell>
          <cell r="AR311">
            <v>1515</v>
          </cell>
          <cell r="AS311">
            <v>3.2</v>
          </cell>
          <cell r="AV311">
            <v>2.4376660576824323</v>
          </cell>
          <cell r="BS311">
            <v>2.5739999999999998</v>
          </cell>
        </row>
        <row r="312">
          <cell r="A312">
            <v>384</v>
          </cell>
          <cell r="B312">
            <v>40241</v>
          </cell>
          <cell r="D312">
            <v>1500.8</v>
          </cell>
          <cell r="E312">
            <v>1427</v>
          </cell>
          <cell r="G312" t="str">
            <v>Parcheo elaboración de fallos en vías urbanas y rurales del municipio de Medellín.</v>
          </cell>
          <cell r="H312" t="str">
            <v>1/2</v>
          </cell>
          <cell r="I312">
            <v>0</v>
          </cell>
          <cell r="J312">
            <v>252.5</v>
          </cell>
          <cell r="K312">
            <v>212.6</v>
          </cell>
          <cell r="L312">
            <v>213.5</v>
          </cell>
          <cell r="M312">
            <v>297.60000000000002</v>
          </cell>
          <cell r="N312">
            <v>219.4</v>
          </cell>
          <cell r="O312">
            <v>73.5</v>
          </cell>
          <cell r="P312">
            <v>71.3</v>
          </cell>
          <cell r="Q312">
            <v>86.6</v>
          </cell>
          <cell r="S312">
            <v>25</v>
          </cell>
          <cell r="T312" t="str">
            <v>1</v>
          </cell>
          <cell r="U312">
            <v>1236.3</v>
          </cell>
          <cell r="V312">
            <v>1237.3</v>
          </cell>
          <cell r="W312">
            <v>736.8</v>
          </cell>
          <cell r="Y312">
            <v>3.2</v>
          </cell>
          <cell r="Z312">
            <v>1233.5999999999999</v>
          </cell>
          <cell r="AA312">
            <v>1234.5999999999999</v>
          </cell>
          <cell r="AB312">
            <v>735.4</v>
          </cell>
          <cell r="AD312">
            <v>3.3</v>
          </cell>
          <cell r="AE312">
            <v>1235.5999999999999</v>
          </cell>
          <cell r="AF312">
            <v>1236.9000000000001</v>
          </cell>
          <cell r="AG312">
            <v>735.3</v>
          </cell>
          <cell r="AI312">
            <v>3.6</v>
          </cell>
          <cell r="AK312">
            <v>1513.24964</v>
          </cell>
          <cell r="AM312">
            <v>1556.07746</v>
          </cell>
          <cell r="AO312">
            <v>1720.2507700000001</v>
          </cell>
          <cell r="AP312" t="str">
            <v>Muestra tomada en el elevador</v>
          </cell>
          <cell r="AQ312" t="str">
            <v>-</v>
          </cell>
          <cell r="AR312">
            <v>1680</v>
          </cell>
          <cell r="AS312">
            <v>3.4</v>
          </cell>
          <cell r="AV312">
            <v>2.4609808808114395</v>
          </cell>
          <cell r="BS312">
            <v>2.57</v>
          </cell>
        </row>
        <row r="313">
          <cell r="A313">
            <v>385</v>
          </cell>
          <cell r="B313">
            <v>40241</v>
          </cell>
          <cell r="D313">
            <v>1500.5</v>
          </cell>
          <cell r="E313">
            <v>1425.4</v>
          </cell>
          <cell r="G313" t="str">
            <v>Parcheo elaboración de fallos en vías urbanas y rurales del municipio de Medellín.</v>
          </cell>
          <cell r="H313" t="str">
            <v>2/2</v>
          </cell>
          <cell r="I313">
            <v>0</v>
          </cell>
          <cell r="J313">
            <v>106.6</v>
          </cell>
          <cell r="K313">
            <v>171.3</v>
          </cell>
          <cell r="L313">
            <v>368.9</v>
          </cell>
          <cell r="M313">
            <v>305.2</v>
          </cell>
          <cell r="N313">
            <v>229.8</v>
          </cell>
          <cell r="O313">
            <v>85.3</v>
          </cell>
          <cell r="P313">
            <v>66.7</v>
          </cell>
          <cell r="Q313">
            <v>91.6</v>
          </cell>
          <cell r="S313">
            <v>25</v>
          </cell>
          <cell r="T313" t="str">
            <v>1</v>
          </cell>
          <cell r="U313">
            <v>1232.5</v>
          </cell>
          <cell r="V313">
            <v>1233.5999999999999</v>
          </cell>
          <cell r="W313">
            <v>733.5</v>
          </cell>
          <cell r="Y313">
            <v>3.4</v>
          </cell>
          <cell r="Z313">
            <v>1235.2</v>
          </cell>
          <cell r="AA313">
            <v>1236.4000000000001</v>
          </cell>
          <cell r="AB313">
            <v>737.6</v>
          </cell>
          <cell r="AD313">
            <v>3.4</v>
          </cell>
          <cell r="AE313">
            <v>1235.5999999999999</v>
          </cell>
          <cell r="AF313">
            <v>1237.5</v>
          </cell>
          <cell r="AG313">
            <v>733.3</v>
          </cell>
          <cell r="AI313">
            <v>3.4</v>
          </cell>
          <cell r="AK313">
            <v>1596.8658600000001</v>
          </cell>
          <cell r="AM313">
            <v>1801.8275700000002</v>
          </cell>
          <cell r="AO313">
            <v>1575.4519499999999</v>
          </cell>
          <cell r="AP313" t="str">
            <v>Muestra tomada en la volqueta</v>
          </cell>
          <cell r="AQ313" t="str">
            <v>-</v>
          </cell>
          <cell r="AR313">
            <v>1742</v>
          </cell>
          <cell r="AS313">
            <v>3.4</v>
          </cell>
          <cell r="AV313">
            <v>2.4566150407045884</v>
          </cell>
          <cell r="BS313">
            <v>2.57</v>
          </cell>
        </row>
        <row r="314">
          <cell r="A314">
            <v>386</v>
          </cell>
          <cell r="B314">
            <v>40242</v>
          </cell>
          <cell r="D314">
            <v>1500.4</v>
          </cell>
          <cell r="E314">
            <v>1429.7</v>
          </cell>
          <cell r="G314" t="str">
            <v>Parcheo elaboración de fallos en vías urbanas y rurales del municipio de Medellín.</v>
          </cell>
          <cell r="H314" t="str">
            <v>1/2</v>
          </cell>
          <cell r="I314">
            <v>0</v>
          </cell>
          <cell r="J314">
            <v>153.6</v>
          </cell>
          <cell r="K314">
            <v>183.4</v>
          </cell>
          <cell r="L314">
            <v>311.8</v>
          </cell>
          <cell r="M314">
            <v>328.6</v>
          </cell>
          <cell r="N314">
            <v>218.4</v>
          </cell>
          <cell r="O314">
            <v>79.900000000000006</v>
          </cell>
          <cell r="P314">
            <v>70.7</v>
          </cell>
          <cell r="Q314">
            <v>83.3</v>
          </cell>
          <cell r="S314">
            <v>25</v>
          </cell>
          <cell r="T314" t="str">
            <v>1</v>
          </cell>
          <cell r="U314">
            <v>1238.5</v>
          </cell>
          <cell r="V314">
            <v>1240.3</v>
          </cell>
          <cell r="W314">
            <v>735.1</v>
          </cell>
          <cell r="Y314">
            <v>3.2</v>
          </cell>
          <cell r="Z314">
            <v>1234.8</v>
          </cell>
          <cell r="AA314">
            <v>1236.0999999999999</v>
          </cell>
          <cell r="AB314">
            <v>730.4</v>
          </cell>
          <cell r="AD314">
            <v>2.9</v>
          </cell>
          <cell r="AE314">
            <v>1234.3</v>
          </cell>
          <cell r="AF314">
            <v>1236.2</v>
          </cell>
          <cell r="AG314">
            <v>731.4</v>
          </cell>
          <cell r="AI314">
            <v>3.1</v>
          </cell>
          <cell r="AK314">
            <v>1708.0142500000002</v>
          </cell>
          <cell r="AM314">
            <v>1673.34411</v>
          </cell>
          <cell r="AO314">
            <v>1486.7371800000001</v>
          </cell>
          <cell r="AP314" t="str">
            <v>Muestra tomada en el elevador</v>
          </cell>
          <cell r="AQ314" t="str">
            <v>-</v>
          </cell>
          <cell r="AR314">
            <v>1681</v>
          </cell>
          <cell r="AS314">
            <v>3.1</v>
          </cell>
          <cell r="AV314">
            <v>2.4389767412567247</v>
          </cell>
          <cell r="BS314">
            <v>2.5790000000000002</v>
          </cell>
        </row>
        <row r="315">
          <cell r="A315">
            <v>387</v>
          </cell>
          <cell r="B315">
            <v>40242</v>
          </cell>
          <cell r="D315">
            <v>1501.7</v>
          </cell>
          <cell r="E315">
            <v>1430.1</v>
          </cell>
          <cell r="G315" t="str">
            <v>Parcheo elaboración de fallos en vías urbanas y rurales del municipio de Medellín.</v>
          </cell>
          <cell r="H315" t="str">
            <v>2/2</v>
          </cell>
          <cell r="I315">
            <v>0</v>
          </cell>
          <cell r="J315">
            <v>205.4</v>
          </cell>
          <cell r="K315">
            <v>200.6</v>
          </cell>
          <cell r="L315">
            <v>302.2</v>
          </cell>
          <cell r="M315">
            <v>266.3</v>
          </cell>
          <cell r="N315">
            <v>230.3</v>
          </cell>
          <cell r="O315">
            <v>78.8</v>
          </cell>
          <cell r="P315">
            <v>65.2</v>
          </cell>
          <cell r="Q315">
            <v>81.3</v>
          </cell>
          <cell r="S315">
            <v>25</v>
          </cell>
          <cell r="T315" t="str">
            <v>1</v>
          </cell>
          <cell r="U315">
            <v>1236.5999999999999</v>
          </cell>
          <cell r="V315">
            <v>1239.9000000000001</v>
          </cell>
          <cell r="W315">
            <v>734</v>
          </cell>
          <cell r="Y315">
            <v>3.4</v>
          </cell>
          <cell r="Z315">
            <v>1233.8</v>
          </cell>
          <cell r="AA315">
            <v>1236.2</v>
          </cell>
          <cell r="AB315">
            <v>733.1</v>
          </cell>
          <cell r="AD315">
            <v>3</v>
          </cell>
          <cell r="AE315">
            <v>1235.5</v>
          </cell>
          <cell r="AF315">
            <v>1239</v>
          </cell>
          <cell r="AG315">
            <v>732.5</v>
          </cell>
          <cell r="AI315">
            <v>3.5</v>
          </cell>
          <cell r="AK315">
            <v>1551.9986200000001</v>
          </cell>
          <cell r="AM315">
            <v>1781.43337</v>
          </cell>
          <cell r="AO315">
            <v>1662.1273000000001</v>
          </cell>
          <cell r="AP315" t="str">
            <v>Muestra tomada en la volqueta</v>
          </cell>
          <cell r="AQ315" t="str">
            <v>-</v>
          </cell>
          <cell r="AR315">
            <v>1726</v>
          </cell>
          <cell r="AS315">
            <v>3.3</v>
          </cell>
          <cell r="AV315">
            <v>2.4381943540967272</v>
          </cell>
          <cell r="BS315">
            <v>2.5790000000000002</v>
          </cell>
        </row>
        <row r="316">
          <cell r="A316">
            <v>388</v>
          </cell>
          <cell r="B316">
            <v>40243</v>
          </cell>
          <cell r="D316">
            <v>1500.6</v>
          </cell>
          <cell r="E316">
            <v>1423.7</v>
          </cell>
          <cell r="G316" t="str">
            <v>Parcheo elaboración de fallos en vías urbanas y rurales del municipio de Medellín.</v>
          </cell>
          <cell r="H316" t="str">
            <v>1/2</v>
          </cell>
          <cell r="I316">
            <v>0</v>
          </cell>
          <cell r="J316">
            <v>179.1</v>
          </cell>
          <cell r="K316">
            <v>212.8</v>
          </cell>
          <cell r="L316">
            <v>283</v>
          </cell>
          <cell r="M316">
            <v>324.5</v>
          </cell>
          <cell r="N316">
            <v>206.5</v>
          </cell>
          <cell r="O316">
            <v>69.599999999999994</v>
          </cell>
          <cell r="P316">
            <v>66.8</v>
          </cell>
          <cell r="Q316">
            <v>81.400000000000006</v>
          </cell>
          <cell r="S316">
            <v>25</v>
          </cell>
          <cell r="T316" t="str">
            <v>1</v>
          </cell>
          <cell r="U316">
            <v>1238.0999999999999</v>
          </cell>
          <cell r="V316">
            <v>1239.5999999999999</v>
          </cell>
          <cell r="W316">
            <v>732.6</v>
          </cell>
          <cell r="Y316">
            <v>3.6</v>
          </cell>
          <cell r="Z316">
            <v>1235.5999999999999</v>
          </cell>
          <cell r="AA316">
            <v>1237.5</v>
          </cell>
          <cell r="AB316">
            <v>730.2</v>
          </cell>
          <cell r="AD316">
            <v>3.4</v>
          </cell>
          <cell r="AE316">
            <v>1233.9000000000001</v>
          </cell>
          <cell r="AF316">
            <v>1236.0999999999999</v>
          </cell>
          <cell r="AG316">
            <v>731.8</v>
          </cell>
          <cell r="AI316">
            <v>3.4</v>
          </cell>
          <cell r="AK316">
            <v>1645.81194</v>
          </cell>
          <cell r="AM316">
            <v>1411.27864</v>
          </cell>
          <cell r="AO316">
            <v>1722.2901900000002</v>
          </cell>
          <cell r="AP316" t="str">
            <v>Muestra tomada en el elevador</v>
          </cell>
          <cell r="AQ316" t="str">
            <v>-</v>
          </cell>
          <cell r="AR316">
            <v>1645</v>
          </cell>
          <cell r="AS316">
            <v>3.5</v>
          </cell>
          <cell r="AV316">
            <v>2.4343284933511629</v>
          </cell>
          <cell r="BS316">
            <v>2.585</v>
          </cell>
        </row>
        <row r="317">
          <cell r="A317">
            <v>389</v>
          </cell>
          <cell r="B317">
            <v>40243</v>
          </cell>
          <cell r="D317">
            <v>1500.6</v>
          </cell>
          <cell r="E317">
            <v>1429.3</v>
          </cell>
          <cell r="G317" t="str">
            <v>Parcheo elaboración de fallos en vías urbanas y rurales del municipio de Medellín.</v>
          </cell>
          <cell r="H317" t="str">
            <v>2/2</v>
          </cell>
          <cell r="I317">
            <v>0</v>
          </cell>
          <cell r="J317">
            <v>166</v>
          </cell>
          <cell r="K317">
            <v>186.3</v>
          </cell>
          <cell r="L317">
            <v>330.5</v>
          </cell>
          <cell r="M317">
            <v>300.3</v>
          </cell>
          <cell r="N317">
            <v>202.9</v>
          </cell>
          <cell r="O317">
            <v>84.8</v>
          </cell>
          <cell r="P317">
            <v>65.8</v>
          </cell>
          <cell r="Q317">
            <v>92.7</v>
          </cell>
          <cell r="S317">
            <v>25</v>
          </cell>
          <cell r="T317" t="str">
            <v>1</v>
          </cell>
          <cell r="U317">
            <v>1234.2</v>
          </cell>
          <cell r="V317">
            <v>1237.9000000000001</v>
          </cell>
          <cell r="W317">
            <v>731.7</v>
          </cell>
          <cell r="Y317">
            <v>3.5</v>
          </cell>
          <cell r="Z317">
            <v>1232.7</v>
          </cell>
          <cell r="AA317">
            <v>1235.5999999999999</v>
          </cell>
          <cell r="AB317">
            <v>730.6</v>
          </cell>
          <cell r="AD317">
            <v>3.4</v>
          </cell>
          <cell r="AE317">
            <v>1236.9000000000001</v>
          </cell>
          <cell r="AF317">
            <v>1240.5999999999999</v>
          </cell>
          <cell r="AG317">
            <v>736.1</v>
          </cell>
          <cell r="AI317">
            <v>3.3</v>
          </cell>
          <cell r="AK317">
            <v>1609.10238</v>
          </cell>
          <cell r="AM317">
            <v>1501.0131200000001</v>
          </cell>
          <cell r="AO317">
            <v>1587.6884700000001</v>
          </cell>
          <cell r="AP317" t="str">
            <v>Muestra tomada en la volqueta</v>
          </cell>
          <cell r="AQ317" t="str">
            <v>-</v>
          </cell>
          <cell r="AR317">
            <v>1622</v>
          </cell>
          <cell r="AS317">
            <v>3.4</v>
          </cell>
          <cell r="AV317">
            <v>2.436482788395979</v>
          </cell>
          <cell r="BS317">
            <v>2.585</v>
          </cell>
        </row>
        <row r="318">
          <cell r="A318">
            <v>390</v>
          </cell>
          <cell r="B318">
            <v>40245</v>
          </cell>
          <cell r="D318">
            <v>1501.4</v>
          </cell>
          <cell r="E318">
            <v>1423.6</v>
          </cell>
          <cell r="G318" t="str">
            <v>Parcheo elaboración de fallos en vías urbanas y rurales del municipio de Medellín.</v>
          </cell>
          <cell r="H318" t="str">
            <v>1/2</v>
          </cell>
          <cell r="I318">
            <v>0</v>
          </cell>
          <cell r="J318">
            <v>108.7</v>
          </cell>
          <cell r="K318">
            <v>176.4</v>
          </cell>
          <cell r="L318">
            <v>361.5</v>
          </cell>
          <cell r="M318">
            <v>300.5</v>
          </cell>
          <cell r="N318">
            <v>227.9</v>
          </cell>
          <cell r="O318">
            <v>79</v>
          </cell>
          <cell r="P318">
            <v>75</v>
          </cell>
          <cell r="Q318">
            <v>94.6</v>
          </cell>
          <cell r="S318">
            <v>25</v>
          </cell>
          <cell r="T318" t="str">
            <v>1</v>
          </cell>
          <cell r="U318">
            <v>1234.8</v>
          </cell>
          <cell r="V318">
            <v>1236.4000000000001</v>
          </cell>
          <cell r="W318">
            <v>732.3</v>
          </cell>
          <cell r="Y318">
            <v>3.5</v>
          </cell>
          <cell r="Z318">
            <v>1237.0999999999999</v>
          </cell>
          <cell r="AA318">
            <v>1239.2</v>
          </cell>
          <cell r="AB318">
            <v>732.5</v>
          </cell>
          <cell r="AD318">
            <v>3.4</v>
          </cell>
          <cell r="AE318">
            <v>1236.2</v>
          </cell>
          <cell r="AF318">
            <v>1238.3</v>
          </cell>
          <cell r="AG318">
            <v>733.3</v>
          </cell>
          <cell r="AI318">
            <v>3.1</v>
          </cell>
          <cell r="AK318">
            <v>1554.0380400000001</v>
          </cell>
          <cell r="AM318">
            <v>1408.2195100000001</v>
          </cell>
          <cell r="AO318">
            <v>1460.2247200000002</v>
          </cell>
          <cell r="AP318" t="str">
            <v>Muestra tomada en el elevador</v>
          </cell>
          <cell r="AQ318" t="str">
            <v>-</v>
          </cell>
          <cell r="AR318">
            <v>1527</v>
          </cell>
          <cell r="AS318">
            <v>3.3</v>
          </cell>
          <cell r="AV318">
            <v>2.4391508508442667</v>
          </cell>
          <cell r="BS318">
            <v>2.5640000000000001</v>
          </cell>
        </row>
        <row r="319">
          <cell r="A319">
            <v>391</v>
          </cell>
          <cell r="B319">
            <v>40245</v>
          </cell>
          <cell r="D319">
            <v>1500.7</v>
          </cell>
          <cell r="E319">
            <v>1428.6</v>
          </cell>
          <cell r="G319" t="str">
            <v>Parcheo elaboración de fallos en vías urbanas y rurales del municipio de Medellín.</v>
          </cell>
          <cell r="H319" t="str">
            <v>2/2</v>
          </cell>
          <cell r="I319">
            <v>0</v>
          </cell>
          <cell r="J319">
            <v>163.69999999999999</v>
          </cell>
          <cell r="K319">
            <v>183.9</v>
          </cell>
          <cell r="L319">
            <v>326.8</v>
          </cell>
          <cell r="M319">
            <v>296.8</v>
          </cell>
          <cell r="N319">
            <v>210.3</v>
          </cell>
          <cell r="O319">
            <v>84.9</v>
          </cell>
          <cell r="P319">
            <v>66.2</v>
          </cell>
          <cell r="Q319">
            <v>96</v>
          </cell>
          <cell r="S319">
            <v>25</v>
          </cell>
          <cell r="T319" t="str">
            <v>1</v>
          </cell>
          <cell r="U319">
            <v>1235.9000000000001</v>
          </cell>
          <cell r="V319">
            <v>1238.2</v>
          </cell>
          <cell r="W319">
            <v>732.8</v>
          </cell>
          <cell r="Y319">
            <v>3.2</v>
          </cell>
          <cell r="Z319">
            <v>1236.2</v>
          </cell>
          <cell r="AA319">
            <v>1238.3</v>
          </cell>
          <cell r="AB319">
            <v>734.9</v>
          </cell>
          <cell r="AD319">
            <v>3.5</v>
          </cell>
          <cell r="AE319">
            <v>1236.9000000000001</v>
          </cell>
          <cell r="AF319">
            <v>1239.3</v>
          </cell>
          <cell r="AG319">
            <v>733.4</v>
          </cell>
          <cell r="AI319">
            <v>3.34</v>
          </cell>
          <cell r="AK319">
            <v>1415.3574800000001</v>
          </cell>
          <cell r="AM319">
            <v>1594.82644</v>
          </cell>
          <cell r="AO319">
            <v>1358.2537200000002</v>
          </cell>
          <cell r="AP319" t="str">
            <v>Muestra tomada en el elevador</v>
          </cell>
          <cell r="AQ319" t="str">
            <v>-</v>
          </cell>
          <cell r="AR319">
            <v>1510</v>
          </cell>
          <cell r="AS319">
            <v>3.3</v>
          </cell>
          <cell r="AV319">
            <v>2.441517815955967</v>
          </cell>
          <cell r="BS319">
            <v>2.5640000000000001</v>
          </cell>
        </row>
        <row r="320">
          <cell r="A320">
            <v>392</v>
          </cell>
          <cell r="B320">
            <v>40246</v>
          </cell>
          <cell r="D320">
            <v>1500.9</v>
          </cell>
          <cell r="E320">
            <v>1426.2</v>
          </cell>
          <cell r="G320" t="str">
            <v>Parcheo elaboración de fallos en vías urbanas y rurales del municipio de Medellín.</v>
          </cell>
          <cell r="H320" t="str">
            <v>1/2</v>
          </cell>
          <cell r="I320">
            <v>0</v>
          </cell>
          <cell r="J320">
            <v>144.19999999999999</v>
          </cell>
          <cell r="K320">
            <v>151.9</v>
          </cell>
          <cell r="L320">
            <v>322.10000000000002</v>
          </cell>
          <cell r="M320">
            <v>323.5</v>
          </cell>
          <cell r="N320">
            <v>233.4</v>
          </cell>
          <cell r="O320">
            <v>78.900000000000006</v>
          </cell>
          <cell r="P320">
            <v>77.7</v>
          </cell>
          <cell r="Q320">
            <v>94.5</v>
          </cell>
          <cell r="S320">
            <v>25</v>
          </cell>
          <cell r="T320" t="str">
            <v>1</v>
          </cell>
          <cell r="U320">
            <v>1237.4000000000001</v>
          </cell>
          <cell r="V320">
            <v>1238.4000000000001</v>
          </cell>
          <cell r="W320">
            <v>735.1</v>
          </cell>
          <cell r="Y320">
            <v>3.2</v>
          </cell>
          <cell r="Z320">
            <v>1234.5</v>
          </cell>
          <cell r="AA320">
            <v>1237</v>
          </cell>
          <cell r="AB320">
            <v>726.9</v>
          </cell>
          <cell r="AD320">
            <v>3.3</v>
          </cell>
          <cell r="AE320">
            <v>1233.7</v>
          </cell>
          <cell r="AF320">
            <v>1235.7</v>
          </cell>
          <cell r="AG320">
            <v>728</v>
          </cell>
          <cell r="AI320">
            <v>3.6</v>
          </cell>
          <cell r="AK320">
            <v>1469.40211</v>
          </cell>
          <cell r="AM320">
            <v>1250.16446</v>
          </cell>
          <cell r="AO320">
            <v>1433.71226</v>
          </cell>
          <cell r="AP320" t="str">
            <v>Muestra tomada en el elevador</v>
          </cell>
          <cell r="AQ320" t="str">
            <v>-</v>
          </cell>
          <cell r="AR320">
            <v>1427</v>
          </cell>
          <cell r="AS320">
            <v>3.4</v>
          </cell>
          <cell r="AV320">
            <v>2.4290958686223396</v>
          </cell>
          <cell r="BS320">
            <v>2.5819999999999999</v>
          </cell>
        </row>
        <row r="321">
          <cell r="A321">
            <v>393</v>
          </cell>
          <cell r="B321">
            <v>40246</v>
          </cell>
          <cell r="D321">
            <v>1500.3</v>
          </cell>
          <cell r="E321">
            <v>1421.7</v>
          </cell>
          <cell r="G321" t="str">
            <v>Parcheo elaboración de fallos en vías urbanas y rurales del municipio de Medellín.</v>
          </cell>
          <cell r="H321" t="str">
            <v>2/2</v>
          </cell>
          <cell r="I321">
            <v>0</v>
          </cell>
          <cell r="J321">
            <v>185.6</v>
          </cell>
          <cell r="K321">
            <v>188.4</v>
          </cell>
          <cell r="L321">
            <v>291.5</v>
          </cell>
          <cell r="M321">
            <v>279.5</v>
          </cell>
          <cell r="N321">
            <v>226.4</v>
          </cell>
          <cell r="O321">
            <v>83.8</v>
          </cell>
          <cell r="P321">
            <v>66.5</v>
          </cell>
          <cell r="Q321">
            <v>100</v>
          </cell>
          <cell r="S321">
            <v>25</v>
          </cell>
          <cell r="T321" t="str">
            <v>1</v>
          </cell>
          <cell r="U321">
            <v>1234.8</v>
          </cell>
          <cell r="V321">
            <v>1235.5</v>
          </cell>
          <cell r="W321">
            <v>738.5</v>
          </cell>
          <cell r="Y321">
            <v>3.4</v>
          </cell>
          <cell r="Z321">
            <v>1233.5</v>
          </cell>
          <cell r="AA321">
            <v>1235</v>
          </cell>
          <cell r="AB321">
            <v>734</v>
          </cell>
          <cell r="AD321">
            <v>3.5</v>
          </cell>
          <cell r="AE321">
            <v>1231.8</v>
          </cell>
          <cell r="AF321">
            <v>1233.8</v>
          </cell>
          <cell r="AG321">
            <v>733.3</v>
          </cell>
          <cell r="AI321">
            <v>3.4</v>
          </cell>
          <cell r="AK321">
            <v>1753.9012</v>
          </cell>
          <cell r="AM321">
            <v>1493.8751500000001</v>
          </cell>
          <cell r="AO321">
            <v>1444.9290700000001</v>
          </cell>
          <cell r="AP321" t="str">
            <v>Muestra tomada en la volqueta</v>
          </cell>
          <cell r="AQ321" t="str">
            <v>-</v>
          </cell>
          <cell r="AR321">
            <v>1652</v>
          </cell>
          <cell r="AS321">
            <v>3.4</v>
          </cell>
          <cell r="AV321">
            <v>2.4620180551906889</v>
          </cell>
          <cell r="BS321">
            <v>2.5819999999999999</v>
          </cell>
        </row>
        <row r="322">
          <cell r="A322">
            <v>394</v>
          </cell>
          <cell r="B322">
            <v>40247</v>
          </cell>
          <cell r="D322">
            <v>1500.6</v>
          </cell>
          <cell r="E322">
            <v>1428.6</v>
          </cell>
          <cell r="G322" t="str">
            <v>Parcheo elaboración de fallos en vías urbanas y rurales del municipio de Medellín.</v>
          </cell>
          <cell r="H322" t="str">
            <v>1/3</v>
          </cell>
          <cell r="I322">
            <v>0</v>
          </cell>
          <cell r="J322">
            <v>182.6</v>
          </cell>
          <cell r="K322">
            <v>224.6</v>
          </cell>
          <cell r="L322">
            <v>282.60000000000002</v>
          </cell>
          <cell r="M322">
            <v>273.60000000000002</v>
          </cell>
          <cell r="N322">
            <v>222.3</v>
          </cell>
          <cell r="O322">
            <v>82.5</v>
          </cell>
          <cell r="P322">
            <v>78.900000000000006</v>
          </cell>
          <cell r="Q322">
            <v>81.5</v>
          </cell>
          <cell r="S322">
            <v>25</v>
          </cell>
          <cell r="T322" t="str">
            <v>1</v>
          </cell>
          <cell r="U322">
            <v>1235.2</v>
          </cell>
          <cell r="V322">
            <v>1238.5</v>
          </cell>
          <cell r="W322">
            <v>729.5</v>
          </cell>
          <cell r="Y322">
            <v>3.5</v>
          </cell>
          <cell r="Z322">
            <v>1236.4000000000001</v>
          </cell>
          <cell r="AA322">
            <v>1239.0999999999999</v>
          </cell>
          <cell r="AB322">
            <v>730.4</v>
          </cell>
          <cell r="AD322">
            <v>3.3</v>
          </cell>
          <cell r="AE322">
            <v>1236.5</v>
          </cell>
          <cell r="AF322">
            <v>1239.5999999999999</v>
          </cell>
          <cell r="AG322">
            <v>732.4</v>
          </cell>
          <cell r="AI322">
            <v>3.1</v>
          </cell>
          <cell r="AK322">
            <v>1317.46532</v>
          </cell>
          <cell r="AM322">
            <v>1494.8948600000001</v>
          </cell>
          <cell r="AO322">
            <v>1452.0670400000001</v>
          </cell>
          <cell r="AP322" t="str">
            <v>Muestra tomada en el elevador</v>
          </cell>
          <cell r="AQ322" t="str">
            <v>-</v>
          </cell>
          <cell r="AR322">
            <v>1458</v>
          </cell>
          <cell r="AS322">
            <v>3.3</v>
          </cell>
          <cell r="AV322">
            <v>2.4245947621061488</v>
          </cell>
          <cell r="BS322">
            <v>2.5819999999999999</v>
          </cell>
        </row>
        <row r="323">
          <cell r="A323">
            <v>395</v>
          </cell>
          <cell r="B323">
            <v>40247</v>
          </cell>
          <cell r="D323">
            <v>1501.1</v>
          </cell>
          <cell r="E323">
            <v>1427.9</v>
          </cell>
          <cell r="G323" t="str">
            <v>Parcheo elaboración de fallos en vías urbanas y rurales del municipio de Medellín.</v>
          </cell>
          <cell r="H323" t="str">
            <v>2/3</v>
          </cell>
          <cell r="I323">
            <v>0</v>
          </cell>
          <cell r="J323">
            <v>105.7</v>
          </cell>
          <cell r="K323">
            <v>224.2</v>
          </cell>
          <cell r="L323">
            <v>321.3</v>
          </cell>
          <cell r="M323">
            <v>301</v>
          </cell>
          <cell r="N323">
            <v>229.8</v>
          </cell>
          <cell r="O323">
            <v>78.400000000000006</v>
          </cell>
          <cell r="P323">
            <v>79.7</v>
          </cell>
          <cell r="Q323">
            <v>87.8</v>
          </cell>
          <cell r="S323">
            <v>25</v>
          </cell>
          <cell r="T323" t="str">
            <v>1</v>
          </cell>
          <cell r="U323">
            <v>1235.7</v>
          </cell>
          <cell r="V323">
            <v>1236.9000000000001</v>
          </cell>
          <cell r="W323">
            <v>732.9</v>
          </cell>
          <cell r="Y323">
            <v>3.3</v>
          </cell>
          <cell r="Z323">
            <v>1235.8</v>
          </cell>
          <cell r="AA323">
            <v>1237.0999999999999</v>
          </cell>
          <cell r="AB323">
            <v>731.5</v>
          </cell>
          <cell r="AD323">
            <v>3.1</v>
          </cell>
          <cell r="AE323">
            <v>1234</v>
          </cell>
          <cell r="AF323">
            <v>1235.5999999999999</v>
          </cell>
          <cell r="AG323">
            <v>737.3</v>
          </cell>
          <cell r="AI323">
            <v>3.2</v>
          </cell>
          <cell r="AK323">
            <v>1515.2890600000001</v>
          </cell>
          <cell r="AM323">
            <v>1440.8502300000002</v>
          </cell>
          <cell r="AO323">
            <v>1367.43111</v>
          </cell>
          <cell r="AP323" t="str">
            <v>Muestra tomada en la volqueta</v>
          </cell>
          <cell r="AQ323" t="str">
            <v>-</v>
          </cell>
          <cell r="AR323">
            <v>1505</v>
          </cell>
          <cell r="AS323">
            <v>3.2</v>
          </cell>
          <cell r="AV323">
            <v>2.4502886222781286</v>
          </cell>
          <cell r="BS323">
            <v>2.5819999999999999</v>
          </cell>
        </row>
        <row r="324">
          <cell r="A324">
            <v>396</v>
          </cell>
          <cell r="B324">
            <v>40248</v>
          </cell>
          <cell r="D324">
            <v>1500.5</v>
          </cell>
          <cell r="E324">
            <v>1426.3</v>
          </cell>
          <cell r="G324" t="str">
            <v>Parcheo elaboración de fallos en vías urbanas y rurales del municipio de Medellín.</v>
          </cell>
          <cell r="H324" t="str">
            <v>1/2</v>
          </cell>
          <cell r="I324">
            <v>0</v>
          </cell>
          <cell r="J324">
            <v>150.1</v>
          </cell>
          <cell r="K324">
            <v>167.1</v>
          </cell>
          <cell r="L324">
            <v>357.9</v>
          </cell>
          <cell r="M324">
            <v>301.3</v>
          </cell>
          <cell r="N324">
            <v>213.6</v>
          </cell>
          <cell r="O324">
            <v>89.8</v>
          </cell>
          <cell r="P324">
            <v>69.2</v>
          </cell>
          <cell r="Q324">
            <v>77.3</v>
          </cell>
          <cell r="S324">
            <v>25</v>
          </cell>
          <cell r="T324" t="str">
            <v>1</v>
          </cell>
          <cell r="U324">
            <v>1235.2</v>
          </cell>
          <cell r="V324">
            <v>1238.5</v>
          </cell>
          <cell r="W324">
            <v>729.5</v>
          </cell>
          <cell r="Y324">
            <v>3.5</v>
          </cell>
          <cell r="Z324">
            <v>1236.4000000000001</v>
          </cell>
          <cell r="AA324">
            <v>1239.0999999999999</v>
          </cell>
          <cell r="AB324">
            <v>730.4</v>
          </cell>
          <cell r="AD324">
            <v>3.3</v>
          </cell>
          <cell r="AE324">
            <v>1236.5</v>
          </cell>
          <cell r="AF324">
            <v>1239.5999999999999</v>
          </cell>
          <cell r="AG324">
            <v>732.4</v>
          </cell>
          <cell r="AI324">
            <v>3.1</v>
          </cell>
          <cell r="AK324">
            <v>1317.46532</v>
          </cell>
          <cell r="AM324">
            <v>1494.8948600000001</v>
          </cell>
          <cell r="AO324">
            <v>1452.0670400000001</v>
          </cell>
          <cell r="AP324" t="str">
            <v>Muestra tomada en el elevador</v>
          </cell>
          <cell r="AQ324" t="str">
            <v>-</v>
          </cell>
          <cell r="AR324">
            <v>1458</v>
          </cell>
          <cell r="AS324">
            <v>3.3</v>
          </cell>
          <cell r="AV324">
            <v>2.4245947621061488</v>
          </cell>
          <cell r="BS324">
            <v>2.569</v>
          </cell>
        </row>
        <row r="325">
          <cell r="A325">
            <v>397</v>
          </cell>
          <cell r="B325">
            <v>40248</v>
          </cell>
          <cell r="D325">
            <v>1500.3</v>
          </cell>
          <cell r="E325">
            <v>1420.3</v>
          </cell>
          <cell r="G325" t="str">
            <v>Parcheo elaboración de fallos en vías urbanas y rurales del municipio de Medellín.</v>
          </cell>
          <cell r="H325" t="str">
            <v>2/2</v>
          </cell>
          <cell r="I325">
            <v>0</v>
          </cell>
          <cell r="J325">
            <v>171.1</v>
          </cell>
          <cell r="K325">
            <v>128.5</v>
          </cell>
          <cell r="L325">
            <v>304.8</v>
          </cell>
          <cell r="M325">
            <v>317.39999999999998</v>
          </cell>
          <cell r="N325">
            <v>245.1</v>
          </cell>
          <cell r="O325">
            <v>80</v>
          </cell>
          <cell r="P325">
            <v>82.2</v>
          </cell>
          <cell r="Q325">
            <v>91.2</v>
          </cell>
          <cell r="S325">
            <v>25</v>
          </cell>
          <cell r="T325" t="str">
            <v>1</v>
          </cell>
          <cell r="U325">
            <v>1235.7</v>
          </cell>
          <cell r="V325">
            <v>1236.7</v>
          </cell>
          <cell r="W325">
            <v>732.9</v>
          </cell>
          <cell r="Y325">
            <v>3.3</v>
          </cell>
          <cell r="Z325">
            <v>1235.8</v>
          </cell>
          <cell r="AA325">
            <v>1237.0999999999999</v>
          </cell>
          <cell r="AB325">
            <v>731.5</v>
          </cell>
          <cell r="AD325">
            <v>3.1</v>
          </cell>
          <cell r="AE325">
            <v>1234</v>
          </cell>
          <cell r="AF325">
            <v>1235.5999999999999</v>
          </cell>
          <cell r="AG325">
            <v>727.3</v>
          </cell>
          <cell r="AI325">
            <v>3.2</v>
          </cell>
          <cell r="AK325">
            <v>1617.2600600000001</v>
          </cell>
          <cell r="AM325">
            <v>1437.7910999999999</v>
          </cell>
          <cell r="AO325">
            <v>1367.43111</v>
          </cell>
          <cell r="AP325" t="str">
            <v>Muestra tomada en la volqueta</v>
          </cell>
          <cell r="AQ325" t="str">
            <v>-</v>
          </cell>
          <cell r="AR325">
            <v>1524</v>
          </cell>
          <cell r="AS325">
            <v>3.2</v>
          </cell>
          <cell r="AV325">
            <v>2.4344197305275812</v>
          </cell>
          <cell r="BS325">
            <v>2.569</v>
          </cell>
        </row>
        <row r="326">
          <cell r="A326">
            <v>398</v>
          </cell>
          <cell r="B326">
            <v>40249</v>
          </cell>
          <cell r="D326">
            <v>1500.5</v>
          </cell>
          <cell r="E326">
            <v>1425.1</v>
          </cell>
          <cell r="G326" t="str">
            <v>Parcheo elaboración de fallos en vías urbanas y rurales del municipio de Medellín.</v>
          </cell>
          <cell r="H326" t="str">
            <v>1/2</v>
          </cell>
          <cell r="I326">
            <v>0</v>
          </cell>
          <cell r="J326">
            <v>95</v>
          </cell>
          <cell r="K326">
            <v>188.7</v>
          </cell>
          <cell r="L326">
            <v>399.5</v>
          </cell>
          <cell r="M326">
            <v>306.2</v>
          </cell>
          <cell r="N326">
            <v>203</v>
          </cell>
          <cell r="O326">
            <v>70.400000000000006</v>
          </cell>
          <cell r="P326">
            <v>71.400000000000006</v>
          </cell>
          <cell r="Q326">
            <v>90.9</v>
          </cell>
          <cell r="S326">
            <v>25</v>
          </cell>
          <cell r="T326" t="str">
            <v>1</v>
          </cell>
          <cell r="U326">
            <v>1238.0999999999999</v>
          </cell>
          <cell r="V326">
            <v>1239</v>
          </cell>
          <cell r="W326">
            <v>733.8</v>
          </cell>
          <cell r="Y326">
            <v>3.1</v>
          </cell>
          <cell r="Z326">
            <v>1233.8</v>
          </cell>
          <cell r="AA326">
            <v>1235.2</v>
          </cell>
          <cell r="AB326">
            <v>730.3</v>
          </cell>
          <cell r="AD326">
            <v>3.3</v>
          </cell>
          <cell r="AE326">
            <v>1234.3</v>
          </cell>
          <cell r="AF326">
            <v>1235.9000000000001</v>
          </cell>
          <cell r="AG326">
            <v>729.8</v>
          </cell>
          <cell r="AI326">
            <v>3.5</v>
          </cell>
          <cell r="AK326">
            <v>1499.99341</v>
          </cell>
          <cell r="AM326">
            <v>1471.4415300000001</v>
          </cell>
          <cell r="AO326">
            <v>1316.44561</v>
          </cell>
          <cell r="AP326" t="str">
            <v>Muestra tomada en el elevador</v>
          </cell>
          <cell r="AQ326" t="str">
            <v>-</v>
          </cell>
          <cell r="AR326">
            <v>1480</v>
          </cell>
          <cell r="AS326">
            <v>3.3</v>
          </cell>
          <cell r="AV326">
            <v>2.437253744490584</v>
          </cell>
          <cell r="BS326">
            <v>2.5739999999999998</v>
          </cell>
        </row>
        <row r="327">
          <cell r="A327">
            <v>399</v>
          </cell>
          <cell r="B327">
            <v>40249</v>
          </cell>
          <cell r="D327">
            <v>1500.5</v>
          </cell>
          <cell r="E327">
            <v>1423.8</v>
          </cell>
          <cell r="G327" t="str">
            <v>Parcheo elaboración de fallos en vías urbanas y rurales del municipio de Medellín.</v>
          </cell>
          <cell r="H327" t="str">
            <v>2/2</v>
          </cell>
          <cell r="I327">
            <v>0</v>
          </cell>
          <cell r="J327">
            <v>141.30000000000001</v>
          </cell>
          <cell r="K327">
            <v>244.8</v>
          </cell>
          <cell r="L327">
            <v>268</v>
          </cell>
          <cell r="M327">
            <v>296.60000000000002</v>
          </cell>
          <cell r="N327">
            <v>237.5</v>
          </cell>
          <cell r="O327">
            <v>82.3</v>
          </cell>
          <cell r="P327">
            <v>65.3</v>
          </cell>
          <cell r="Q327">
            <v>88</v>
          </cell>
          <cell r="S327">
            <v>25</v>
          </cell>
          <cell r="T327" t="str">
            <v>1</v>
          </cell>
          <cell r="U327">
            <v>1236.0999999999999</v>
          </cell>
          <cell r="V327">
            <v>1237.9000000000001</v>
          </cell>
          <cell r="W327">
            <v>733.1</v>
          </cell>
          <cell r="Y327">
            <v>3</v>
          </cell>
          <cell r="Z327">
            <v>1233.8</v>
          </cell>
          <cell r="AA327">
            <v>1235.8</v>
          </cell>
          <cell r="AB327">
            <v>732</v>
          </cell>
          <cell r="AD327">
            <v>3.2</v>
          </cell>
          <cell r="AE327">
            <v>1234</v>
          </cell>
          <cell r="AF327">
            <v>1235.7</v>
          </cell>
          <cell r="AG327">
            <v>731.3</v>
          </cell>
          <cell r="AI327">
            <v>3.5</v>
          </cell>
          <cell r="AK327">
            <v>1490.81602</v>
          </cell>
          <cell r="AM327">
            <v>1434.73197</v>
          </cell>
          <cell r="AO327">
            <v>1502.0328300000001</v>
          </cell>
          <cell r="AP327" t="str">
            <v>Muestra tomada en la volqueta</v>
          </cell>
          <cell r="AQ327" t="str">
            <v>-</v>
          </cell>
          <cell r="AR327">
            <v>1533</v>
          </cell>
          <cell r="AS327">
            <v>3.2</v>
          </cell>
          <cell r="AV327">
            <v>2.4408898857338079</v>
          </cell>
          <cell r="BS327">
            <v>2.5739999999999998</v>
          </cell>
        </row>
        <row r="328">
          <cell r="A328">
            <v>400</v>
          </cell>
          <cell r="B328">
            <v>40252</v>
          </cell>
          <cell r="D328">
            <v>1500.6</v>
          </cell>
          <cell r="E328">
            <v>1424.4</v>
          </cell>
          <cell r="G328" t="str">
            <v>Parcheo elaboración de fallos en vías urbanas y rurales del municipio de Medellín.</v>
          </cell>
          <cell r="H328" t="str">
            <v>1/3</v>
          </cell>
          <cell r="I328">
            <v>0</v>
          </cell>
          <cell r="J328">
            <v>158.69999999999999</v>
          </cell>
          <cell r="K328">
            <v>234</v>
          </cell>
          <cell r="L328">
            <v>264.8</v>
          </cell>
          <cell r="M328">
            <v>324.7</v>
          </cell>
          <cell r="N328">
            <v>216.7</v>
          </cell>
          <cell r="O328">
            <v>70.900000000000006</v>
          </cell>
          <cell r="P328">
            <v>72.3</v>
          </cell>
          <cell r="Q328">
            <v>82.3</v>
          </cell>
          <cell r="S328">
            <v>25</v>
          </cell>
          <cell r="T328" t="str">
            <v>1</v>
          </cell>
          <cell r="U328">
            <v>1235.7</v>
          </cell>
          <cell r="V328">
            <v>1236.8</v>
          </cell>
          <cell r="W328">
            <v>733.3</v>
          </cell>
          <cell r="Y328">
            <v>3.4</v>
          </cell>
          <cell r="Z328">
            <v>1237.4000000000001</v>
          </cell>
          <cell r="AA328">
            <v>1239.9000000000001</v>
          </cell>
          <cell r="AB328">
            <v>731</v>
          </cell>
          <cell r="AD328">
            <v>2.92</v>
          </cell>
          <cell r="AE328">
            <v>1231.5999999999999</v>
          </cell>
          <cell r="AF328">
            <v>1233.0999999999999</v>
          </cell>
          <cell r="AG328">
            <v>725.5</v>
          </cell>
          <cell r="AI328">
            <v>3.5</v>
          </cell>
          <cell r="AK328">
            <v>1599.92499</v>
          </cell>
          <cell r="AM328">
            <v>1217.5337400000001</v>
          </cell>
          <cell r="AO328">
            <v>1361.31285</v>
          </cell>
          <cell r="AP328" t="str">
            <v>Muestra tomada en el elevador</v>
          </cell>
          <cell r="AQ328" t="str">
            <v>-</v>
          </cell>
          <cell r="AR328">
            <v>1437</v>
          </cell>
          <cell r="AS328">
            <v>3.3</v>
          </cell>
          <cell r="AV328">
            <v>2.4302238608705724</v>
          </cell>
          <cell r="BS328">
            <v>2.5680000000000001</v>
          </cell>
        </row>
        <row r="329">
          <cell r="A329">
            <v>401</v>
          </cell>
          <cell r="B329">
            <v>40252</v>
          </cell>
          <cell r="D329">
            <v>1500.5</v>
          </cell>
          <cell r="E329">
            <v>1426.9</v>
          </cell>
          <cell r="G329" t="str">
            <v>Parcheo elaboración de fallos en vías urbanas y rurales del municipio de Medellín.</v>
          </cell>
          <cell r="H329" t="str">
            <v>2/3</v>
          </cell>
          <cell r="I329">
            <v>0</v>
          </cell>
          <cell r="J329">
            <v>249.8</v>
          </cell>
          <cell r="K329">
            <v>249.4</v>
          </cell>
          <cell r="L329">
            <v>182.4</v>
          </cell>
          <cell r="M329">
            <v>288.5</v>
          </cell>
          <cell r="N329">
            <v>224</v>
          </cell>
          <cell r="O329">
            <v>79.7</v>
          </cell>
          <cell r="P329">
            <v>65</v>
          </cell>
          <cell r="Q329">
            <v>88.1</v>
          </cell>
          <cell r="S329">
            <v>25</v>
          </cell>
          <cell r="T329" t="str">
            <v>1</v>
          </cell>
          <cell r="U329">
            <v>1237.2</v>
          </cell>
          <cell r="V329">
            <v>1238.5</v>
          </cell>
          <cell r="W329">
            <v>737.2</v>
          </cell>
          <cell r="Y329">
            <v>3.3</v>
          </cell>
          <cell r="Z329">
            <v>1234.4000000000001</v>
          </cell>
          <cell r="AA329">
            <v>1236.4000000000001</v>
          </cell>
          <cell r="AB329">
            <v>734.8</v>
          </cell>
          <cell r="AD329">
            <v>3.4</v>
          </cell>
          <cell r="AE329">
            <v>1234.3</v>
          </cell>
          <cell r="AF329">
            <v>1236.3</v>
          </cell>
          <cell r="AG329">
            <v>734.6</v>
          </cell>
          <cell r="AI329">
            <v>3.6</v>
          </cell>
          <cell r="AK329">
            <v>1511.2102200000002</v>
          </cell>
          <cell r="AM329">
            <v>1369.4705300000001</v>
          </cell>
          <cell r="AO329">
            <v>1677.4229499999999</v>
          </cell>
          <cell r="AP329" t="str">
            <v>Muestra tomada en la volqueta</v>
          </cell>
          <cell r="AQ329" t="str">
            <v>-</v>
          </cell>
          <cell r="AR329">
            <v>1593</v>
          </cell>
          <cell r="AS329">
            <v>3.4</v>
          </cell>
          <cell r="AV329">
            <v>2.4558434130226865</v>
          </cell>
          <cell r="BS329">
            <v>2.5680000000000001</v>
          </cell>
        </row>
        <row r="330">
          <cell r="A330">
            <v>402</v>
          </cell>
          <cell r="B330">
            <v>40252</v>
          </cell>
          <cell r="D330">
            <v>1500.3</v>
          </cell>
          <cell r="E330">
            <v>1426.3</v>
          </cell>
          <cell r="G330" t="str">
            <v>Parcheo elaboración de fallos en vías urbanas y rurales del municipio de Medellín.</v>
          </cell>
          <cell r="H330" t="str">
            <v>3/3</v>
          </cell>
          <cell r="I330">
            <v>0</v>
          </cell>
          <cell r="J330">
            <v>180.5</v>
          </cell>
          <cell r="K330">
            <v>195.3</v>
          </cell>
          <cell r="L330">
            <v>285.10000000000002</v>
          </cell>
          <cell r="M330">
            <v>306.39999999999998</v>
          </cell>
          <cell r="N330">
            <v>221.7</v>
          </cell>
          <cell r="O330">
            <v>75.400000000000006</v>
          </cell>
          <cell r="P330">
            <v>75.400000000000006</v>
          </cell>
          <cell r="Q330">
            <v>86.5</v>
          </cell>
          <cell r="S330">
            <v>25</v>
          </cell>
          <cell r="T330" t="str">
            <v>1</v>
          </cell>
          <cell r="AK330">
            <v>0</v>
          </cell>
          <cell r="AM330">
            <v>0</v>
          </cell>
          <cell r="AO330">
            <v>0</v>
          </cell>
          <cell r="AP330" t="str">
            <v>Muestra tomada en el obra en cojunto con el Laboratorio de AIM</v>
          </cell>
          <cell r="AQ330" t="str">
            <v>Cra. 43G con calle 25A</v>
          </cell>
          <cell r="AR330">
            <v>0</v>
          </cell>
          <cell r="AS330">
            <v>0</v>
          </cell>
          <cell r="AV330">
            <v>0</v>
          </cell>
          <cell r="BS330">
            <v>2.5680000000000001</v>
          </cell>
        </row>
        <row r="331">
          <cell r="A331">
            <v>403</v>
          </cell>
          <cell r="B331">
            <v>40253</v>
          </cell>
          <cell r="D331">
            <v>1500.3</v>
          </cell>
          <cell r="E331">
            <v>1424.4</v>
          </cell>
          <cell r="G331" t="str">
            <v>Parcheo elaboración de fallos en vías urbanas y rurales del municipio de Medellín.</v>
          </cell>
          <cell r="H331" t="str">
            <v>1/3</v>
          </cell>
          <cell r="I331">
            <v>0</v>
          </cell>
          <cell r="J331">
            <v>159.30000000000001</v>
          </cell>
          <cell r="K331">
            <v>175.7</v>
          </cell>
          <cell r="L331">
            <v>293</v>
          </cell>
          <cell r="M331">
            <v>333.2</v>
          </cell>
          <cell r="N331">
            <v>230</v>
          </cell>
          <cell r="O331">
            <v>73.7</v>
          </cell>
          <cell r="P331">
            <v>74.400000000000006</v>
          </cell>
          <cell r="Q331">
            <v>85.1</v>
          </cell>
          <cell r="S331">
            <v>25</v>
          </cell>
          <cell r="T331" t="str">
            <v>1</v>
          </cell>
          <cell r="U331">
            <v>1244.5999999999999</v>
          </cell>
          <cell r="V331">
            <v>1236.7</v>
          </cell>
          <cell r="W331">
            <v>729.2</v>
          </cell>
          <cell r="Y331">
            <v>3</v>
          </cell>
          <cell r="Z331">
            <v>1234.3</v>
          </cell>
          <cell r="AA331">
            <v>1236.7</v>
          </cell>
          <cell r="AB331">
            <v>728.1</v>
          </cell>
          <cell r="AD331">
            <v>3.2</v>
          </cell>
          <cell r="AE331">
            <v>1235.8</v>
          </cell>
          <cell r="AF331">
            <v>1238.5999999999999</v>
          </cell>
          <cell r="AG331">
            <v>729.5</v>
          </cell>
          <cell r="AI331">
            <v>3.4</v>
          </cell>
          <cell r="AK331">
            <v>1428.6137100000001</v>
          </cell>
          <cell r="AM331">
            <v>1356.2143000000001</v>
          </cell>
          <cell r="AO331">
            <v>1371.5099499999999</v>
          </cell>
          <cell r="AP331" t="str">
            <v>Muestra tomada en el elevador</v>
          </cell>
          <cell r="AQ331" t="str">
            <v>-</v>
          </cell>
          <cell r="AR331">
            <v>1420</v>
          </cell>
          <cell r="AS331">
            <v>3.2</v>
          </cell>
          <cell r="AV331">
            <v>2.4284402324450793</v>
          </cell>
          <cell r="BS331">
            <v>2.58</v>
          </cell>
        </row>
        <row r="332">
          <cell r="A332">
            <v>404</v>
          </cell>
          <cell r="B332">
            <v>40253</v>
          </cell>
          <cell r="D332">
            <v>1500.4</v>
          </cell>
          <cell r="E332">
            <v>1431.6</v>
          </cell>
          <cell r="G332" t="str">
            <v>Parcheo elaboración de fallos en vías urbanas y rurales del municipio de Medellín.</v>
          </cell>
          <cell r="H332" t="str">
            <v>2/3</v>
          </cell>
          <cell r="I332">
            <v>0</v>
          </cell>
          <cell r="J332">
            <v>234.5</v>
          </cell>
          <cell r="K332">
            <v>199.6</v>
          </cell>
          <cell r="L332">
            <v>293.3</v>
          </cell>
          <cell r="M332">
            <v>258.3</v>
          </cell>
          <cell r="N332">
            <v>211.6</v>
          </cell>
          <cell r="O332">
            <v>79.900000000000006</v>
          </cell>
          <cell r="P332">
            <v>65.599999999999994</v>
          </cell>
          <cell r="Q332">
            <v>88.8</v>
          </cell>
          <cell r="S332">
            <v>25</v>
          </cell>
          <cell r="T332" t="str">
            <v>1</v>
          </cell>
          <cell r="U332">
            <v>1239.8</v>
          </cell>
          <cell r="V332">
            <v>1241.7</v>
          </cell>
          <cell r="W332">
            <v>736</v>
          </cell>
          <cell r="Y332">
            <v>3.2</v>
          </cell>
          <cell r="Z332">
            <v>1237</v>
          </cell>
          <cell r="AA332">
            <v>1239.4000000000001</v>
          </cell>
          <cell r="AB332">
            <v>734.8</v>
          </cell>
          <cell r="AD332">
            <v>3.4</v>
          </cell>
          <cell r="AE332">
            <v>1235.7</v>
          </cell>
          <cell r="AF332">
            <v>1236.5999999999999</v>
          </cell>
          <cell r="AG332">
            <v>734.6</v>
          </cell>
          <cell r="AI332">
            <v>3.4</v>
          </cell>
          <cell r="AK332">
            <v>1397.0027</v>
          </cell>
          <cell r="AM332">
            <v>1415.3574800000001</v>
          </cell>
          <cell r="AO332">
            <v>1594.82644</v>
          </cell>
          <cell r="AP332" t="str">
            <v>Muestra tomada en la volqueta</v>
          </cell>
          <cell r="AQ332" t="str">
            <v>-</v>
          </cell>
          <cell r="AR332">
            <v>1528</v>
          </cell>
          <cell r="AS332">
            <v>3.3</v>
          </cell>
          <cell r="AV332">
            <v>2.4477033486045174</v>
          </cell>
          <cell r="BS332">
            <v>2.58</v>
          </cell>
        </row>
        <row r="333">
          <cell r="A333">
            <v>405</v>
          </cell>
          <cell r="B333">
            <v>40253</v>
          </cell>
          <cell r="D333">
            <v>1504.1</v>
          </cell>
          <cell r="E333">
            <v>1427.8</v>
          </cell>
          <cell r="G333" t="str">
            <v>Parcheo elaboración de fallos en vías urbanas y rurales del municipio de Medellín.</v>
          </cell>
          <cell r="H333" t="str">
            <v>3/3</v>
          </cell>
          <cell r="I333">
            <v>0</v>
          </cell>
          <cell r="J333">
            <v>156.80000000000001</v>
          </cell>
          <cell r="K333">
            <v>179.4</v>
          </cell>
          <cell r="L333">
            <v>292.7</v>
          </cell>
          <cell r="M333">
            <v>359.1</v>
          </cell>
          <cell r="N333">
            <v>216</v>
          </cell>
          <cell r="O333">
            <v>69.099999999999994</v>
          </cell>
          <cell r="P333">
            <v>69.7</v>
          </cell>
          <cell r="Q333">
            <v>85</v>
          </cell>
          <cell r="S333">
            <v>25</v>
          </cell>
          <cell r="T333" t="str">
            <v>1</v>
          </cell>
          <cell r="AP333" t="str">
            <v>Muestra tomada en el obra en conjunto con el Laboratorio de AIM</v>
          </cell>
          <cell r="AQ333" t="str">
            <v>Calle 10 Cra. 70A  (voqueta DIG 009)</v>
          </cell>
          <cell r="AR333">
            <v>0</v>
          </cell>
          <cell r="BS333">
            <v>2.58</v>
          </cell>
        </row>
        <row r="334">
          <cell r="A334">
            <v>406</v>
          </cell>
          <cell r="B334">
            <v>40254</v>
          </cell>
          <cell r="D334">
            <v>1500.3</v>
          </cell>
          <cell r="E334">
            <v>1427</v>
          </cell>
          <cell r="G334" t="str">
            <v>Parcheo elaboración de fallos en vías urbanas y rurales del municipio de Medellín.</v>
          </cell>
          <cell r="H334" t="str">
            <v>1/3</v>
          </cell>
          <cell r="I334">
            <v>0</v>
          </cell>
          <cell r="J334">
            <v>209.3</v>
          </cell>
          <cell r="K334">
            <v>198</v>
          </cell>
          <cell r="L334">
            <v>274.8</v>
          </cell>
          <cell r="M334">
            <v>305.39999999999998</v>
          </cell>
          <cell r="N334">
            <v>213.7</v>
          </cell>
          <cell r="O334">
            <v>71.3</v>
          </cell>
          <cell r="P334">
            <v>67.3</v>
          </cell>
          <cell r="Q334">
            <v>87.2</v>
          </cell>
          <cell r="S334">
            <v>25</v>
          </cell>
          <cell r="T334" t="str">
            <v>1</v>
          </cell>
          <cell r="U334">
            <v>1237.4000000000001</v>
          </cell>
          <cell r="V334">
            <v>1238.2</v>
          </cell>
          <cell r="W334">
            <v>734.6</v>
          </cell>
          <cell r="Y334">
            <v>3.1</v>
          </cell>
          <cell r="Z334">
            <v>1237.5</v>
          </cell>
          <cell r="AA334">
            <v>1236.2</v>
          </cell>
          <cell r="AB334">
            <v>733.3</v>
          </cell>
          <cell r="AD334">
            <v>3.5</v>
          </cell>
          <cell r="AE334">
            <v>1233.3</v>
          </cell>
          <cell r="AF334">
            <v>1235.5999999999999</v>
          </cell>
          <cell r="AG334">
            <v>724.3</v>
          </cell>
          <cell r="AI334">
            <v>3.5</v>
          </cell>
          <cell r="AK334">
            <v>1577.4913700000002</v>
          </cell>
          <cell r="AM334">
            <v>1449.00791</v>
          </cell>
          <cell r="AO334">
            <v>1195.1001200000001</v>
          </cell>
          <cell r="AP334" t="str">
            <v>Muestra tomada en el elevador</v>
          </cell>
          <cell r="AQ334" t="str">
            <v>-</v>
          </cell>
          <cell r="AR334">
            <v>1456</v>
          </cell>
          <cell r="AS334">
            <v>3.4</v>
          </cell>
          <cell r="AV334">
            <v>2.4361611356118242</v>
          </cell>
          <cell r="BS334">
            <v>2.58</v>
          </cell>
        </row>
        <row r="335">
          <cell r="A335">
            <v>407</v>
          </cell>
          <cell r="B335">
            <v>40254</v>
          </cell>
          <cell r="D335">
            <v>1500.4</v>
          </cell>
          <cell r="E335">
            <v>1424.1</v>
          </cell>
          <cell r="G335" t="str">
            <v>Parcheo elaboración de fallos en vías urbanas y rurales del municipio de Medellín.</v>
          </cell>
          <cell r="H335" t="str">
            <v>2/3</v>
          </cell>
          <cell r="I335">
            <v>0</v>
          </cell>
          <cell r="J335">
            <v>137.19999999999999</v>
          </cell>
          <cell r="K335">
            <v>172.7</v>
          </cell>
          <cell r="L335">
            <v>301.7</v>
          </cell>
          <cell r="M335">
            <v>324.89999999999998</v>
          </cell>
          <cell r="N335">
            <v>243.1</v>
          </cell>
          <cell r="O335">
            <v>85</v>
          </cell>
          <cell r="P335">
            <v>67.099999999999994</v>
          </cell>
          <cell r="Q335">
            <v>92.4</v>
          </cell>
          <cell r="S335">
            <v>25</v>
          </cell>
          <cell r="T335" t="str">
            <v>1</v>
          </cell>
          <cell r="U335">
            <v>1236.7</v>
          </cell>
          <cell r="V335">
            <v>1237.8</v>
          </cell>
          <cell r="W335">
            <v>735.5</v>
          </cell>
          <cell r="Y335">
            <v>3.1</v>
          </cell>
          <cell r="Z335">
            <v>1235.0999999999999</v>
          </cell>
          <cell r="AA335">
            <v>1235.8</v>
          </cell>
          <cell r="AB335">
            <v>733.4</v>
          </cell>
          <cell r="AD335">
            <v>2.9</v>
          </cell>
          <cell r="AE335">
            <v>1230.0999999999999</v>
          </cell>
          <cell r="AF335">
            <v>1230.8</v>
          </cell>
          <cell r="AG335">
            <v>728.9</v>
          </cell>
          <cell r="AI335">
            <v>3.1</v>
          </cell>
          <cell r="AK335">
            <v>1740.6449700000001</v>
          </cell>
          <cell r="AM335">
            <v>1498.9737</v>
          </cell>
          <cell r="AO335">
            <v>1401.0815400000001</v>
          </cell>
          <cell r="AP335" t="str">
            <v>Muestra tomada en la volqueta</v>
          </cell>
          <cell r="AQ335" t="str">
            <v>-</v>
          </cell>
          <cell r="AR335">
            <v>1618</v>
          </cell>
          <cell r="AS335">
            <v>3</v>
          </cell>
          <cell r="AV335">
            <v>2.449933179858462</v>
          </cell>
          <cell r="BS335">
            <v>2.58</v>
          </cell>
        </row>
        <row r="336">
          <cell r="A336">
            <v>408</v>
          </cell>
          <cell r="B336">
            <v>40254</v>
          </cell>
          <cell r="D336">
            <v>1501.9</v>
          </cell>
          <cell r="E336">
            <v>1421.9</v>
          </cell>
          <cell r="G336" t="str">
            <v>Parcheo elaboración de fallos en vías urbanas y rurales del municipio de Medellín.</v>
          </cell>
          <cell r="H336" t="str">
            <v>3/3</v>
          </cell>
          <cell r="I336">
            <v>0</v>
          </cell>
          <cell r="J336">
            <v>131.69999999999999</v>
          </cell>
          <cell r="K336">
            <v>187.3</v>
          </cell>
          <cell r="L336">
            <v>280.2</v>
          </cell>
          <cell r="M336">
            <v>338.5</v>
          </cell>
          <cell r="N336">
            <v>232.5</v>
          </cell>
          <cell r="O336">
            <v>78.099999999999994</v>
          </cell>
          <cell r="P336">
            <v>78.5</v>
          </cell>
          <cell r="Q336">
            <v>95.1</v>
          </cell>
          <cell r="S336">
            <v>25</v>
          </cell>
          <cell r="T336" t="str">
            <v>1</v>
          </cell>
          <cell r="AK336">
            <v>0</v>
          </cell>
          <cell r="AM336">
            <v>0</v>
          </cell>
          <cell r="AO336">
            <v>0</v>
          </cell>
          <cell r="AP336" t="str">
            <v>Muestra tomada en el obra en conjunto con el Laboratorio de AIM</v>
          </cell>
          <cell r="AQ336" t="str">
            <v>-</v>
          </cell>
          <cell r="AR336">
            <v>0</v>
          </cell>
          <cell r="AS336">
            <v>0</v>
          </cell>
          <cell r="AV336">
            <v>0</v>
          </cell>
          <cell r="BS336">
            <v>2.58</v>
          </cell>
        </row>
        <row r="337">
          <cell r="A337">
            <v>409</v>
          </cell>
          <cell r="B337">
            <v>40255</v>
          </cell>
          <cell r="D337">
            <v>1500.6</v>
          </cell>
          <cell r="E337">
            <v>1427</v>
          </cell>
          <cell r="G337" t="str">
            <v>Parcheo elaboración de fallos en vías urbanas y rurales del municipio de Medellín.</v>
          </cell>
          <cell r="H337" t="str">
            <v>1/3</v>
          </cell>
          <cell r="I337">
            <v>0</v>
          </cell>
          <cell r="J337">
            <v>151.5</v>
          </cell>
          <cell r="K337">
            <v>184.9</v>
          </cell>
          <cell r="L337">
            <v>359</v>
          </cell>
          <cell r="M337">
            <v>310.39999999999998</v>
          </cell>
          <cell r="N337">
            <v>197.8</v>
          </cell>
          <cell r="O337">
            <v>70.3</v>
          </cell>
          <cell r="P337">
            <v>68.3</v>
          </cell>
          <cell r="Q337">
            <v>84.8</v>
          </cell>
          <cell r="S337">
            <v>25</v>
          </cell>
          <cell r="T337" t="str">
            <v>1</v>
          </cell>
          <cell r="U337">
            <v>1235.8</v>
          </cell>
          <cell r="V337">
            <v>1237.3</v>
          </cell>
          <cell r="W337">
            <v>731.7</v>
          </cell>
          <cell r="Y337">
            <v>3.1</v>
          </cell>
          <cell r="Z337">
            <v>1234.0999999999999</v>
          </cell>
          <cell r="AA337">
            <v>1235.9000000000001</v>
          </cell>
          <cell r="AB337">
            <v>725.7</v>
          </cell>
          <cell r="AD337">
            <v>3.5</v>
          </cell>
          <cell r="AE337">
            <v>1237.2</v>
          </cell>
          <cell r="AF337">
            <v>1239</v>
          </cell>
          <cell r="AG337">
            <v>730.3</v>
          </cell>
          <cell r="AI337">
            <v>3.3</v>
          </cell>
          <cell r="AK337">
            <v>1382.72676</v>
          </cell>
          <cell r="AM337">
            <v>1316.44561</v>
          </cell>
          <cell r="AO337">
            <v>1341.9383600000001</v>
          </cell>
          <cell r="AP337" t="str">
            <v>Muestra tomada en el elevador</v>
          </cell>
          <cell r="AQ337" t="str">
            <v>-</v>
          </cell>
          <cell r="AR337">
            <v>1382</v>
          </cell>
          <cell r="AS337">
            <v>3.3</v>
          </cell>
          <cell r="AV337">
            <v>2.4246078210558002</v>
          </cell>
          <cell r="BS337">
            <v>2.58</v>
          </cell>
        </row>
        <row r="338">
          <cell r="A338">
            <v>410</v>
          </cell>
          <cell r="B338">
            <v>40255</v>
          </cell>
          <cell r="D338">
            <v>1500.5</v>
          </cell>
          <cell r="E338">
            <v>1425.5</v>
          </cell>
          <cell r="G338" t="str">
            <v>Parcheo elaboración de fallos en vías urbanas y rurales del municipio de Medellín.</v>
          </cell>
          <cell r="H338" t="str">
            <v>2/3</v>
          </cell>
          <cell r="I338">
            <v>0</v>
          </cell>
          <cell r="J338">
            <v>194.5</v>
          </cell>
          <cell r="K338">
            <v>176.7</v>
          </cell>
          <cell r="L338">
            <v>287.8</v>
          </cell>
          <cell r="M338">
            <v>325.3</v>
          </cell>
          <cell r="N338">
            <v>207.5</v>
          </cell>
          <cell r="O338">
            <v>69.599999999999994</v>
          </cell>
          <cell r="P338">
            <v>71.900000000000006</v>
          </cell>
          <cell r="Q338">
            <v>92.2</v>
          </cell>
          <cell r="S338">
            <v>25</v>
          </cell>
          <cell r="T338" t="str">
            <v>1</v>
          </cell>
          <cell r="U338">
            <v>1234.4000000000001</v>
          </cell>
          <cell r="V338">
            <v>1235.5</v>
          </cell>
          <cell r="W338">
            <v>737.1</v>
          </cell>
          <cell r="Y338">
            <v>2.9</v>
          </cell>
          <cell r="Z338">
            <v>1236.8</v>
          </cell>
          <cell r="AA338">
            <v>1238.2</v>
          </cell>
          <cell r="AB338">
            <v>734.8</v>
          </cell>
          <cell r="AD338">
            <v>3.2</v>
          </cell>
          <cell r="AE338">
            <v>1235.5</v>
          </cell>
          <cell r="AF338">
            <v>1237.4000000000001</v>
          </cell>
          <cell r="AG338">
            <v>733.1</v>
          </cell>
          <cell r="AI338">
            <v>3.5</v>
          </cell>
          <cell r="AK338">
            <v>1504.0722500000002</v>
          </cell>
          <cell r="AM338">
            <v>1626.4374499999999</v>
          </cell>
          <cell r="AO338">
            <v>1512.22993</v>
          </cell>
          <cell r="AP338" t="str">
            <v>Muestra tomada en la volqueta</v>
          </cell>
          <cell r="AQ338" t="str">
            <v>-</v>
          </cell>
          <cell r="AR338">
            <v>1620</v>
          </cell>
          <cell r="AS338">
            <v>3.2</v>
          </cell>
          <cell r="AV338">
            <v>2.4539841212440128</v>
          </cell>
          <cell r="BS338">
            <v>2.58</v>
          </cell>
        </row>
        <row r="339">
          <cell r="A339">
            <v>411</v>
          </cell>
          <cell r="B339">
            <v>40255</v>
          </cell>
          <cell r="D339">
            <v>1501.9</v>
          </cell>
          <cell r="E339">
            <v>1421.9</v>
          </cell>
          <cell r="G339" t="str">
            <v>Parcheo elaboración de fallos en vías urbanas y rurales del municipio de Medellín.</v>
          </cell>
          <cell r="H339" t="str">
            <v>3/3</v>
          </cell>
          <cell r="I339">
            <v>0</v>
          </cell>
          <cell r="J339">
            <v>131.69999999999999</v>
          </cell>
          <cell r="K339">
            <v>187.3</v>
          </cell>
          <cell r="L339">
            <v>280.2</v>
          </cell>
          <cell r="M339">
            <v>338.5</v>
          </cell>
          <cell r="N339">
            <v>232.5</v>
          </cell>
          <cell r="O339">
            <v>78.099999999999994</v>
          </cell>
          <cell r="P339">
            <v>78.5</v>
          </cell>
          <cell r="Q339">
            <v>95.1</v>
          </cell>
          <cell r="S339">
            <v>25</v>
          </cell>
          <cell r="T339" t="str">
            <v>1</v>
          </cell>
          <cell r="AP339" t="str">
            <v>Muestra tomada en el obra en conjunto con el Laboratorio de AIM</v>
          </cell>
          <cell r="AQ339" t="str">
            <v>-</v>
          </cell>
          <cell r="AR339">
            <v>0</v>
          </cell>
        </row>
        <row r="340">
          <cell r="A340">
            <v>412</v>
          </cell>
          <cell r="B340">
            <v>40256</v>
          </cell>
          <cell r="D340">
            <v>1500.2</v>
          </cell>
          <cell r="E340">
            <v>1429.4</v>
          </cell>
          <cell r="G340" t="str">
            <v>Parcheo elaboración de fallos en vías urbanas y rurales del municipio de Medellín.</v>
          </cell>
          <cell r="H340" t="str">
            <v>1/3</v>
          </cell>
          <cell r="I340">
            <v>0</v>
          </cell>
          <cell r="J340">
            <v>205.3</v>
          </cell>
          <cell r="K340">
            <v>157.69999999999999</v>
          </cell>
          <cell r="L340">
            <v>321.8</v>
          </cell>
          <cell r="M340">
            <v>279.5</v>
          </cell>
          <cell r="N340">
            <v>242.4</v>
          </cell>
          <cell r="O340">
            <v>72.400000000000006</v>
          </cell>
          <cell r="P340">
            <v>71.3</v>
          </cell>
          <cell r="Q340">
            <v>79</v>
          </cell>
          <cell r="S340">
            <v>25</v>
          </cell>
          <cell r="T340" t="str">
            <v>1</v>
          </cell>
          <cell r="U340">
            <v>1236.9000000000001</v>
          </cell>
          <cell r="V340">
            <v>1238.2</v>
          </cell>
          <cell r="W340">
            <v>737.2</v>
          </cell>
          <cell r="Y340">
            <v>3</v>
          </cell>
          <cell r="Z340">
            <v>1234.8</v>
          </cell>
          <cell r="AA340">
            <v>1237.3</v>
          </cell>
          <cell r="AB340">
            <v>734.5</v>
          </cell>
          <cell r="AD340">
            <v>3</v>
          </cell>
          <cell r="AE340">
            <v>1235.2</v>
          </cell>
          <cell r="AF340">
            <v>1237.5999999999999</v>
          </cell>
          <cell r="AG340">
            <v>735.1</v>
          </cell>
          <cell r="AI340">
            <v>3.2</v>
          </cell>
          <cell r="AK340">
            <v>1762.0588800000003</v>
          </cell>
          <cell r="AM340">
            <v>1366.4114000000002</v>
          </cell>
          <cell r="AO340">
            <v>1441.86994</v>
          </cell>
          <cell r="AP340" t="str">
            <v>Muestra tomada en el elevador</v>
          </cell>
          <cell r="AR340">
            <v>1595</v>
          </cell>
          <cell r="AS340">
            <v>3.1</v>
          </cell>
          <cell r="AV340">
            <v>2.4537414126761501</v>
          </cell>
          <cell r="BS340">
            <v>2.6019999999999999</v>
          </cell>
        </row>
        <row r="341">
          <cell r="A341">
            <v>413</v>
          </cell>
          <cell r="B341">
            <v>40256</v>
          </cell>
          <cell r="D341">
            <v>1500.2</v>
          </cell>
          <cell r="E341">
            <v>1426.9</v>
          </cell>
          <cell r="G341" t="str">
            <v>Parcheo elaboración de fallos en vías urbanas y rurales del municipio de Medellín.</v>
          </cell>
          <cell r="H341" t="str">
            <v>2/3</v>
          </cell>
          <cell r="I341">
            <v>0</v>
          </cell>
          <cell r="J341">
            <v>227</v>
          </cell>
          <cell r="K341">
            <v>152.4</v>
          </cell>
          <cell r="L341">
            <v>303.2</v>
          </cell>
          <cell r="M341">
            <v>293</v>
          </cell>
          <cell r="N341">
            <v>226.1</v>
          </cell>
          <cell r="O341">
            <v>68.8</v>
          </cell>
          <cell r="P341">
            <v>70.7</v>
          </cell>
          <cell r="Q341">
            <v>85.7</v>
          </cell>
          <cell r="S341">
            <v>25</v>
          </cell>
          <cell r="T341" t="str">
            <v>1</v>
          </cell>
          <cell r="U341">
            <v>1235.2</v>
          </cell>
          <cell r="V341">
            <v>1236.9000000000001</v>
          </cell>
          <cell r="W341">
            <v>733.5</v>
          </cell>
          <cell r="Y341">
            <v>3.1</v>
          </cell>
          <cell r="Z341">
            <v>1235.5999999999999</v>
          </cell>
          <cell r="AA341">
            <v>1237.2</v>
          </cell>
          <cell r="AB341">
            <v>734.8</v>
          </cell>
          <cell r="AD341">
            <v>3.1</v>
          </cell>
          <cell r="AE341">
            <v>1234.3</v>
          </cell>
          <cell r="AF341">
            <v>1235.3</v>
          </cell>
          <cell r="AG341">
            <v>736.7</v>
          </cell>
          <cell r="AI341">
            <v>3.5</v>
          </cell>
          <cell r="AK341">
            <v>1605.0235400000001</v>
          </cell>
          <cell r="AM341">
            <v>1580.5505000000001</v>
          </cell>
          <cell r="AO341">
            <v>1588.7081800000001</v>
          </cell>
          <cell r="AP341" t="str">
            <v>Muestra tomada en la volqueta</v>
          </cell>
          <cell r="AR341">
            <v>1669</v>
          </cell>
          <cell r="AS341">
            <v>3.2</v>
          </cell>
          <cell r="AV341">
            <v>2.4556764523609256</v>
          </cell>
          <cell r="BS341">
            <v>2.6019999999999999</v>
          </cell>
        </row>
        <row r="342">
          <cell r="A342">
            <v>414</v>
          </cell>
          <cell r="B342">
            <v>40256</v>
          </cell>
          <cell r="D342">
            <v>1503.2</v>
          </cell>
          <cell r="E342">
            <v>1430.7</v>
          </cell>
          <cell r="G342" t="str">
            <v>Parcheo elaboración de fallos en vías urbanas y rurales del municipio de Medellín.</v>
          </cell>
          <cell r="H342" t="str">
            <v>3/3</v>
          </cell>
          <cell r="I342">
            <v>0</v>
          </cell>
          <cell r="J342">
            <v>206.5</v>
          </cell>
          <cell r="K342">
            <v>184.5</v>
          </cell>
          <cell r="L342">
            <v>276.60000000000002</v>
          </cell>
          <cell r="M342">
            <v>309.2</v>
          </cell>
          <cell r="N342">
            <v>216.9</v>
          </cell>
          <cell r="O342">
            <v>85.3</v>
          </cell>
          <cell r="P342">
            <v>81.7</v>
          </cell>
          <cell r="Q342">
            <v>70</v>
          </cell>
          <cell r="S342">
            <v>25</v>
          </cell>
          <cell r="T342" t="str">
            <v>1</v>
          </cell>
          <cell r="AQ342" t="str">
            <v>Calle 10 Cra. 70B-69  (voqueta GUE-294)</v>
          </cell>
          <cell r="AR342">
            <v>0</v>
          </cell>
          <cell r="AS342">
            <v>0</v>
          </cell>
          <cell r="AV342">
            <v>0</v>
          </cell>
          <cell r="BS342">
            <v>2.6019999999999999</v>
          </cell>
        </row>
        <row r="343">
          <cell r="A343">
            <v>415</v>
          </cell>
          <cell r="B343">
            <v>40260</v>
          </cell>
          <cell r="D343">
            <v>1500.4</v>
          </cell>
          <cell r="E343">
            <v>1422.3</v>
          </cell>
          <cell r="I343">
            <v>0</v>
          </cell>
          <cell r="J343">
            <v>167.8</v>
          </cell>
          <cell r="K343">
            <v>146.1</v>
          </cell>
          <cell r="L343">
            <v>297.8</v>
          </cell>
          <cell r="M343">
            <v>321.8</v>
          </cell>
          <cell r="N343">
            <v>250.5</v>
          </cell>
          <cell r="O343">
            <v>74</v>
          </cell>
          <cell r="P343">
            <v>75.3</v>
          </cell>
          <cell r="Q343">
            <v>89</v>
          </cell>
          <cell r="S343">
            <v>25</v>
          </cell>
          <cell r="T343" t="str">
            <v>1</v>
          </cell>
          <cell r="U343">
            <v>1234.9000000000001</v>
          </cell>
          <cell r="V343">
            <v>1236.7</v>
          </cell>
          <cell r="W343">
            <v>734.4</v>
          </cell>
          <cell r="Y343">
            <v>3.4</v>
          </cell>
          <cell r="Z343">
            <v>1235.9000000000001</v>
          </cell>
          <cell r="AA343">
            <v>1240.5</v>
          </cell>
          <cell r="AB343">
            <v>732.6</v>
          </cell>
          <cell r="AD343">
            <v>3.5</v>
          </cell>
          <cell r="AE343">
            <v>1235</v>
          </cell>
          <cell r="AF343">
            <v>1236.5999999999999</v>
          </cell>
          <cell r="AG343">
            <v>732.2</v>
          </cell>
          <cell r="AI343">
            <v>3.5</v>
          </cell>
          <cell r="AK343">
            <v>1370.4902400000001</v>
          </cell>
          <cell r="AM343">
            <v>1322.5638700000002</v>
          </cell>
          <cell r="AO343">
            <v>1439.83052</v>
          </cell>
          <cell r="AP343" t="str">
            <v>Muestra tomada en el elevador</v>
          </cell>
          <cell r="AQ343" t="str">
            <v>-</v>
          </cell>
          <cell r="AR343">
            <v>1429</v>
          </cell>
          <cell r="AS343">
            <v>3.5</v>
          </cell>
          <cell r="AV343">
            <v>2.4396090672552142</v>
          </cell>
          <cell r="BS343">
            <v>2.569</v>
          </cell>
        </row>
        <row r="344">
          <cell r="A344">
            <v>416</v>
          </cell>
          <cell r="B344">
            <v>40260</v>
          </cell>
          <cell r="D344">
            <v>1500.4</v>
          </cell>
          <cell r="E344">
            <v>1421</v>
          </cell>
          <cell r="I344">
            <v>0</v>
          </cell>
          <cell r="J344">
            <v>191.2</v>
          </cell>
          <cell r="K344">
            <v>153.30000000000001</v>
          </cell>
          <cell r="L344">
            <v>256.7</v>
          </cell>
          <cell r="M344">
            <v>328</v>
          </cell>
          <cell r="N344">
            <v>252.1</v>
          </cell>
          <cell r="O344">
            <v>75.2</v>
          </cell>
          <cell r="P344">
            <v>77</v>
          </cell>
          <cell r="Q344">
            <v>87.5</v>
          </cell>
          <cell r="S344">
            <v>25</v>
          </cell>
          <cell r="T344" t="str">
            <v>1</v>
          </cell>
          <cell r="U344">
            <v>1234.2</v>
          </cell>
          <cell r="V344">
            <v>1234.7</v>
          </cell>
          <cell r="W344">
            <v>733.3</v>
          </cell>
          <cell r="Y344">
            <v>3.2</v>
          </cell>
          <cell r="Z344">
            <v>1234.5</v>
          </cell>
          <cell r="AA344">
            <v>1236</v>
          </cell>
          <cell r="AB344">
            <v>731.2</v>
          </cell>
          <cell r="AD344">
            <v>3.22</v>
          </cell>
          <cell r="AE344">
            <v>1235.4000000000001</v>
          </cell>
          <cell r="AF344">
            <v>1236.5</v>
          </cell>
          <cell r="AG344">
            <v>732</v>
          </cell>
          <cell r="AI344">
            <v>3.4</v>
          </cell>
          <cell r="AK344">
            <v>1424.5348700000002</v>
          </cell>
          <cell r="AM344">
            <v>1299.1105400000001</v>
          </cell>
          <cell r="AO344">
            <v>1358.2537200000002</v>
          </cell>
          <cell r="AP344" t="str">
            <v>Muestra tomada en la volqueta</v>
          </cell>
          <cell r="AQ344" t="str">
            <v>-</v>
          </cell>
          <cell r="AR344">
            <v>1417</v>
          </cell>
          <cell r="AS344">
            <v>3.3</v>
          </cell>
          <cell r="AV344">
            <v>2.4447587386477054</v>
          </cell>
          <cell r="BS344">
            <v>2.569</v>
          </cell>
        </row>
        <row r="345">
          <cell r="A345">
            <v>417</v>
          </cell>
          <cell r="B345">
            <v>40261</v>
          </cell>
          <cell r="D345">
            <v>1500.9</v>
          </cell>
          <cell r="E345">
            <v>1421.6</v>
          </cell>
          <cell r="G345" t="str">
            <v>Parcheo elaboración de fallos en vías urbanas y rurales del municipio de Medellín; Consorcio Vial Santa Elena.</v>
          </cell>
          <cell r="H345" t="str">
            <v>1/2</v>
          </cell>
          <cell r="I345">
            <v>0</v>
          </cell>
          <cell r="J345">
            <v>179.3</v>
          </cell>
          <cell r="K345">
            <v>168.6</v>
          </cell>
          <cell r="L345">
            <v>241.6</v>
          </cell>
          <cell r="M345">
            <v>330.7</v>
          </cell>
          <cell r="N345">
            <v>261.39999999999998</v>
          </cell>
          <cell r="O345">
            <v>77.7</v>
          </cell>
          <cell r="P345">
            <v>74.400000000000006</v>
          </cell>
          <cell r="Q345">
            <v>87.9</v>
          </cell>
          <cell r="S345">
            <v>25</v>
          </cell>
          <cell r="T345" t="str">
            <v>1</v>
          </cell>
          <cell r="U345">
            <v>1236.3</v>
          </cell>
          <cell r="V345">
            <v>1237.5999999999999</v>
          </cell>
          <cell r="W345">
            <v>738.7</v>
          </cell>
          <cell r="Y345">
            <v>3.4</v>
          </cell>
          <cell r="Z345">
            <v>1233.2</v>
          </cell>
          <cell r="AA345">
            <v>1235.7</v>
          </cell>
          <cell r="AB345">
            <v>733.2</v>
          </cell>
          <cell r="AD345">
            <v>3.1</v>
          </cell>
          <cell r="AE345">
            <v>1231.4000000000001</v>
          </cell>
          <cell r="AF345">
            <v>1234.0999999999999</v>
          </cell>
          <cell r="AG345">
            <v>732.3</v>
          </cell>
          <cell r="AI345">
            <v>3.2</v>
          </cell>
          <cell r="AK345">
            <v>1658.0484600000002</v>
          </cell>
          <cell r="AM345">
            <v>1334.8003900000001</v>
          </cell>
          <cell r="AO345">
            <v>1407.1998000000001</v>
          </cell>
          <cell r="AP345" t="str">
            <v>Muestra tomada en el elevador</v>
          </cell>
          <cell r="AQ345" t="str">
            <v>-</v>
          </cell>
          <cell r="AR345">
            <v>1541</v>
          </cell>
          <cell r="AS345">
            <v>3.2</v>
          </cell>
          <cell r="AV345">
            <v>2.4548474370126612</v>
          </cell>
          <cell r="BS345">
            <v>2.5819999999999999</v>
          </cell>
        </row>
        <row r="346">
          <cell r="A346">
            <v>418</v>
          </cell>
          <cell r="B346">
            <v>40261</v>
          </cell>
          <cell r="D346">
            <v>1500.6</v>
          </cell>
          <cell r="E346">
            <v>1425.4</v>
          </cell>
          <cell r="G346" t="str">
            <v>Parcheo elaboración de fallos en vías urbanas y rurales del municipio de Medellín; Consorcio Vial Santa Elena.</v>
          </cell>
          <cell r="H346" t="str">
            <v>2/2</v>
          </cell>
          <cell r="I346">
            <v>0</v>
          </cell>
          <cell r="J346">
            <v>170.2</v>
          </cell>
          <cell r="K346">
            <v>184.6</v>
          </cell>
          <cell r="L346">
            <v>308.60000000000002</v>
          </cell>
          <cell r="M346">
            <v>295.2</v>
          </cell>
          <cell r="N346">
            <v>229.7</v>
          </cell>
          <cell r="O346">
            <v>72.5</v>
          </cell>
          <cell r="P346">
            <v>73.7</v>
          </cell>
          <cell r="Q346">
            <v>90.9</v>
          </cell>
          <cell r="S346">
            <v>25</v>
          </cell>
          <cell r="T346" t="str">
            <v>1</v>
          </cell>
          <cell r="U346">
            <v>1234.2</v>
          </cell>
          <cell r="V346">
            <v>1235.3</v>
          </cell>
          <cell r="W346">
            <v>735.8</v>
          </cell>
          <cell r="Y346">
            <v>3.6</v>
          </cell>
          <cell r="Z346">
            <v>1234.4000000000001</v>
          </cell>
          <cell r="AA346">
            <v>1236.2</v>
          </cell>
          <cell r="AB346">
            <v>734.1</v>
          </cell>
          <cell r="AD346">
            <v>3.4</v>
          </cell>
          <cell r="AE346">
            <v>1233.5</v>
          </cell>
          <cell r="AF346">
            <v>1236.5</v>
          </cell>
          <cell r="AG346">
            <v>733.8</v>
          </cell>
          <cell r="AI346">
            <v>3.5</v>
          </cell>
          <cell r="AK346">
            <v>1676.4032400000001</v>
          </cell>
          <cell r="AM346">
            <v>1536.7029700000001</v>
          </cell>
          <cell r="AO346">
            <v>1489.7963099999999</v>
          </cell>
          <cell r="AP346" t="str">
            <v>Muestra tomada en la volqueta</v>
          </cell>
          <cell r="AQ346" t="str">
            <v>-</v>
          </cell>
          <cell r="AR346">
            <v>1644</v>
          </cell>
          <cell r="AS346">
            <v>3.5</v>
          </cell>
          <cell r="AV346">
            <v>2.4538331589134299</v>
          </cell>
          <cell r="BS346">
            <v>2.5819999999999999</v>
          </cell>
        </row>
        <row r="347">
          <cell r="A347">
            <v>419</v>
          </cell>
          <cell r="B347">
            <v>40262</v>
          </cell>
          <cell r="D347">
            <v>1500.6</v>
          </cell>
          <cell r="E347">
            <v>1427.1</v>
          </cell>
          <cell r="G347" t="str">
            <v>Parcheo elaboración de fallos en vías urbanas y rurales del municipio de Medellín; Consorcio Vial Santa Elena.</v>
          </cell>
          <cell r="H347" t="str">
            <v>1/2</v>
          </cell>
          <cell r="I347">
            <v>0</v>
          </cell>
          <cell r="J347">
            <v>208.3</v>
          </cell>
          <cell r="K347">
            <v>190.5</v>
          </cell>
          <cell r="L347">
            <v>268.3</v>
          </cell>
          <cell r="M347">
            <v>305.60000000000002</v>
          </cell>
          <cell r="N347">
            <v>227.9</v>
          </cell>
          <cell r="O347">
            <v>72.3</v>
          </cell>
          <cell r="P347">
            <v>72.5</v>
          </cell>
          <cell r="Q347">
            <v>81.7</v>
          </cell>
          <cell r="S347">
            <v>25</v>
          </cell>
          <cell r="T347" t="str">
            <v>1</v>
          </cell>
          <cell r="U347">
            <v>1236.3</v>
          </cell>
          <cell r="V347">
            <v>1240.2</v>
          </cell>
          <cell r="W347">
            <v>739.9</v>
          </cell>
          <cell r="Y347">
            <v>3.3</v>
          </cell>
          <cell r="Z347">
            <v>1237.5</v>
          </cell>
          <cell r="AA347">
            <v>1240.9000000000001</v>
          </cell>
          <cell r="AB347">
            <v>739.7</v>
          </cell>
          <cell r="AD347">
            <v>3.5</v>
          </cell>
          <cell r="AE347">
            <v>1237.3</v>
          </cell>
          <cell r="AF347">
            <v>1239.2</v>
          </cell>
          <cell r="AG347">
            <v>730.8</v>
          </cell>
          <cell r="AI347">
            <v>2.9</v>
          </cell>
          <cell r="AK347">
            <v>1560.1563000000001</v>
          </cell>
          <cell r="AM347">
            <v>1417.3969000000002</v>
          </cell>
          <cell r="AO347">
            <v>1578.51108</v>
          </cell>
          <cell r="AP347" t="str">
            <v>Muestra tomada en el elevador</v>
          </cell>
          <cell r="AQ347" t="str">
            <v>-</v>
          </cell>
          <cell r="AR347">
            <v>1583</v>
          </cell>
          <cell r="AS347">
            <v>3.2</v>
          </cell>
          <cell r="AV347">
            <v>2.4507788300660764</v>
          </cell>
          <cell r="BS347">
            <v>2.5939999999999999</v>
          </cell>
        </row>
        <row r="348">
          <cell r="A348">
            <v>420</v>
          </cell>
          <cell r="B348">
            <v>40262</v>
          </cell>
          <cell r="D348">
            <v>1500.4</v>
          </cell>
          <cell r="E348">
            <v>1420.7</v>
          </cell>
          <cell r="G348" t="str">
            <v>Parcheo elaboración de fallos en vías urbanas y rurales del municipio de Medellín; Consorcio Vial Santa Elena.</v>
          </cell>
          <cell r="H348" t="str">
            <v>2/2</v>
          </cell>
          <cell r="I348">
            <v>0</v>
          </cell>
          <cell r="J348">
            <v>169.9</v>
          </cell>
          <cell r="K348">
            <v>126.8</v>
          </cell>
          <cell r="L348">
            <v>286.2</v>
          </cell>
          <cell r="M348">
            <v>325.8</v>
          </cell>
          <cell r="N348">
            <v>270.10000000000002</v>
          </cell>
          <cell r="O348">
            <v>74.5</v>
          </cell>
          <cell r="P348">
            <v>77</v>
          </cell>
          <cell r="Q348">
            <v>90.4</v>
          </cell>
          <cell r="S348">
            <v>25</v>
          </cell>
          <cell r="T348" t="str">
            <v>1</v>
          </cell>
          <cell r="U348">
            <v>1234.5999999999999</v>
          </cell>
          <cell r="V348">
            <v>1235.5</v>
          </cell>
          <cell r="W348">
            <v>730.2</v>
          </cell>
          <cell r="Y348">
            <v>2.9</v>
          </cell>
          <cell r="Z348">
            <v>1238.4000000000001</v>
          </cell>
          <cell r="AA348">
            <v>1239.5999999999999</v>
          </cell>
          <cell r="AB348">
            <v>734.5</v>
          </cell>
          <cell r="AD348">
            <v>3.1</v>
          </cell>
          <cell r="AE348">
            <v>1234.9000000000001</v>
          </cell>
          <cell r="AF348">
            <v>1235.8</v>
          </cell>
          <cell r="AG348">
            <v>728.4</v>
          </cell>
          <cell r="AI348">
            <v>2.8</v>
          </cell>
          <cell r="AK348">
            <v>1362.3325600000001</v>
          </cell>
          <cell r="AM348">
            <v>1284.8345999999999</v>
          </cell>
          <cell r="AO348">
            <v>1247.1053300000001</v>
          </cell>
          <cell r="AP348" t="str">
            <v>Muestra tomada en la volqueta</v>
          </cell>
          <cell r="AQ348" t="str">
            <v>-</v>
          </cell>
          <cell r="AR348">
            <v>1342</v>
          </cell>
          <cell r="AS348">
            <v>2.9</v>
          </cell>
          <cell r="AV348">
            <v>2.435811945329394</v>
          </cell>
          <cell r="BS348">
            <v>2.5939999999999999</v>
          </cell>
        </row>
        <row r="349">
          <cell r="A349">
            <v>421</v>
          </cell>
          <cell r="B349">
            <v>40263</v>
          </cell>
          <cell r="D349">
            <v>1500.3</v>
          </cell>
          <cell r="E349">
            <v>1423.7</v>
          </cell>
          <cell r="G349" t="str">
            <v>Parcheo elaboración de fallos en vías urbanas y rurales del municipio de Medellín; Consorcio Vial Santa Elena.</v>
          </cell>
          <cell r="H349" t="str">
            <v>1/2</v>
          </cell>
          <cell r="I349">
            <v>0</v>
          </cell>
          <cell r="J349">
            <v>166.2</v>
          </cell>
          <cell r="K349">
            <v>185.8</v>
          </cell>
          <cell r="L349">
            <v>287.5</v>
          </cell>
          <cell r="M349">
            <v>314.8</v>
          </cell>
          <cell r="N349">
            <v>240.5</v>
          </cell>
          <cell r="O349">
            <v>72.5</v>
          </cell>
          <cell r="P349">
            <v>72.599999999999994</v>
          </cell>
          <cell r="Q349">
            <v>83.8</v>
          </cell>
          <cell r="S349">
            <v>25</v>
          </cell>
          <cell r="T349" t="str">
            <v>1</v>
          </cell>
          <cell r="U349">
            <v>1235.0999999999999</v>
          </cell>
          <cell r="V349">
            <v>1236.9000000000001</v>
          </cell>
          <cell r="W349">
            <v>732.7</v>
          </cell>
          <cell r="Y349">
            <v>3.3</v>
          </cell>
          <cell r="Z349">
            <v>1235.4000000000001</v>
          </cell>
          <cell r="AA349">
            <v>1237.7</v>
          </cell>
          <cell r="AB349">
            <v>733.1</v>
          </cell>
          <cell r="AD349">
            <v>3</v>
          </cell>
          <cell r="AE349">
            <v>1235</v>
          </cell>
          <cell r="AF349">
            <v>1238.7</v>
          </cell>
          <cell r="AG349">
            <v>731.4</v>
          </cell>
          <cell r="AI349">
            <v>3.1</v>
          </cell>
          <cell r="AK349">
            <v>1417.3969000000002</v>
          </cell>
          <cell r="AM349">
            <v>1315.4259000000002</v>
          </cell>
          <cell r="AO349">
            <v>1447.9882</v>
          </cell>
          <cell r="AP349" t="str">
            <v>Muestra tomada en el elevador</v>
          </cell>
          <cell r="AQ349" t="str">
            <v>-</v>
          </cell>
          <cell r="AR349">
            <v>1443</v>
          </cell>
          <cell r="AS349">
            <v>3.1</v>
          </cell>
          <cell r="AV349">
            <v>2.4369696050487453</v>
          </cell>
          <cell r="BS349">
            <v>2.5920000000000001</v>
          </cell>
        </row>
        <row r="350">
          <cell r="A350">
            <v>422</v>
          </cell>
          <cell r="B350">
            <v>40263</v>
          </cell>
          <cell r="D350">
            <v>1500.2</v>
          </cell>
          <cell r="E350">
            <v>1421.3</v>
          </cell>
          <cell r="G350" t="str">
            <v>Parcheo elaboración de fallos en vías urbanas y rurales del municipio de Medellín; Consorcio Vial Santa Elena.</v>
          </cell>
          <cell r="H350" t="str">
            <v>2/2</v>
          </cell>
          <cell r="I350">
            <v>0</v>
          </cell>
          <cell r="J350">
            <v>163.6</v>
          </cell>
          <cell r="K350">
            <v>151.1</v>
          </cell>
          <cell r="L350">
            <v>306.39999999999998</v>
          </cell>
          <cell r="M350">
            <v>310.39999999999998</v>
          </cell>
          <cell r="N350">
            <v>234.5</v>
          </cell>
          <cell r="O350">
            <v>93.5</v>
          </cell>
          <cell r="P350">
            <v>75.900000000000006</v>
          </cell>
          <cell r="Q350">
            <v>85.9</v>
          </cell>
          <cell r="S350">
            <v>25</v>
          </cell>
          <cell r="T350" t="str">
            <v>1</v>
          </cell>
          <cell r="U350">
            <v>1235.8</v>
          </cell>
          <cell r="V350">
            <v>1236.0999999999999</v>
          </cell>
          <cell r="W350">
            <v>738.6</v>
          </cell>
          <cell r="Y350">
            <v>3.5</v>
          </cell>
          <cell r="Z350">
            <v>1237.0999999999999</v>
          </cell>
          <cell r="AA350">
            <v>1237.7</v>
          </cell>
          <cell r="AB350">
            <v>740</v>
          </cell>
          <cell r="AD350">
            <v>3.3</v>
          </cell>
          <cell r="AE350">
            <v>1235.7</v>
          </cell>
          <cell r="AF350">
            <v>1237.9000000000001</v>
          </cell>
          <cell r="AG350">
            <v>740.8</v>
          </cell>
          <cell r="AI350">
            <v>3.5</v>
          </cell>
          <cell r="AK350">
            <v>1269.5389499999999</v>
          </cell>
          <cell r="AM350">
            <v>1247.1053300000001</v>
          </cell>
          <cell r="AO350">
            <v>1394.9632799999999</v>
          </cell>
          <cell r="AP350" t="str">
            <v>Muestra tomada en la volqueta</v>
          </cell>
          <cell r="AQ350" t="str">
            <v>-</v>
          </cell>
          <cell r="AR350">
            <v>1386</v>
          </cell>
          <cell r="AS350">
            <v>3.4</v>
          </cell>
          <cell r="AV350">
            <v>2.4778881681762432</v>
          </cell>
          <cell r="BS350">
            <v>2.5920000000000001</v>
          </cell>
        </row>
        <row r="351">
          <cell r="A351">
            <v>423</v>
          </cell>
          <cell r="B351">
            <v>40264</v>
          </cell>
          <cell r="D351">
            <v>1500.4</v>
          </cell>
          <cell r="E351">
            <v>1425.8</v>
          </cell>
          <cell r="G351" t="str">
            <v>Consorcio Vial Santa Elena.</v>
          </cell>
          <cell r="H351" t="str">
            <v>1/1</v>
          </cell>
          <cell r="I351">
            <v>0</v>
          </cell>
          <cell r="J351">
            <v>199.8</v>
          </cell>
          <cell r="K351">
            <v>190.4</v>
          </cell>
          <cell r="L351">
            <v>257.5</v>
          </cell>
          <cell r="M351">
            <v>319.89999999999998</v>
          </cell>
          <cell r="N351">
            <v>230.7</v>
          </cell>
          <cell r="O351">
            <v>69.599999999999994</v>
          </cell>
          <cell r="P351">
            <v>72.599999999999994</v>
          </cell>
          <cell r="Q351">
            <v>85.3</v>
          </cell>
          <cell r="S351">
            <v>25</v>
          </cell>
          <cell r="T351" t="str">
            <v>1</v>
          </cell>
          <cell r="U351">
            <v>1237.0999999999999</v>
          </cell>
          <cell r="V351">
            <v>1239.4000000000001</v>
          </cell>
          <cell r="W351">
            <v>732.3</v>
          </cell>
          <cell r="Y351">
            <v>3.5</v>
          </cell>
          <cell r="Z351">
            <v>1238.5</v>
          </cell>
          <cell r="AA351">
            <v>1241.7</v>
          </cell>
          <cell r="AB351">
            <v>731.4</v>
          </cell>
          <cell r="AD351">
            <v>3.33</v>
          </cell>
          <cell r="AE351">
            <v>1234.9000000000001</v>
          </cell>
          <cell r="AF351">
            <v>1238.3</v>
          </cell>
          <cell r="AG351">
            <v>731.5</v>
          </cell>
          <cell r="AI351">
            <v>2.9</v>
          </cell>
          <cell r="AK351">
            <v>1440.8502300000002</v>
          </cell>
          <cell r="AM351">
            <v>1328.6821299999999</v>
          </cell>
          <cell r="AO351">
            <v>1248.1250400000001</v>
          </cell>
          <cell r="AP351" t="str">
            <v>Muestra tomada en el elevador</v>
          </cell>
          <cell r="AQ351" t="str">
            <v>-</v>
          </cell>
          <cell r="AR351">
            <v>1375</v>
          </cell>
          <cell r="AS351">
            <v>3.2</v>
          </cell>
          <cell r="AV351">
            <v>2.4272871574254751</v>
          </cell>
          <cell r="BS351">
            <v>2.577</v>
          </cell>
        </row>
        <row r="352">
          <cell r="A352">
            <v>424</v>
          </cell>
          <cell r="B352">
            <v>40266</v>
          </cell>
          <cell r="D352">
            <v>1502.3</v>
          </cell>
          <cell r="E352">
            <v>1429.6</v>
          </cell>
          <cell r="G352" t="str">
            <v>Consorcio Vial Santa Elena.</v>
          </cell>
          <cell r="H352" t="str">
            <v>1/1</v>
          </cell>
          <cell r="I352">
            <v>0</v>
          </cell>
          <cell r="J352">
            <v>191.3</v>
          </cell>
          <cell r="K352">
            <v>181.2</v>
          </cell>
          <cell r="L352">
            <v>318.7</v>
          </cell>
          <cell r="M352">
            <v>303.39999999999998</v>
          </cell>
          <cell r="N352">
            <v>218.5</v>
          </cell>
          <cell r="O352">
            <v>71.400000000000006</v>
          </cell>
          <cell r="P352">
            <v>67.400000000000006</v>
          </cell>
          <cell r="Q352">
            <v>77.7</v>
          </cell>
          <cell r="S352">
            <v>25</v>
          </cell>
          <cell r="T352" t="str">
            <v>1</v>
          </cell>
          <cell r="U352">
            <v>1236.4000000000001</v>
          </cell>
          <cell r="V352">
            <v>1233.7</v>
          </cell>
          <cell r="W352">
            <v>728.9</v>
          </cell>
          <cell r="Y352">
            <v>3.4</v>
          </cell>
          <cell r="Z352">
            <v>1236.5999999999999</v>
          </cell>
          <cell r="AA352">
            <v>1239.2</v>
          </cell>
          <cell r="AB352">
            <v>732.4</v>
          </cell>
          <cell r="AD352">
            <v>3</v>
          </cell>
          <cell r="AE352">
            <v>1237.4000000000001</v>
          </cell>
          <cell r="AF352">
            <v>1240.3</v>
          </cell>
          <cell r="AG352">
            <v>733.6</v>
          </cell>
          <cell r="AI352">
            <v>3.3</v>
          </cell>
          <cell r="AK352">
            <v>1550.97891</v>
          </cell>
          <cell r="AM352">
            <v>1371.5099499999999</v>
          </cell>
          <cell r="AO352">
            <v>1545.8803600000001</v>
          </cell>
          <cell r="AP352" t="str">
            <v>Muestra tomada en el elevador</v>
          </cell>
          <cell r="AR352">
            <v>1539</v>
          </cell>
          <cell r="AS352">
            <v>3.2</v>
          </cell>
          <cell r="AV352">
            <v>2.4366448425908565</v>
          </cell>
          <cell r="BS352">
            <v>2.5882000000000001</v>
          </cell>
        </row>
        <row r="353">
          <cell r="A353">
            <v>425</v>
          </cell>
          <cell r="B353">
            <v>40267</v>
          </cell>
          <cell r="D353">
            <v>1500.5</v>
          </cell>
          <cell r="E353">
            <v>1426.6</v>
          </cell>
          <cell r="G353" t="str">
            <v>Consorcio Vial Santa Elena.</v>
          </cell>
          <cell r="H353" t="str">
            <v>1/2</v>
          </cell>
          <cell r="I353">
            <v>0</v>
          </cell>
          <cell r="J353">
            <v>183.8</v>
          </cell>
          <cell r="K353">
            <v>141.19999999999999</v>
          </cell>
          <cell r="L353">
            <v>347.2</v>
          </cell>
          <cell r="M353">
            <v>309.89999999999998</v>
          </cell>
          <cell r="N353">
            <v>219.6</v>
          </cell>
          <cell r="O353">
            <v>71</v>
          </cell>
          <cell r="P353">
            <v>62.6</v>
          </cell>
          <cell r="Q353">
            <v>91.3</v>
          </cell>
          <cell r="S353">
            <v>25</v>
          </cell>
          <cell r="T353" t="str">
            <v>1</v>
          </cell>
          <cell r="U353">
            <v>1236.4000000000001</v>
          </cell>
          <cell r="V353">
            <v>1241.4000000000001</v>
          </cell>
          <cell r="W353">
            <v>732.3</v>
          </cell>
          <cell r="Y353">
            <v>2.8</v>
          </cell>
          <cell r="Z353">
            <v>1233.5</v>
          </cell>
          <cell r="AA353">
            <v>1241.5999999999999</v>
          </cell>
          <cell r="AB353">
            <v>734.5</v>
          </cell>
          <cell r="AD353">
            <v>3.1</v>
          </cell>
          <cell r="AE353">
            <v>1231.4000000000001</v>
          </cell>
          <cell r="AF353">
            <v>1239.8</v>
          </cell>
          <cell r="AG353">
            <v>735</v>
          </cell>
          <cell r="AI353">
            <v>3.4</v>
          </cell>
          <cell r="AK353">
            <v>1053.36043</v>
          </cell>
          <cell r="AM353">
            <v>1091.0897</v>
          </cell>
          <cell r="AO353">
            <v>1282.7951800000001</v>
          </cell>
          <cell r="AP353" t="str">
            <v>Muestra tomada en el elevador</v>
          </cell>
          <cell r="AQ353" t="str">
            <v>-</v>
          </cell>
          <cell r="AR353">
            <v>1177</v>
          </cell>
          <cell r="AS353">
            <v>3.1</v>
          </cell>
          <cell r="AV353">
            <v>2.4263622384364529</v>
          </cell>
          <cell r="BS353">
            <v>2.5830000000000002</v>
          </cell>
        </row>
        <row r="354">
          <cell r="A354">
            <v>426</v>
          </cell>
          <cell r="B354">
            <v>40267</v>
          </cell>
          <cell r="D354">
            <v>1500.8</v>
          </cell>
          <cell r="E354">
            <v>1430.3</v>
          </cell>
          <cell r="G354" t="str">
            <v>Consorcio Vial Santa Elena.</v>
          </cell>
          <cell r="H354" t="str">
            <v>2/2</v>
          </cell>
          <cell r="I354">
            <v>0</v>
          </cell>
          <cell r="J354">
            <v>241.2</v>
          </cell>
          <cell r="K354">
            <v>163.19999999999999</v>
          </cell>
          <cell r="L354">
            <v>299.89999999999998</v>
          </cell>
          <cell r="M354">
            <v>296.5</v>
          </cell>
          <cell r="N354">
            <v>216.9</v>
          </cell>
          <cell r="O354">
            <v>62.9</v>
          </cell>
          <cell r="P354">
            <v>66.599999999999994</v>
          </cell>
          <cell r="Q354">
            <v>83.1</v>
          </cell>
          <cell r="S354">
            <v>25</v>
          </cell>
          <cell r="T354" t="str">
            <v>1</v>
          </cell>
          <cell r="U354">
            <v>1235.8</v>
          </cell>
          <cell r="V354">
            <v>1238.5</v>
          </cell>
          <cell r="W354">
            <v>735.9</v>
          </cell>
          <cell r="Y354">
            <v>3</v>
          </cell>
          <cell r="Z354">
            <v>1250.7</v>
          </cell>
          <cell r="AA354">
            <v>1251.0999999999999</v>
          </cell>
          <cell r="AB354">
            <v>743.6</v>
          </cell>
          <cell r="AD354">
            <v>3.6</v>
          </cell>
          <cell r="AE354">
            <v>1217.9000000000001</v>
          </cell>
          <cell r="AF354">
            <v>1218.2</v>
          </cell>
          <cell r="AG354">
            <v>730.4</v>
          </cell>
          <cell r="AI354">
            <v>3.4</v>
          </cell>
          <cell r="AK354">
            <v>1762.0588800000003</v>
          </cell>
          <cell r="AM354">
            <v>1854.8524900000002</v>
          </cell>
          <cell r="AO354">
            <v>1843.6356799999999</v>
          </cell>
          <cell r="AP354" t="str">
            <v>Tama en obra, Perque Arví K7+800 primera capa (volqueta SNN 859)</v>
          </cell>
          <cell r="AQ354" t="str">
            <v>-</v>
          </cell>
          <cell r="AR354">
            <v>1924</v>
          </cell>
          <cell r="AS354">
            <v>3.3</v>
          </cell>
          <cell r="AV354">
            <v>2.4660880752502639</v>
          </cell>
          <cell r="BS354">
            <v>2.5830000000000002</v>
          </cell>
        </row>
        <row r="355">
          <cell r="A355">
            <v>427</v>
          </cell>
          <cell r="B355">
            <v>40268</v>
          </cell>
          <cell r="D355">
            <v>1500.5</v>
          </cell>
          <cell r="E355">
            <v>1429.7</v>
          </cell>
          <cell r="G355" t="str">
            <v>Consorcio Vial Santa Elena.</v>
          </cell>
          <cell r="H355" t="str">
            <v>1/1</v>
          </cell>
          <cell r="I355">
            <v>0</v>
          </cell>
          <cell r="J355">
            <v>245.7</v>
          </cell>
          <cell r="K355">
            <v>148.4</v>
          </cell>
          <cell r="L355">
            <v>322.7</v>
          </cell>
          <cell r="M355">
            <v>279.2</v>
          </cell>
          <cell r="N355">
            <v>214.5</v>
          </cell>
          <cell r="O355">
            <v>68.2</v>
          </cell>
          <cell r="P355">
            <v>70.599999999999994</v>
          </cell>
          <cell r="Q355">
            <v>80.400000000000006</v>
          </cell>
          <cell r="S355">
            <v>25</v>
          </cell>
          <cell r="T355" t="str">
            <v>1</v>
          </cell>
          <cell r="U355">
            <v>1236.0999999999999</v>
          </cell>
          <cell r="V355">
            <v>1237.5999999999999</v>
          </cell>
          <cell r="W355">
            <v>732.8</v>
          </cell>
          <cell r="Y355">
            <v>3.2</v>
          </cell>
          <cell r="Z355">
            <v>1232.3</v>
          </cell>
          <cell r="AA355">
            <v>1234.5999999999999</v>
          </cell>
          <cell r="AB355">
            <v>730.9</v>
          </cell>
          <cell r="AD355">
            <v>3.5</v>
          </cell>
          <cell r="AE355">
            <v>1233.8</v>
          </cell>
          <cell r="AF355">
            <v>1236</v>
          </cell>
          <cell r="AG355">
            <v>732.3</v>
          </cell>
          <cell r="AI355">
            <v>3</v>
          </cell>
          <cell r="AK355">
            <v>1713.1128000000001</v>
          </cell>
          <cell r="AM355">
            <v>1473.4809499999999</v>
          </cell>
          <cell r="AO355">
            <v>1359.27343</v>
          </cell>
          <cell r="AP355" t="str">
            <v>Muestra tomada en el elevador</v>
          </cell>
          <cell r="AQ355" t="str">
            <v>-</v>
          </cell>
          <cell r="AR355">
            <v>1575</v>
          </cell>
          <cell r="AS355">
            <v>3.2</v>
          </cell>
          <cell r="AV355">
            <v>2.4410597457889143</v>
          </cell>
          <cell r="BS355">
            <v>2.593</v>
          </cell>
        </row>
        <row r="356">
          <cell r="A356">
            <v>428</v>
          </cell>
          <cell r="B356">
            <v>40273</v>
          </cell>
          <cell r="D356">
            <v>1500.5</v>
          </cell>
          <cell r="E356">
            <v>1423.2</v>
          </cell>
          <cell r="G356" t="str">
            <v>Parcheo elaboración de fallos en vías urbanas y rurales del municipio de Medellín.</v>
          </cell>
          <cell r="H356" t="str">
            <v>1/3</v>
          </cell>
          <cell r="I356">
            <v>0</v>
          </cell>
          <cell r="J356">
            <v>168.5</v>
          </cell>
          <cell r="K356">
            <v>166.4</v>
          </cell>
          <cell r="L356">
            <v>281.7</v>
          </cell>
          <cell r="M356">
            <v>327.7</v>
          </cell>
          <cell r="N356">
            <v>246.4</v>
          </cell>
          <cell r="O356">
            <v>70.400000000000006</v>
          </cell>
          <cell r="P356">
            <v>70.7</v>
          </cell>
          <cell r="Q356">
            <v>91.4</v>
          </cell>
          <cell r="S356">
            <v>25</v>
          </cell>
          <cell r="T356" t="str">
            <v>1</v>
          </cell>
          <cell r="U356">
            <v>1236.5999999999999</v>
          </cell>
          <cell r="V356">
            <v>1239.9000000000001</v>
          </cell>
          <cell r="W356">
            <v>732.9</v>
          </cell>
          <cell r="Y356">
            <v>2.8</v>
          </cell>
          <cell r="Z356">
            <v>1236.2</v>
          </cell>
          <cell r="AA356">
            <v>1239.5</v>
          </cell>
          <cell r="AB356">
            <v>729.5</v>
          </cell>
          <cell r="AD356">
            <v>2.9</v>
          </cell>
          <cell r="AE356">
            <v>1238.5</v>
          </cell>
          <cell r="AF356">
            <v>1243.2</v>
          </cell>
          <cell r="AG356">
            <v>733.6</v>
          </cell>
          <cell r="AI356">
            <v>3.4</v>
          </cell>
          <cell r="AK356">
            <v>1323.58358</v>
          </cell>
          <cell r="AM356">
            <v>1268.5192400000001</v>
          </cell>
          <cell r="AO356">
            <v>1359.27343</v>
          </cell>
          <cell r="AP356" t="str">
            <v>Muestra tomada en el elevador</v>
          </cell>
          <cell r="AQ356" t="str">
            <v>-</v>
          </cell>
          <cell r="AR356">
            <v>1348</v>
          </cell>
          <cell r="AS356">
            <v>3</v>
          </cell>
          <cell r="AV356">
            <v>2.4239931346953969</v>
          </cell>
          <cell r="BS356">
            <v>2.5840000000000001</v>
          </cell>
        </row>
        <row r="357">
          <cell r="A357">
            <v>429</v>
          </cell>
          <cell r="B357">
            <v>40273</v>
          </cell>
          <cell r="D357">
            <v>1500.4</v>
          </cell>
          <cell r="E357">
            <v>1422.7</v>
          </cell>
          <cell r="G357" t="str">
            <v>Parcheo elaboración de fallos en vías urbanas y rurales del municipio de Medellín.</v>
          </cell>
          <cell r="H357" t="str">
            <v>2/3</v>
          </cell>
          <cell r="I357">
            <v>0</v>
          </cell>
          <cell r="J357">
            <v>141.6</v>
          </cell>
          <cell r="K357">
            <v>161.69999999999999</v>
          </cell>
          <cell r="L357">
            <v>273.89999999999998</v>
          </cell>
          <cell r="M357">
            <v>352.9</v>
          </cell>
          <cell r="N357">
            <v>257.7</v>
          </cell>
          <cell r="O357">
            <v>73.7</v>
          </cell>
          <cell r="P357">
            <v>71.7</v>
          </cell>
          <cell r="Q357">
            <v>89.5</v>
          </cell>
          <cell r="S357">
            <v>25</v>
          </cell>
          <cell r="T357" t="str">
            <v>1</v>
          </cell>
          <cell r="U357">
            <v>1238.2</v>
          </cell>
          <cell r="V357">
            <v>1240.7</v>
          </cell>
          <cell r="W357">
            <v>732.2</v>
          </cell>
          <cell r="Y357">
            <v>3.2</v>
          </cell>
          <cell r="Z357">
            <v>1237.0999999999999</v>
          </cell>
          <cell r="AA357">
            <v>1238.7</v>
          </cell>
          <cell r="AB357">
            <v>730.9</v>
          </cell>
          <cell r="AD357">
            <v>3.2</v>
          </cell>
          <cell r="AE357">
            <v>1229.5</v>
          </cell>
          <cell r="AF357">
            <v>1232.5</v>
          </cell>
          <cell r="AG357">
            <v>727.8</v>
          </cell>
          <cell r="AI357">
            <v>3.2</v>
          </cell>
          <cell r="AK357">
            <v>1299.1105400000001</v>
          </cell>
          <cell r="AM357">
            <v>1419.43632</v>
          </cell>
          <cell r="AO357">
            <v>1507.13138</v>
          </cell>
          <cell r="AP357" t="str">
            <v>Muestra tomada en la volqueta</v>
          </cell>
          <cell r="AQ357" t="str">
            <v>-</v>
          </cell>
          <cell r="AR357">
            <v>1451</v>
          </cell>
          <cell r="AS357">
            <v>3.2</v>
          </cell>
          <cell r="AV357">
            <v>2.4286423558588286</v>
          </cell>
          <cell r="BS357">
            <v>2.5840000000000001</v>
          </cell>
        </row>
        <row r="358">
          <cell r="A358">
            <v>430</v>
          </cell>
          <cell r="B358">
            <v>40273</v>
          </cell>
          <cell r="D358">
            <v>1500.6</v>
          </cell>
          <cell r="E358">
            <v>1426.4</v>
          </cell>
          <cell r="G358" t="str">
            <v>Parcheo elaboración de fallos en vías urbanas y rurales del municipio de Medellín.</v>
          </cell>
          <cell r="H358" t="str">
            <v>3/3</v>
          </cell>
          <cell r="I358">
            <v>0</v>
          </cell>
          <cell r="J358">
            <v>213.1</v>
          </cell>
          <cell r="K358">
            <v>165.3</v>
          </cell>
          <cell r="L358">
            <v>306.89999999999998</v>
          </cell>
          <cell r="M358">
            <v>325.5</v>
          </cell>
          <cell r="N358">
            <v>227.8</v>
          </cell>
          <cell r="O358">
            <v>63.3</v>
          </cell>
          <cell r="P358">
            <v>54.6</v>
          </cell>
          <cell r="Q358">
            <v>69.900000000000006</v>
          </cell>
          <cell r="S358">
            <v>25</v>
          </cell>
          <cell r="T358" t="str">
            <v>1</v>
          </cell>
          <cell r="AP358" t="str">
            <v>Muestra tomada en el obra en cojunto con el Laboratorio de AIM</v>
          </cell>
          <cell r="AQ358" t="str">
            <v>Cra. 72 con calle 24</v>
          </cell>
          <cell r="AR358">
            <v>0</v>
          </cell>
          <cell r="AS358">
            <v>0</v>
          </cell>
          <cell r="AV358">
            <v>0</v>
          </cell>
          <cell r="BS358">
            <v>2.5840000000000001</v>
          </cell>
        </row>
        <row r="359">
          <cell r="A359">
            <v>431</v>
          </cell>
          <cell r="B359">
            <v>40274</v>
          </cell>
          <cell r="D359">
            <v>1500.6</v>
          </cell>
          <cell r="E359">
            <v>1428.4</v>
          </cell>
          <cell r="G359" t="str">
            <v>Parcheo elaboración de fallos en vías urbanas y rurales del municipio de Medellín.</v>
          </cell>
          <cell r="H359" t="str">
            <v>1/2</v>
          </cell>
          <cell r="I359">
            <v>0</v>
          </cell>
          <cell r="J359">
            <v>180.6</v>
          </cell>
          <cell r="K359">
            <v>158.6</v>
          </cell>
          <cell r="L359">
            <v>313.3</v>
          </cell>
          <cell r="M359">
            <v>320.10000000000002</v>
          </cell>
          <cell r="N359">
            <v>241.3</v>
          </cell>
          <cell r="O359">
            <v>65.7</v>
          </cell>
          <cell r="P359">
            <v>64.5</v>
          </cell>
          <cell r="Q359">
            <v>84.3</v>
          </cell>
          <cell r="S359">
            <v>25</v>
          </cell>
          <cell r="T359" t="str">
            <v>1</v>
          </cell>
          <cell r="U359">
            <v>1235.9000000000001</v>
          </cell>
          <cell r="V359">
            <v>1239.5</v>
          </cell>
          <cell r="W359">
            <v>732.3</v>
          </cell>
          <cell r="Y359">
            <v>3</v>
          </cell>
          <cell r="Z359">
            <v>1238.9000000000001</v>
          </cell>
          <cell r="AA359">
            <v>1243</v>
          </cell>
          <cell r="AB359">
            <v>734.7</v>
          </cell>
          <cell r="AD359">
            <v>3.2</v>
          </cell>
          <cell r="AE359">
            <v>1235.7</v>
          </cell>
          <cell r="AF359">
            <v>1241.2</v>
          </cell>
          <cell r="AG359">
            <v>733.4</v>
          </cell>
          <cell r="AI359">
            <v>3.1</v>
          </cell>
          <cell r="AK359">
            <v>1306.2485100000001</v>
          </cell>
          <cell r="AM359">
            <v>1207.33664</v>
          </cell>
          <cell r="AO359">
            <v>1247.1053300000001</v>
          </cell>
          <cell r="AQ359" t="str">
            <v>-</v>
          </cell>
          <cell r="AR359">
            <v>1288</v>
          </cell>
          <cell r="AS359">
            <v>3.1</v>
          </cell>
          <cell r="AV359">
            <v>2.4287051545350518</v>
          </cell>
          <cell r="BS359">
            <v>2.5859999999999999</v>
          </cell>
        </row>
        <row r="360">
          <cell r="A360">
            <v>432</v>
          </cell>
          <cell r="B360">
            <v>40274</v>
          </cell>
          <cell r="D360">
            <v>1500.4</v>
          </cell>
          <cell r="E360">
            <v>1426.6</v>
          </cell>
          <cell r="G360" t="str">
            <v>Parcheo elaboración de fallos en vías urbanas y rurales del municipio de Medellín.</v>
          </cell>
          <cell r="H360" t="str">
            <v>2/2</v>
          </cell>
          <cell r="I360">
            <v>0</v>
          </cell>
          <cell r="J360">
            <v>159.4</v>
          </cell>
          <cell r="K360">
            <v>159.6</v>
          </cell>
          <cell r="L360">
            <v>328</v>
          </cell>
          <cell r="M360">
            <v>322</v>
          </cell>
          <cell r="N360">
            <v>233.3</v>
          </cell>
          <cell r="O360">
            <v>70.599999999999994</v>
          </cell>
          <cell r="P360">
            <v>69.099999999999994</v>
          </cell>
          <cell r="Q360">
            <v>84.6</v>
          </cell>
          <cell r="S360">
            <v>25</v>
          </cell>
          <cell r="T360" t="str">
            <v>1</v>
          </cell>
          <cell r="U360">
            <v>1236.8</v>
          </cell>
          <cell r="V360">
            <v>1241.5</v>
          </cell>
          <cell r="W360">
            <v>735.2</v>
          </cell>
          <cell r="Y360">
            <v>3.6</v>
          </cell>
          <cell r="Z360">
            <v>1235.2</v>
          </cell>
          <cell r="AA360">
            <v>1238.2</v>
          </cell>
          <cell r="AB360">
            <v>733.8</v>
          </cell>
          <cell r="AD360">
            <v>3.1</v>
          </cell>
          <cell r="AE360">
            <v>1235</v>
          </cell>
          <cell r="AF360">
            <v>1238.4000000000001</v>
          </cell>
          <cell r="AG360">
            <v>730.2</v>
          </cell>
          <cell r="AI360">
            <v>3.1</v>
          </cell>
          <cell r="AK360">
            <v>1329.7018399999999</v>
          </cell>
          <cell r="AM360">
            <v>1343.9777799999999</v>
          </cell>
          <cell r="AO360">
            <v>1454.10646</v>
          </cell>
          <cell r="AQ360" t="str">
            <v>-</v>
          </cell>
          <cell r="AR360">
            <v>1420</v>
          </cell>
          <cell r="AS360">
            <v>3.3</v>
          </cell>
          <cell r="AV360">
            <v>2.4334666269095941</v>
          </cell>
          <cell r="BS360">
            <v>2.5859999999999999</v>
          </cell>
        </row>
        <row r="361">
          <cell r="A361">
            <v>433</v>
          </cell>
          <cell r="B361">
            <v>40275</v>
          </cell>
          <cell r="D361">
            <v>1500.3</v>
          </cell>
          <cell r="E361">
            <v>1429.2</v>
          </cell>
          <cell r="G361" t="str">
            <v>Parcheo elaboración de fallos en vías urbanas y rurales del municipio de Medellín.</v>
          </cell>
          <cell r="H361" t="str">
            <v>1/2</v>
          </cell>
          <cell r="I361">
            <v>0</v>
          </cell>
          <cell r="J361">
            <v>216.6</v>
          </cell>
          <cell r="K361">
            <v>185.5</v>
          </cell>
          <cell r="L361">
            <v>260</v>
          </cell>
          <cell r="M361">
            <v>305.89999999999998</v>
          </cell>
          <cell r="N361">
            <v>240.1</v>
          </cell>
          <cell r="O361">
            <v>77.900000000000006</v>
          </cell>
          <cell r="P361">
            <v>60.1</v>
          </cell>
          <cell r="Q361">
            <v>83.1</v>
          </cell>
          <cell r="S361">
            <v>25</v>
          </cell>
          <cell r="T361" t="str">
            <v>1</v>
          </cell>
          <cell r="U361">
            <v>1235.4000000000001</v>
          </cell>
          <cell r="V361">
            <v>1239</v>
          </cell>
          <cell r="W361">
            <v>734.4</v>
          </cell>
          <cell r="Y361">
            <v>3.2</v>
          </cell>
          <cell r="Z361">
            <v>1236.4000000000001</v>
          </cell>
          <cell r="AA361">
            <v>1239.7</v>
          </cell>
          <cell r="AB361">
            <v>735.6</v>
          </cell>
          <cell r="AD361">
            <v>2.8</v>
          </cell>
          <cell r="AE361">
            <v>1235.9000000000001</v>
          </cell>
          <cell r="AF361">
            <v>1240.4000000000001</v>
          </cell>
          <cell r="AG361">
            <v>734.7</v>
          </cell>
          <cell r="AI361">
            <v>3.4</v>
          </cell>
          <cell r="AK361">
            <v>1454.10646</v>
          </cell>
          <cell r="AM361">
            <v>1252.20388</v>
          </cell>
          <cell r="AO361">
            <v>1360.29314</v>
          </cell>
          <cell r="AQ361" t="str">
            <v>-</v>
          </cell>
          <cell r="AR361">
            <v>1406</v>
          </cell>
          <cell r="AS361">
            <v>3.1</v>
          </cell>
          <cell r="AV361">
            <v>2.4411396913684165</v>
          </cell>
          <cell r="BS361">
            <v>2.6030000000000002</v>
          </cell>
        </row>
        <row r="362">
          <cell r="A362">
            <v>434</v>
          </cell>
          <cell r="B362">
            <v>40275</v>
          </cell>
          <cell r="D362">
            <v>1500.4</v>
          </cell>
          <cell r="E362">
            <v>1428.6</v>
          </cell>
          <cell r="G362" t="str">
            <v>Parcheo elaboración de fallos en vías urbanas y rurales del municipio de Medellín.</v>
          </cell>
          <cell r="H362" t="str">
            <v>2/2</v>
          </cell>
          <cell r="I362">
            <v>0</v>
          </cell>
          <cell r="J362">
            <v>164.7</v>
          </cell>
          <cell r="K362">
            <v>194.6</v>
          </cell>
          <cell r="L362">
            <v>315.7</v>
          </cell>
          <cell r="M362">
            <v>305.89999999999998</v>
          </cell>
          <cell r="N362">
            <v>219.8</v>
          </cell>
          <cell r="O362">
            <v>79.400000000000006</v>
          </cell>
          <cell r="P362">
            <v>62.2</v>
          </cell>
          <cell r="Q362">
            <v>86.3</v>
          </cell>
          <cell r="S362">
            <v>25</v>
          </cell>
          <cell r="T362" t="str">
            <v>1</v>
          </cell>
          <cell r="U362">
            <v>1236.5</v>
          </cell>
          <cell r="V362">
            <v>1238.7</v>
          </cell>
          <cell r="W362">
            <v>734.2</v>
          </cell>
          <cell r="Y362">
            <v>2.7</v>
          </cell>
          <cell r="Z362">
            <v>1234.5999999999999</v>
          </cell>
          <cell r="AA362">
            <v>1237.4000000000001</v>
          </cell>
          <cell r="AB362">
            <v>733.6</v>
          </cell>
          <cell r="AD362">
            <v>2.9</v>
          </cell>
          <cell r="AE362">
            <v>1233.5999999999999</v>
          </cell>
          <cell r="AF362">
            <v>1235.5999999999999</v>
          </cell>
          <cell r="AG362">
            <v>731.1</v>
          </cell>
          <cell r="AI362">
            <v>3.3</v>
          </cell>
          <cell r="AK362">
            <v>1324.60329</v>
          </cell>
          <cell r="AM362">
            <v>1427.5940000000001</v>
          </cell>
          <cell r="AO362">
            <v>1460.2247200000002</v>
          </cell>
          <cell r="AQ362" t="str">
            <v>-</v>
          </cell>
          <cell r="AR362">
            <v>1459</v>
          </cell>
          <cell r="AS362">
            <v>3</v>
          </cell>
          <cell r="AV362">
            <v>2.4417404280700898</v>
          </cell>
          <cell r="BS362">
            <v>2.6030000000000002</v>
          </cell>
        </row>
        <row r="363">
          <cell r="A363">
            <v>435</v>
          </cell>
          <cell r="B363">
            <v>40276</v>
          </cell>
          <cell r="D363">
            <v>1500.5</v>
          </cell>
          <cell r="E363">
            <v>1427.9</v>
          </cell>
          <cell r="G363" t="str">
            <v>Parcheo elaboración de fallos en vías urbanas y rurales del municipio de Medellín.</v>
          </cell>
          <cell r="H363" t="str">
            <v>1/2</v>
          </cell>
          <cell r="I363">
            <v>0</v>
          </cell>
          <cell r="J363">
            <v>234.6</v>
          </cell>
          <cell r="K363">
            <v>188.9</v>
          </cell>
          <cell r="L363">
            <v>246.9</v>
          </cell>
          <cell r="M363">
            <v>308.60000000000002</v>
          </cell>
          <cell r="N363">
            <v>229.7</v>
          </cell>
          <cell r="O363">
            <v>79.2</v>
          </cell>
          <cell r="P363">
            <v>60.5</v>
          </cell>
          <cell r="Q363">
            <v>79.5</v>
          </cell>
          <cell r="S363">
            <v>25</v>
          </cell>
          <cell r="T363" t="str">
            <v>1</v>
          </cell>
          <cell r="U363">
            <v>1239.2</v>
          </cell>
          <cell r="V363">
            <v>1241.7</v>
          </cell>
          <cell r="W363">
            <v>734.1</v>
          </cell>
          <cell r="Y363">
            <v>3.1</v>
          </cell>
          <cell r="Z363">
            <v>1237.5</v>
          </cell>
          <cell r="AA363">
            <v>1241.9000000000001</v>
          </cell>
          <cell r="AB363">
            <v>734.2</v>
          </cell>
          <cell r="AD363">
            <v>2.9</v>
          </cell>
          <cell r="AE363">
            <v>1236.5</v>
          </cell>
          <cell r="AF363">
            <v>1239.5999999999999</v>
          </cell>
          <cell r="AG363">
            <v>732.7</v>
          </cell>
          <cell r="AI363">
            <v>2.7</v>
          </cell>
          <cell r="AK363">
            <v>1468.3824000000002</v>
          </cell>
          <cell r="AM363">
            <v>1451.0473300000001</v>
          </cell>
          <cell r="AO363">
            <v>1424.5348700000002</v>
          </cell>
          <cell r="AP363" t="str">
            <v>Muestra tomada en el elevador</v>
          </cell>
          <cell r="AQ363" t="str">
            <v>-</v>
          </cell>
          <cell r="AR363">
            <v>1489</v>
          </cell>
          <cell r="AS363">
            <v>2.9</v>
          </cell>
          <cell r="AV363">
            <v>2.4322290505065802</v>
          </cell>
          <cell r="BS363">
            <v>2.5859999999999999</v>
          </cell>
        </row>
        <row r="364">
          <cell r="A364">
            <v>436</v>
          </cell>
          <cell r="B364">
            <v>40276</v>
          </cell>
          <cell r="D364">
            <v>1500.5</v>
          </cell>
          <cell r="E364">
            <v>1424.6</v>
          </cell>
          <cell r="G364" t="str">
            <v>Parcheo elaboración de fallos en vías urbanas y rurales del municipio de Medellín.</v>
          </cell>
          <cell r="H364" t="str">
            <v>2/2</v>
          </cell>
          <cell r="I364">
            <v>0</v>
          </cell>
          <cell r="J364">
            <v>188</v>
          </cell>
          <cell r="K364">
            <v>138.30000000000001</v>
          </cell>
          <cell r="L364">
            <v>275.2</v>
          </cell>
          <cell r="M364">
            <v>370.7</v>
          </cell>
          <cell r="N364">
            <v>219.3</v>
          </cell>
          <cell r="O364">
            <v>72.5</v>
          </cell>
          <cell r="P364">
            <v>72.900000000000006</v>
          </cell>
          <cell r="Q364">
            <v>87.7</v>
          </cell>
          <cell r="S364">
            <v>25</v>
          </cell>
          <cell r="T364" t="str">
            <v>1</v>
          </cell>
          <cell r="U364">
            <v>1238.4000000000001</v>
          </cell>
          <cell r="V364">
            <v>1239.7</v>
          </cell>
          <cell r="W364">
            <v>735.2</v>
          </cell>
          <cell r="Y364">
            <v>3.1</v>
          </cell>
          <cell r="Z364">
            <v>1236.9000000000001</v>
          </cell>
          <cell r="AA364">
            <v>1238.5</v>
          </cell>
          <cell r="AB364">
            <v>735.4</v>
          </cell>
          <cell r="AD364">
            <v>3.1</v>
          </cell>
          <cell r="AE364">
            <v>1238.4000000000001</v>
          </cell>
          <cell r="AF364">
            <v>1240.2</v>
          </cell>
          <cell r="AG364">
            <v>734.6</v>
          </cell>
          <cell r="AI364">
            <v>2.8</v>
          </cell>
          <cell r="AK364">
            <v>1510.1905100000001</v>
          </cell>
          <cell r="AM364">
            <v>1406.1800900000001</v>
          </cell>
          <cell r="AO364">
            <v>1509.1708000000001</v>
          </cell>
          <cell r="AP364" t="str">
            <v>Muestra tomada en la volqueta</v>
          </cell>
          <cell r="AQ364" t="str">
            <v>-</v>
          </cell>
          <cell r="AR364">
            <v>1532</v>
          </cell>
          <cell r="AS364">
            <v>3</v>
          </cell>
          <cell r="AV364">
            <v>2.4470319897430737</v>
          </cell>
          <cell r="BS364">
            <v>2.5859999999999999</v>
          </cell>
        </row>
        <row r="365">
          <cell r="A365">
            <v>437</v>
          </cell>
          <cell r="B365">
            <v>40277</v>
          </cell>
          <cell r="D365">
            <v>1500.2</v>
          </cell>
          <cell r="E365">
            <v>1423.6</v>
          </cell>
          <cell r="G365" t="str">
            <v>Parcheo elaboración de fallos en vías urbanas y rurales del municipio de Medellín.</v>
          </cell>
          <cell r="H365" t="str">
            <v>1/2</v>
          </cell>
          <cell r="I365">
            <v>0</v>
          </cell>
          <cell r="J365">
            <v>180.5</v>
          </cell>
          <cell r="K365">
            <v>192.7</v>
          </cell>
          <cell r="L365">
            <v>254.1</v>
          </cell>
          <cell r="M365">
            <v>332.7</v>
          </cell>
          <cell r="N365">
            <v>227.7</v>
          </cell>
          <cell r="O365">
            <v>68.900000000000006</v>
          </cell>
          <cell r="P365">
            <v>74.8</v>
          </cell>
          <cell r="Q365">
            <v>92.2</v>
          </cell>
          <cell r="S365">
            <v>25</v>
          </cell>
          <cell r="T365" t="str">
            <v>1</v>
          </cell>
          <cell r="U365">
            <v>1238.8</v>
          </cell>
          <cell r="V365">
            <v>1240.3</v>
          </cell>
          <cell r="W365">
            <v>737.4</v>
          </cell>
          <cell r="Y365">
            <v>3.2</v>
          </cell>
          <cell r="Z365">
            <v>1237.5999999999999</v>
          </cell>
          <cell r="AA365">
            <v>1238.5999999999999</v>
          </cell>
          <cell r="AB365">
            <v>734.8</v>
          </cell>
          <cell r="AD365">
            <v>3.1</v>
          </cell>
          <cell r="AE365">
            <v>1236.5999999999999</v>
          </cell>
          <cell r="AF365">
            <v>1237.5</v>
          </cell>
          <cell r="AG365">
            <v>735.1</v>
          </cell>
          <cell r="AI365">
            <v>2.8</v>
          </cell>
          <cell r="AK365">
            <v>1754.92091</v>
          </cell>
          <cell r="AM365">
            <v>1386.8055999999999</v>
          </cell>
          <cell r="AO365">
            <v>1449.00791</v>
          </cell>
          <cell r="AP365" t="str">
            <v>Muestra tomada en el elevador</v>
          </cell>
          <cell r="AQ365" t="str">
            <v>-</v>
          </cell>
          <cell r="AR365">
            <v>1597</v>
          </cell>
          <cell r="AS365">
            <v>3</v>
          </cell>
          <cell r="AV365">
            <v>2.4532128039921828</v>
          </cell>
          <cell r="BS365">
            <v>2.589</v>
          </cell>
        </row>
        <row r="366">
          <cell r="A366">
            <v>438</v>
          </cell>
          <cell r="B366">
            <v>40277</v>
          </cell>
          <cell r="D366">
            <v>1498.2</v>
          </cell>
          <cell r="E366">
            <v>1419.2</v>
          </cell>
          <cell r="G366" t="str">
            <v>Parcheo elaboración de fallos en vías urbanas y rurales del municipio de Medellín.</v>
          </cell>
          <cell r="H366" t="str">
            <v>2/2</v>
          </cell>
          <cell r="I366">
            <v>0</v>
          </cell>
          <cell r="J366">
            <v>183.1</v>
          </cell>
          <cell r="K366">
            <v>160.9</v>
          </cell>
          <cell r="L366">
            <v>265.5</v>
          </cell>
          <cell r="M366">
            <v>343.5</v>
          </cell>
          <cell r="N366">
            <v>232.3</v>
          </cell>
          <cell r="O366">
            <v>69</v>
          </cell>
          <cell r="P366">
            <v>74.8</v>
          </cell>
          <cell r="Q366">
            <v>90.1</v>
          </cell>
          <cell r="S366">
            <v>25</v>
          </cell>
          <cell r="T366" t="str">
            <v>1</v>
          </cell>
          <cell r="U366">
            <v>1236.5999999999999</v>
          </cell>
          <cell r="V366">
            <v>1239</v>
          </cell>
          <cell r="W366">
            <v>736.1</v>
          </cell>
          <cell r="Y366">
            <v>3.5</v>
          </cell>
          <cell r="Z366">
            <v>1236.9000000000001</v>
          </cell>
          <cell r="AA366">
            <v>1239</v>
          </cell>
          <cell r="AB366">
            <v>738</v>
          </cell>
          <cell r="AD366">
            <v>3.1</v>
          </cell>
          <cell r="AE366">
            <v>1236.9000000000001</v>
          </cell>
          <cell r="AF366">
            <v>1238.9000000000001</v>
          </cell>
          <cell r="AG366">
            <v>737.1</v>
          </cell>
          <cell r="AI366">
            <v>3.5</v>
          </cell>
          <cell r="AK366">
            <v>1429.6334200000001</v>
          </cell>
          <cell r="AM366">
            <v>1423.5151600000002</v>
          </cell>
          <cell r="AO366">
            <v>1444.9290700000001</v>
          </cell>
          <cell r="AP366" t="str">
            <v>Muestra tomada en la volqueta</v>
          </cell>
          <cell r="AQ366" t="str">
            <v>-</v>
          </cell>
          <cell r="AR366">
            <v>1500</v>
          </cell>
          <cell r="AS366">
            <v>3.4</v>
          </cell>
          <cell r="AV366">
            <v>2.4570343246589696</v>
          </cell>
          <cell r="BS366">
            <v>2.589</v>
          </cell>
        </row>
        <row r="367">
          <cell r="A367">
            <v>439</v>
          </cell>
          <cell r="B367">
            <v>40280</v>
          </cell>
          <cell r="D367">
            <v>1500.4</v>
          </cell>
          <cell r="E367">
            <v>1423.8</v>
          </cell>
          <cell r="G367" t="str">
            <v>Parcheo elaboración de fallos en vías urbanas y rurales del municipio de Medellín.</v>
          </cell>
          <cell r="H367" t="str">
            <v>1/2</v>
          </cell>
          <cell r="I367">
            <v>0</v>
          </cell>
          <cell r="J367">
            <v>163</v>
          </cell>
          <cell r="K367">
            <v>179</v>
          </cell>
          <cell r="L367">
            <v>245.4</v>
          </cell>
          <cell r="M367">
            <v>373.1</v>
          </cell>
          <cell r="N367">
            <v>236.6</v>
          </cell>
          <cell r="O367">
            <v>71.5</v>
          </cell>
          <cell r="P367">
            <v>72.599999999999994</v>
          </cell>
          <cell r="Q367">
            <v>82.6</v>
          </cell>
          <cell r="S367">
            <v>25</v>
          </cell>
          <cell r="T367" t="str">
            <v>1</v>
          </cell>
          <cell r="U367">
            <v>1236.0999999999999</v>
          </cell>
          <cell r="V367">
            <v>1238.5</v>
          </cell>
          <cell r="W367">
            <v>733.9</v>
          </cell>
          <cell r="Y367">
            <v>3.4</v>
          </cell>
          <cell r="Z367">
            <v>1236.8</v>
          </cell>
          <cell r="AA367">
            <v>1241.7</v>
          </cell>
          <cell r="AB367">
            <v>734.7</v>
          </cell>
          <cell r="AD367">
            <v>3.32</v>
          </cell>
          <cell r="AE367">
            <v>1232.9000000000001</v>
          </cell>
          <cell r="AF367">
            <v>1238.0999999999999</v>
          </cell>
          <cell r="AG367">
            <v>732.5</v>
          </cell>
          <cell r="AI367">
            <v>3.46</v>
          </cell>
          <cell r="AK367">
            <v>1400.0618300000001</v>
          </cell>
          <cell r="AM367">
            <v>1353.15517</v>
          </cell>
          <cell r="AO367">
            <v>1417.3969000000002</v>
          </cell>
          <cell r="AP367" t="str">
            <v>Muestra tomada en el elevador</v>
          </cell>
          <cell r="AR367">
            <v>1438</v>
          </cell>
          <cell r="AS367">
            <v>3.4</v>
          </cell>
          <cell r="AV367">
            <v>2.4353888420021907</v>
          </cell>
          <cell r="BS367">
            <v>2.5859999999999999</v>
          </cell>
        </row>
        <row r="368">
          <cell r="A368">
            <v>440</v>
          </cell>
          <cell r="B368">
            <v>40280</v>
          </cell>
          <cell r="D368">
            <v>1500.3</v>
          </cell>
          <cell r="E368">
            <v>1423.2</v>
          </cell>
          <cell r="G368" t="str">
            <v>Parcheo elaboración de fallos en vías urbanas y rurales del municipio de Medellín.</v>
          </cell>
          <cell r="H368" t="str">
            <v>2/2</v>
          </cell>
          <cell r="I368">
            <v>0</v>
          </cell>
          <cell r="J368">
            <v>201.4</v>
          </cell>
          <cell r="K368">
            <v>153.1</v>
          </cell>
          <cell r="L368">
            <v>256.7</v>
          </cell>
          <cell r="M368">
            <v>362.6</v>
          </cell>
          <cell r="N368">
            <v>226.6</v>
          </cell>
          <cell r="O368">
            <v>66.400000000000006</v>
          </cell>
          <cell r="P368">
            <v>70.599999999999994</v>
          </cell>
          <cell r="Q368">
            <v>85.8</v>
          </cell>
          <cell r="S368">
            <v>25</v>
          </cell>
          <cell r="T368" t="str">
            <v>1</v>
          </cell>
          <cell r="U368">
            <v>1237.3</v>
          </cell>
          <cell r="V368">
            <v>1239</v>
          </cell>
          <cell r="W368">
            <v>732.1</v>
          </cell>
          <cell r="Y368">
            <v>3.6</v>
          </cell>
          <cell r="Z368">
            <v>1237.8</v>
          </cell>
          <cell r="AA368">
            <v>1240.2</v>
          </cell>
          <cell r="AB368">
            <v>732.1</v>
          </cell>
          <cell r="AD368">
            <v>3.3</v>
          </cell>
          <cell r="AE368">
            <v>1234</v>
          </cell>
          <cell r="AF368">
            <v>1237</v>
          </cell>
          <cell r="AG368">
            <v>728.7</v>
          </cell>
          <cell r="AI368">
            <v>3.5</v>
          </cell>
          <cell r="AK368">
            <v>1465.3232699999999</v>
          </cell>
          <cell r="AM368">
            <v>1455.12617</v>
          </cell>
          <cell r="AO368">
            <v>1376.6085</v>
          </cell>
          <cell r="AP368" t="str">
            <v>Muestra tomada en la volqueta</v>
          </cell>
          <cell r="AR368">
            <v>1472</v>
          </cell>
          <cell r="AS368">
            <v>3.5</v>
          </cell>
          <cell r="AV368">
            <v>2.4277945899742557</v>
          </cell>
          <cell r="BS368">
            <v>2.5859999999999999</v>
          </cell>
        </row>
        <row r="369">
          <cell r="A369">
            <v>441</v>
          </cell>
          <cell r="B369">
            <v>40282</v>
          </cell>
          <cell r="D369">
            <v>1504</v>
          </cell>
          <cell r="E369">
            <v>1425</v>
          </cell>
          <cell r="G369" t="str">
            <v>Parcheo elaboración de fallos en vías urbanas y rurales del municipio de Medellín.</v>
          </cell>
          <cell r="H369" t="str">
            <v>1/2</v>
          </cell>
          <cell r="I369">
            <v>0</v>
          </cell>
          <cell r="J369">
            <v>145.19999999999999</v>
          </cell>
          <cell r="K369">
            <v>201</v>
          </cell>
          <cell r="L369">
            <v>255.3</v>
          </cell>
          <cell r="M369">
            <v>330.3</v>
          </cell>
          <cell r="N369">
            <v>243</v>
          </cell>
          <cell r="O369">
            <v>75</v>
          </cell>
          <cell r="P369">
            <v>84.7</v>
          </cell>
          <cell r="Q369">
            <v>90.5</v>
          </cell>
          <cell r="S369">
            <v>25</v>
          </cell>
          <cell r="T369" t="str">
            <v>1</v>
          </cell>
          <cell r="U369">
            <v>1235.8</v>
          </cell>
          <cell r="V369">
            <v>1238.8</v>
          </cell>
          <cell r="W369">
            <v>733.9</v>
          </cell>
          <cell r="Y369">
            <v>3.3</v>
          </cell>
          <cell r="Z369">
            <v>1236.5</v>
          </cell>
          <cell r="AA369">
            <v>1239.8</v>
          </cell>
          <cell r="AB369">
            <v>734</v>
          </cell>
          <cell r="AD369">
            <v>3.5</v>
          </cell>
          <cell r="AE369">
            <v>1234.7</v>
          </cell>
          <cell r="AF369">
            <v>1235.8</v>
          </cell>
          <cell r="AG369">
            <v>732.6</v>
          </cell>
          <cell r="AI369">
            <v>2.8</v>
          </cell>
          <cell r="AK369">
            <v>1537.7226800000001</v>
          </cell>
          <cell r="AM369">
            <v>1542.8212300000002</v>
          </cell>
          <cell r="AO369">
            <v>1576.4716600000002</v>
          </cell>
          <cell r="AQ369" t="str">
            <v>-</v>
          </cell>
          <cell r="AR369">
            <v>1611</v>
          </cell>
          <cell r="AS369">
            <v>3.2</v>
          </cell>
          <cell r="AV369">
            <v>2.4414883246604844</v>
          </cell>
          <cell r="BS369">
            <v>2.5840000000000001</v>
          </cell>
        </row>
        <row r="370">
          <cell r="A370">
            <v>442</v>
          </cell>
          <cell r="B370">
            <v>40282</v>
          </cell>
          <cell r="D370">
            <v>1501.9</v>
          </cell>
          <cell r="E370">
            <v>1426.4</v>
          </cell>
          <cell r="G370" t="str">
            <v>Parcheo elaboración de fallos en vías urbanas y rurales del municipio de Medellín.</v>
          </cell>
          <cell r="H370" t="str">
            <v>2/2</v>
          </cell>
          <cell r="I370">
            <v>0</v>
          </cell>
          <cell r="J370">
            <v>253.3</v>
          </cell>
          <cell r="K370">
            <v>158.80000000000001</v>
          </cell>
          <cell r="L370">
            <v>187</v>
          </cell>
          <cell r="M370">
            <v>325.2</v>
          </cell>
          <cell r="N370">
            <v>255.5</v>
          </cell>
          <cell r="O370">
            <v>79.400000000000006</v>
          </cell>
          <cell r="P370">
            <v>76.099999999999994</v>
          </cell>
          <cell r="Q370">
            <v>91.1</v>
          </cell>
          <cell r="S370">
            <v>25</v>
          </cell>
          <cell r="T370" t="str">
            <v>1</v>
          </cell>
          <cell r="U370">
            <v>1238.5999999999999</v>
          </cell>
          <cell r="V370">
            <v>1239.8</v>
          </cell>
          <cell r="W370">
            <v>736.8</v>
          </cell>
          <cell r="Y370">
            <v>3.5</v>
          </cell>
          <cell r="Z370">
            <v>1237.7</v>
          </cell>
          <cell r="AA370">
            <v>1240.5</v>
          </cell>
          <cell r="AB370">
            <v>735.4</v>
          </cell>
          <cell r="AD370">
            <v>3.3</v>
          </cell>
          <cell r="AE370">
            <v>1235.5999999999999</v>
          </cell>
          <cell r="AF370">
            <v>1238.9000000000001</v>
          </cell>
          <cell r="AG370">
            <v>735.6</v>
          </cell>
          <cell r="AI370">
            <v>3.5</v>
          </cell>
          <cell r="AK370">
            <v>1687.6200500000002</v>
          </cell>
          <cell r="AM370">
            <v>1674.3638200000003</v>
          </cell>
          <cell r="AO370">
            <v>1773.2756900000002</v>
          </cell>
          <cell r="AR370">
            <v>1781</v>
          </cell>
          <cell r="AS370">
            <v>3.4</v>
          </cell>
          <cell r="AV370">
            <v>2.448759143118294</v>
          </cell>
          <cell r="BS370">
            <v>2.5840000000000001</v>
          </cell>
        </row>
        <row r="371">
          <cell r="A371">
            <v>443</v>
          </cell>
          <cell r="B371">
            <v>40283</v>
          </cell>
          <cell r="D371">
            <v>1503.5</v>
          </cell>
          <cell r="E371">
            <v>1427.9</v>
          </cell>
          <cell r="G371" t="str">
            <v>Parcheo elaboración de fallos en vías urbanas y rurales del municipio de Medellín.</v>
          </cell>
          <cell r="H371" t="str">
            <v>1/2</v>
          </cell>
          <cell r="I371">
            <v>0</v>
          </cell>
          <cell r="J371">
            <v>274.3</v>
          </cell>
          <cell r="K371">
            <v>125.9</v>
          </cell>
          <cell r="L371">
            <v>214</v>
          </cell>
          <cell r="M371">
            <v>323.5</v>
          </cell>
          <cell r="N371">
            <v>255.4</v>
          </cell>
          <cell r="O371">
            <v>74.3</v>
          </cell>
          <cell r="P371">
            <v>75.8</v>
          </cell>
          <cell r="Q371">
            <v>84.7</v>
          </cell>
          <cell r="S371">
            <v>25</v>
          </cell>
          <cell r="T371" t="str">
            <v>1</v>
          </cell>
          <cell r="U371">
            <v>1235.3</v>
          </cell>
          <cell r="V371">
            <v>1236.2</v>
          </cell>
          <cell r="W371">
            <v>734.4</v>
          </cell>
          <cell r="Y371">
            <v>3.4</v>
          </cell>
          <cell r="Z371">
            <v>1237.7</v>
          </cell>
          <cell r="AA371">
            <v>1239.8</v>
          </cell>
          <cell r="AB371">
            <v>735.1</v>
          </cell>
          <cell r="AD371">
            <v>3.1</v>
          </cell>
          <cell r="AE371">
            <v>1234.8</v>
          </cell>
          <cell r="AF371">
            <v>1238</v>
          </cell>
          <cell r="AG371">
            <v>731.2</v>
          </cell>
          <cell r="AI371">
            <v>3.2</v>
          </cell>
          <cell r="AK371">
            <v>1840.5765500000002</v>
          </cell>
          <cell r="AM371">
            <v>1740.6449700000001</v>
          </cell>
          <cell r="AO371">
            <v>1543.84094</v>
          </cell>
          <cell r="AP371" t="str">
            <v>Muestra tomada en el elevador</v>
          </cell>
          <cell r="AQ371" t="str">
            <v>Muestra tomada en planta, en cojunto con el Laboratorio de AIM, (Volqueta SNO752)</v>
          </cell>
          <cell r="AR371">
            <v>1775</v>
          </cell>
          <cell r="AS371">
            <v>3.2</v>
          </cell>
          <cell r="AV371">
            <v>2.4430164679760682</v>
          </cell>
          <cell r="BS371">
            <v>2.5939999999999999</v>
          </cell>
        </row>
        <row r="372">
          <cell r="A372">
            <v>444</v>
          </cell>
          <cell r="B372">
            <v>40283</v>
          </cell>
          <cell r="D372">
            <v>1505</v>
          </cell>
          <cell r="E372">
            <v>1432.1</v>
          </cell>
          <cell r="G372" t="str">
            <v>Parcheo elaboración de fallos en vías urbanas y rurales del municipio de Medellín.</v>
          </cell>
          <cell r="H372" t="str">
            <v>2/2</v>
          </cell>
          <cell r="I372">
            <v>0</v>
          </cell>
          <cell r="J372">
            <v>237.6</v>
          </cell>
          <cell r="K372">
            <v>141.1</v>
          </cell>
          <cell r="L372">
            <v>266</v>
          </cell>
          <cell r="M372">
            <v>310.89999999999998</v>
          </cell>
          <cell r="N372">
            <v>231.9</v>
          </cell>
          <cell r="O372">
            <v>71.599999999999994</v>
          </cell>
          <cell r="P372">
            <v>74</v>
          </cell>
          <cell r="Q372">
            <v>99</v>
          </cell>
          <cell r="S372">
            <v>25</v>
          </cell>
          <cell r="T372" t="str">
            <v>1</v>
          </cell>
          <cell r="U372">
            <v>1236.5</v>
          </cell>
          <cell r="V372">
            <v>1238.8</v>
          </cell>
          <cell r="W372">
            <v>733.2</v>
          </cell>
          <cell r="Y372">
            <v>2.6</v>
          </cell>
          <cell r="Z372">
            <v>1236.4000000000001</v>
          </cell>
          <cell r="AA372">
            <v>1238.5</v>
          </cell>
          <cell r="AB372">
            <v>733.7</v>
          </cell>
          <cell r="AD372">
            <v>3.3</v>
          </cell>
          <cell r="AE372">
            <v>1237.2</v>
          </cell>
          <cell r="AF372">
            <v>1239.8</v>
          </cell>
          <cell r="AG372">
            <v>733.8</v>
          </cell>
          <cell r="AI372">
            <v>3.2</v>
          </cell>
          <cell r="AK372">
            <v>1395.98299</v>
          </cell>
          <cell r="AM372">
            <v>1590.7475999999999</v>
          </cell>
          <cell r="AO372">
            <v>1623.37832</v>
          </cell>
          <cell r="AP372" t="str">
            <v>Muestra tomada en el elevador</v>
          </cell>
          <cell r="AQ372" t="str">
            <v>Muestra tomada en planta, en cojunto con el Laboratorio de AIM, (Volqueta CID262)</v>
          </cell>
          <cell r="AR372">
            <v>1591</v>
          </cell>
          <cell r="AS372">
            <v>3</v>
          </cell>
          <cell r="AV372">
            <v>2.4394953142469369</v>
          </cell>
          <cell r="BS372">
            <v>2.5939999999999999</v>
          </cell>
        </row>
        <row r="373">
          <cell r="A373">
            <v>445</v>
          </cell>
          <cell r="B373">
            <v>40284</v>
          </cell>
          <cell r="D373">
            <v>1508</v>
          </cell>
          <cell r="E373">
            <v>1436.5</v>
          </cell>
          <cell r="G373" t="str">
            <v>Parcheo elaboración de fallos en vías urbanas y rurales del municipio de Medellín.</v>
          </cell>
          <cell r="H373" t="str">
            <v>1/2</v>
          </cell>
          <cell r="I373">
            <v>0</v>
          </cell>
          <cell r="J373">
            <v>176.6</v>
          </cell>
          <cell r="K373">
            <v>164.3</v>
          </cell>
          <cell r="L373">
            <v>314.3</v>
          </cell>
          <cell r="M373">
            <v>311.8</v>
          </cell>
          <cell r="N373">
            <v>234.1</v>
          </cell>
          <cell r="O373">
            <v>77.7</v>
          </cell>
          <cell r="P373">
            <v>72.3</v>
          </cell>
          <cell r="Q373">
            <v>85.4</v>
          </cell>
          <cell r="S373">
            <v>25</v>
          </cell>
          <cell r="T373" t="str">
            <v>1</v>
          </cell>
          <cell r="U373">
            <v>1236.9000000000001</v>
          </cell>
          <cell r="V373">
            <v>1239.8</v>
          </cell>
          <cell r="W373">
            <v>732.3</v>
          </cell>
          <cell r="Y373">
            <v>3.3</v>
          </cell>
          <cell r="Z373">
            <v>1236.5999999999999</v>
          </cell>
          <cell r="AA373">
            <v>1239</v>
          </cell>
          <cell r="AB373">
            <v>731.3</v>
          </cell>
          <cell r="AD373">
            <v>3</v>
          </cell>
          <cell r="AE373">
            <v>1234</v>
          </cell>
          <cell r="AF373">
            <v>1235.7</v>
          </cell>
          <cell r="AG373">
            <v>730.8</v>
          </cell>
          <cell r="AI373">
            <v>2.8</v>
          </cell>
          <cell r="AK373">
            <v>1634.5951300000002</v>
          </cell>
          <cell r="AM373">
            <v>1607.06296</v>
          </cell>
          <cell r="AO373">
            <v>1881.3649499999999</v>
          </cell>
          <cell r="AP373" t="str">
            <v>Muestra tomada en el elevador</v>
          </cell>
          <cell r="AQ373" t="str">
            <v>Muestra tomada en planta, en cojunto con el Laboratorio de AIM, (Volqueta CID262)</v>
          </cell>
          <cell r="AR373">
            <v>1761</v>
          </cell>
          <cell r="AS373">
            <v>3</v>
          </cell>
          <cell r="AV373">
            <v>2.4318593024409334</v>
          </cell>
          <cell r="BS373">
            <v>2.5840000000000001</v>
          </cell>
        </row>
        <row r="374">
          <cell r="A374">
            <v>446</v>
          </cell>
          <cell r="B374">
            <v>40284</v>
          </cell>
          <cell r="D374">
            <v>1505.2</v>
          </cell>
          <cell r="E374">
            <v>1433</v>
          </cell>
          <cell r="G374" t="str">
            <v>Parcheo elaboración de fallos en vías urbanas y rurales del municipio de Medellín.</v>
          </cell>
          <cell r="H374" t="str">
            <v>2/2</v>
          </cell>
          <cell r="I374">
            <v>0</v>
          </cell>
          <cell r="J374">
            <v>198.5</v>
          </cell>
          <cell r="K374">
            <v>136.19999999999999</v>
          </cell>
          <cell r="L374">
            <v>263.60000000000002</v>
          </cell>
          <cell r="M374">
            <v>330.4</v>
          </cell>
          <cell r="N374">
            <v>258.60000000000002</v>
          </cell>
          <cell r="O374">
            <v>79.099999999999994</v>
          </cell>
          <cell r="P374">
            <v>79</v>
          </cell>
          <cell r="Q374">
            <v>87.6</v>
          </cell>
          <cell r="S374">
            <v>25</v>
          </cell>
          <cell r="T374" t="str">
            <v>1</v>
          </cell>
          <cell r="U374">
            <v>1235.7</v>
          </cell>
          <cell r="V374">
            <v>1238</v>
          </cell>
          <cell r="W374">
            <v>730.3</v>
          </cell>
          <cell r="Y374">
            <v>3.2</v>
          </cell>
          <cell r="Z374">
            <v>1237.4000000000001</v>
          </cell>
          <cell r="AA374">
            <v>1242</v>
          </cell>
          <cell r="AB374">
            <v>734</v>
          </cell>
          <cell r="AD374">
            <v>2.9</v>
          </cell>
          <cell r="AE374">
            <v>1234.9000000000001</v>
          </cell>
          <cell r="AF374">
            <v>1238</v>
          </cell>
          <cell r="AG374">
            <v>732</v>
          </cell>
          <cell r="AI374">
            <v>2.9</v>
          </cell>
          <cell r="AK374">
            <v>1639.6936799999999</v>
          </cell>
          <cell r="AM374">
            <v>1477.55979</v>
          </cell>
          <cell r="AO374">
            <v>1428.6137100000001</v>
          </cell>
          <cell r="AP374" t="str">
            <v>Muestra tomada en el elevador</v>
          </cell>
          <cell r="AQ374" t="str">
            <v>Muestra tomada en planta, en cojunto con el Laboratorio de AIM, (Volqueta CNN859)</v>
          </cell>
          <cell r="AR374">
            <v>1559</v>
          </cell>
          <cell r="AS374">
            <v>3</v>
          </cell>
          <cell r="AV374">
            <v>2.429625256036533</v>
          </cell>
          <cell r="BS374">
            <v>2.5840000000000001</v>
          </cell>
        </row>
        <row r="375">
          <cell r="A375">
            <v>447</v>
          </cell>
          <cell r="B375">
            <v>40287</v>
          </cell>
          <cell r="D375">
            <v>1689.2</v>
          </cell>
          <cell r="E375">
            <v>1605.8</v>
          </cell>
          <cell r="G375" t="str">
            <v>Parcheo elaboración de fallos en vías urbanas y rurales del municipio de Medellín.</v>
          </cell>
          <cell r="H375" t="str">
            <v>1/2</v>
          </cell>
          <cell r="I375">
            <v>0</v>
          </cell>
          <cell r="J375">
            <v>193</v>
          </cell>
          <cell r="K375">
            <v>202.1</v>
          </cell>
          <cell r="L375">
            <v>292.60000000000002</v>
          </cell>
          <cell r="M375">
            <v>356.7</v>
          </cell>
          <cell r="N375">
            <v>277.5</v>
          </cell>
          <cell r="O375">
            <v>89.7</v>
          </cell>
          <cell r="P375">
            <v>82.4</v>
          </cell>
          <cell r="Q375">
            <v>111.8</v>
          </cell>
          <cell r="S375">
            <v>25</v>
          </cell>
          <cell r="T375" t="str">
            <v>1</v>
          </cell>
          <cell r="U375">
            <v>1234.8</v>
          </cell>
          <cell r="V375">
            <v>1235.3</v>
          </cell>
          <cell r="W375">
            <v>736.4</v>
          </cell>
          <cell r="Y375">
            <v>3</v>
          </cell>
          <cell r="Z375">
            <v>1237.8</v>
          </cell>
          <cell r="AA375">
            <v>1240.0999999999999</v>
          </cell>
          <cell r="AB375">
            <v>730.6</v>
          </cell>
          <cell r="AD375">
            <v>3.2</v>
          </cell>
          <cell r="AE375">
            <v>1238.8</v>
          </cell>
          <cell r="AF375">
            <v>1240.2</v>
          </cell>
          <cell r="AG375">
            <v>734.1</v>
          </cell>
          <cell r="AI375">
            <v>3.2</v>
          </cell>
          <cell r="AK375">
            <v>1827.3203200000003</v>
          </cell>
          <cell r="AM375">
            <v>1606.0432500000002</v>
          </cell>
          <cell r="AO375">
            <v>1700.87628</v>
          </cell>
          <cell r="AP375" t="str">
            <v>Muestra tomada en el elevador</v>
          </cell>
          <cell r="AQ375" t="str">
            <v>-</v>
          </cell>
          <cell r="AR375">
            <v>1777</v>
          </cell>
          <cell r="AS375">
            <v>3.1</v>
          </cell>
          <cell r="AV375">
            <v>2.4435726917711924</v>
          </cell>
          <cell r="BS375">
            <v>2.58</v>
          </cell>
        </row>
        <row r="376">
          <cell r="A376">
            <v>448</v>
          </cell>
          <cell r="B376">
            <v>40287</v>
          </cell>
          <cell r="D376">
            <v>1752.5</v>
          </cell>
          <cell r="E376">
            <v>1667.4</v>
          </cell>
          <cell r="G376" t="str">
            <v>Parcheo elaboración de fallos en vías urbanas y rurales del municipio de Medellín.</v>
          </cell>
          <cell r="H376" t="str">
            <v>2/2</v>
          </cell>
          <cell r="I376">
            <v>0</v>
          </cell>
          <cell r="J376">
            <v>204.2</v>
          </cell>
          <cell r="K376">
            <v>196</v>
          </cell>
          <cell r="L376">
            <v>345.8</v>
          </cell>
          <cell r="M376">
            <v>367.9</v>
          </cell>
          <cell r="N376">
            <v>266.5</v>
          </cell>
          <cell r="O376">
            <v>87.2</v>
          </cell>
          <cell r="P376">
            <v>86.4</v>
          </cell>
          <cell r="Q376">
            <v>113.4</v>
          </cell>
          <cell r="S376">
            <v>25</v>
          </cell>
          <cell r="T376" t="str">
            <v>1</v>
          </cell>
          <cell r="U376">
            <v>1236.0999999999999</v>
          </cell>
          <cell r="V376">
            <v>1238.0999999999999</v>
          </cell>
          <cell r="W376">
            <v>735.9</v>
          </cell>
          <cell r="Y376">
            <v>3.1</v>
          </cell>
          <cell r="Z376">
            <v>1236.0999999999999</v>
          </cell>
          <cell r="AA376">
            <v>1239.4000000000001</v>
          </cell>
          <cell r="AB376">
            <v>735.7</v>
          </cell>
          <cell r="AD376">
            <v>3</v>
          </cell>
          <cell r="AE376">
            <v>1236.8</v>
          </cell>
          <cell r="AF376">
            <v>1240.7</v>
          </cell>
          <cell r="AG376">
            <v>736.1</v>
          </cell>
          <cell r="AI376">
            <v>3.5</v>
          </cell>
          <cell r="AK376">
            <v>1680.48208</v>
          </cell>
          <cell r="AM376">
            <v>1865.0495900000001</v>
          </cell>
          <cell r="AO376">
            <v>1574.4322400000001</v>
          </cell>
          <cell r="AP376" t="str">
            <v>Muestra tomada en la volqueta</v>
          </cell>
          <cell r="AQ376" t="str">
            <v>-</v>
          </cell>
          <cell r="AR376">
            <v>1778</v>
          </cell>
          <cell r="AS376">
            <v>3.2</v>
          </cell>
          <cell r="AV376">
            <v>2.4483045051844563</v>
          </cell>
          <cell r="BS376">
            <v>2.58</v>
          </cell>
        </row>
        <row r="377">
          <cell r="A377">
            <v>449</v>
          </cell>
          <cell r="B377">
            <v>40288</v>
          </cell>
          <cell r="D377">
            <v>1650.2</v>
          </cell>
          <cell r="E377">
            <v>1564.8</v>
          </cell>
          <cell r="G377" t="str">
            <v>Parcheo elaboración de fallos en vías urbanas y rurales del municipio de Medellín.</v>
          </cell>
          <cell r="H377" t="str">
            <v>1/2</v>
          </cell>
          <cell r="I377">
            <v>0</v>
          </cell>
          <cell r="J377">
            <v>156.30000000000001</v>
          </cell>
          <cell r="K377">
            <v>147.5</v>
          </cell>
          <cell r="L377">
            <v>323.60000000000002</v>
          </cell>
          <cell r="M377">
            <v>375.7</v>
          </cell>
          <cell r="N377">
            <v>285</v>
          </cell>
          <cell r="O377">
            <v>85.6</v>
          </cell>
          <cell r="P377">
            <v>84.8</v>
          </cell>
          <cell r="Q377">
            <v>106.3</v>
          </cell>
          <cell r="S377">
            <v>25</v>
          </cell>
          <cell r="T377" t="str">
            <v>1</v>
          </cell>
          <cell r="U377">
            <v>1235.9000000000001</v>
          </cell>
          <cell r="V377">
            <v>1237.2</v>
          </cell>
          <cell r="W377">
            <v>738.3</v>
          </cell>
          <cell r="Y377">
            <v>3.4</v>
          </cell>
          <cell r="Z377">
            <v>1238.5</v>
          </cell>
          <cell r="AA377">
            <v>1239.3</v>
          </cell>
          <cell r="AB377">
            <v>736.8</v>
          </cell>
          <cell r="AD377">
            <v>3.4</v>
          </cell>
          <cell r="AE377">
            <v>1235.4000000000001</v>
          </cell>
          <cell r="AF377">
            <v>1236.3</v>
          </cell>
          <cell r="AG377">
            <v>734.8</v>
          </cell>
          <cell r="AI377">
            <v>3</v>
          </cell>
          <cell r="AK377">
            <v>1602.9841200000001</v>
          </cell>
          <cell r="AM377">
            <v>1769.1968500000003</v>
          </cell>
          <cell r="AO377">
            <v>1761.03917</v>
          </cell>
          <cell r="AP377" t="str">
            <v>Muestra tomada en el elevador</v>
          </cell>
          <cell r="AQ377" t="str">
            <v>-</v>
          </cell>
          <cell r="AR377">
            <v>1797</v>
          </cell>
          <cell r="AS377">
            <v>3.3</v>
          </cell>
          <cell r="AV377">
            <v>2.4612252429019832</v>
          </cell>
          <cell r="BS377">
            <v>2.5739999999999998</v>
          </cell>
        </row>
        <row r="378">
          <cell r="A378">
            <v>450</v>
          </cell>
          <cell r="B378">
            <v>40288</v>
          </cell>
          <cell r="D378">
            <v>1686.9</v>
          </cell>
          <cell r="E378">
            <v>1600.4</v>
          </cell>
          <cell r="G378" t="str">
            <v>Parcheo elaboración de fallos en vías urbanas y rurales del municipio de Medellín.</v>
          </cell>
          <cell r="H378" t="str">
            <v>2/2</v>
          </cell>
          <cell r="I378">
            <v>0</v>
          </cell>
          <cell r="J378">
            <v>145.19999999999999</v>
          </cell>
          <cell r="K378">
            <v>209.9</v>
          </cell>
          <cell r="L378">
            <v>355.3</v>
          </cell>
          <cell r="M378">
            <v>366.9</v>
          </cell>
          <cell r="N378">
            <v>254</v>
          </cell>
          <cell r="O378">
            <v>81.3</v>
          </cell>
          <cell r="P378">
            <v>85</v>
          </cell>
          <cell r="Q378">
            <v>102.8</v>
          </cell>
          <cell r="S378">
            <v>25</v>
          </cell>
          <cell r="T378" t="str">
            <v>1</v>
          </cell>
          <cell r="U378">
            <v>1237.7</v>
          </cell>
          <cell r="V378">
            <v>1239.5</v>
          </cell>
          <cell r="W378">
            <v>728.1</v>
          </cell>
          <cell r="Y378">
            <v>2.8</v>
          </cell>
          <cell r="Z378">
            <v>1237.7</v>
          </cell>
          <cell r="AA378">
            <v>1238.5</v>
          </cell>
          <cell r="AB378">
            <v>738.8</v>
          </cell>
          <cell r="AD378">
            <v>3.1</v>
          </cell>
          <cell r="AE378">
            <v>1237.0999999999999</v>
          </cell>
          <cell r="AF378">
            <v>1239.9000000000001</v>
          </cell>
          <cell r="AG378">
            <v>733.9</v>
          </cell>
          <cell r="AI378">
            <v>3.3</v>
          </cell>
          <cell r="AK378">
            <v>1501.0131200000001</v>
          </cell>
          <cell r="AM378">
            <v>1576.4716600000002</v>
          </cell>
          <cell r="AO378">
            <v>1420.4560300000001</v>
          </cell>
          <cell r="AP378" t="str">
            <v>Muestra tomada en la volqueta</v>
          </cell>
          <cell r="AQ378" t="str">
            <v>-</v>
          </cell>
          <cell r="AR378">
            <v>1552</v>
          </cell>
          <cell r="AS378">
            <v>3.1</v>
          </cell>
          <cell r="AV378">
            <v>2.4401638485070456</v>
          </cell>
          <cell r="BS378">
            <v>2.5739999999999998</v>
          </cell>
        </row>
        <row r="379">
          <cell r="A379">
            <v>451</v>
          </cell>
          <cell r="B379">
            <v>40289</v>
          </cell>
          <cell r="D379">
            <v>1700.5</v>
          </cell>
          <cell r="E379">
            <v>1619.2</v>
          </cell>
          <cell r="G379" t="str">
            <v>Parcheo elaboración de fallos en vías urbanas y rurales del municipio de Medellín.</v>
          </cell>
          <cell r="H379" t="str">
            <v>1/5</v>
          </cell>
          <cell r="I379">
            <v>0</v>
          </cell>
          <cell r="J379">
            <v>191.3</v>
          </cell>
          <cell r="K379">
            <v>191.5</v>
          </cell>
          <cell r="L379">
            <v>325.5</v>
          </cell>
          <cell r="M379">
            <v>344.2</v>
          </cell>
          <cell r="N379">
            <v>285</v>
          </cell>
          <cell r="O379">
            <v>88.5</v>
          </cell>
          <cell r="P379">
            <v>84.9</v>
          </cell>
          <cell r="Q379">
            <v>108.3</v>
          </cell>
          <cell r="S379">
            <v>25</v>
          </cell>
          <cell r="T379" t="str">
            <v>1</v>
          </cell>
          <cell r="U379">
            <v>1234.7</v>
          </cell>
          <cell r="V379">
            <v>1235.3</v>
          </cell>
          <cell r="W379">
            <v>735.3</v>
          </cell>
          <cell r="Y379">
            <v>2.9</v>
          </cell>
          <cell r="Z379">
            <v>1237</v>
          </cell>
          <cell r="AA379">
            <v>1237.5</v>
          </cell>
          <cell r="AB379">
            <v>732.8</v>
          </cell>
          <cell r="AD379">
            <v>2.7</v>
          </cell>
          <cell r="AE379">
            <v>1234.4000000000001</v>
          </cell>
          <cell r="AF379">
            <v>1235.5</v>
          </cell>
          <cell r="AG379">
            <v>732.6</v>
          </cell>
          <cell r="AI379">
            <v>2.9</v>
          </cell>
          <cell r="AK379">
            <v>1563.21543</v>
          </cell>
          <cell r="AM379">
            <v>1483.6780500000002</v>
          </cell>
          <cell r="AO379">
            <v>1519.3679000000002</v>
          </cell>
          <cell r="AP379" t="str">
            <v>Muestra tomada en el elevador</v>
          </cell>
          <cell r="AQ379" t="str">
            <v>-</v>
          </cell>
          <cell r="AR379">
            <v>1591</v>
          </cell>
          <cell r="AS379">
            <v>2.8</v>
          </cell>
          <cell r="AV379">
            <v>2.4511176147567784</v>
          </cell>
          <cell r="BS379">
            <v>2.577</v>
          </cell>
        </row>
        <row r="380">
          <cell r="A380">
            <v>452</v>
          </cell>
          <cell r="B380">
            <v>40289</v>
          </cell>
          <cell r="D380">
            <v>1603.4</v>
          </cell>
          <cell r="E380">
            <v>1525.1</v>
          </cell>
          <cell r="G380" t="str">
            <v>Parcheo elaboración de fallos en vías urbanas y rurales del municipio de Medellín.</v>
          </cell>
          <cell r="H380" t="str">
            <v>2/5</v>
          </cell>
          <cell r="I380">
            <v>0</v>
          </cell>
          <cell r="J380">
            <v>117.2</v>
          </cell>
          <cell r="K380">
            <v>199.9</v>
          </cell>
          <cell r="L380">
            <v>368.2</v>
          </cell>
          <cell r="M380">
            <v>315.3</v>
          </cell>
          <cell r="N380">
            <v>263.3</v>
          </cell>
          <cell r="O380">
            <v>82.8</v>
          </cell>
          <cell r="P380">
            <v>76.5</v>
          </cell>
          <cell r="Q380">
            <v>101.9</v>
          </cell>
          <cell r="S380">
            <v>25</v>
          </cell>
          <cell r="T380" t="str">
            <v>1</v>
          </cell>
          <cell r="U380">
            <v>1234.5999999999999</v>
          </cell>
          <cell r="V380">
            <v>1237.4000000000001</v>
          </cell>
          <cell r="W380">
            <v>731.3</v>
          </cell>
          <cell r="Y380">
            <v>2.8</v>
          </cell>
          <cell r="Z380">
            <v>1237.5999999999999</v>
          </cell>
          <cell r="AA380">
            <v>1239.9000000000001</v>
          </cell>
          <cell r="AB380">
            <v>732.9</v>
          </cell>
          <cell r="AD380">
            <v>3.6</v>
          </cell>
          <cell r="AE380">
            <v>1236.4000000000001</v>
          </cell>
          <cell r="AF380">
            <v>1239.0999999999999</v>
          </cell>
          <cell r="AG380">
            <v>733.5</v>
          </cell>
          <cell r="AI380">
            <v>3</v>
          </cell>
          <cell r="AK380">
            <v>1244.0462</v>
          </cell>
          <cell r="AM380">
            <v>1599.92499</v>
          </cell>
          <cell r="AO380">
            <v>1454.10646</v>
          </cell>
          <cell r="AP380" t="str">
            <v>Muestra tomada en la volqueta</v>
          </cell>
          <cell r="AQ380" t="str">
            <v>-</v>
          </cell>
          <cell r="AR380">
            <v>1479</v>
          </cell>
          <cell r="AS380">
            <v>3.1</v>
          </cell>
          <cell r="AV380">
            <v>2.4348158975203309</v>
          </cell>
          <cell r="BS380">
            <v>2.577</v>
          </cell>
        </row>
        <row r="381">
          <cell r="A381">
            <v>453</v>
          </cell>
          <cell r="B381">
            <v>40289</v>
          </cell>
          <cell r="D381">
            <v>1661.9</v>
          </cell>
          <cell r="E381">
            <v>1578.7</v>
          </cell>
          <cell r="G381" t="str">
            <v>Parcheo elaboración de fallos en vías urbanas y rurales del municipio de Medellín.</v>
          </cell>
          <cell r="H381" t="str">
            <v>3/5</v>
          </cell>
          <cell r="I381">
            <v>0</v>
          </cell>
          <cell r="J381">
            <v>183.5</v>
          </cell>
          <cell r="K381">
            <v>170.9</v>
          </cell>
          <cell r="L381">
            <v>310.2</v>
          </cell>
          <cell r="M381">
            <v>347.2</v>
          </cell>
          <cell r="N381">
            <v>292.39999999999998</v>
          </cell>
          <cell r="O381">
            <v>87.3</v>
          </cell>
          <cell r="P381">
            <v>81.400000000000006</v>
          </cell>
          <cell r="Q381">
            <v>105.8</v>
          </cell>
          <cell r="S381">
            <v>25</v>
          </cell>
          <cell r="T381" t="str">
            <v>1</v>
          </cell>
          <cell r="AK381">
            <v>0</v>
          </cell>
          <cell r="AM381">
            <v>0</v>
          </cell>
          <cell r="AO381">
            <v>0</v>
          </cell>
          <cell r="AP381" t="str">
            <v>Muestra tomada en el elevador</v>
          </cell>
          <cell r="AQ381" t="str">
            <v>Muestra tomada en planta, en cojunto con el Laboratorio de AIM, (Volqueta GPI 602)</v>
          </cell>
          <cell r="AR381">
            <v>0</v>
          </cell>
          <cell r="AS381">
            <v>0</v>
          </cell>
          <cell r="AV381">
            <v>0</v>
          </cell>
          <cell r="BS381">
            <v>2.577</v>
          </cell>
        </row>
        <row r="382">
          <cell r="A382">
            <v>454</v>
          </cell>
          <cell r="B382">
            <v>40289</v>
          </cell>
          <cell r="D382">
            <v>1666.2</v>
          </cell>
          <cell r="E382">
            <v>1583.7</v>
          </cell>
          <cell r="G382" t="str">
            <v>Parcheo elaboración de fallos en vías urbanas y rurales del municipio de Medellín.</v>
          </cell>
          <cell r="H382" t="str">
            <v>4/5</v>
          </cell>
          <cell r="I382">
            <v>0</v>
          </cell>
          <cell r="J382">
            <v>181.4</v>
          </cell>
          <cell r="K382">
            <v>148.30000000000001</v>
          </cell>
          <cell r="L382">
            <v>316.8</v>
          </cell>
          <cell r="M382">
            <v>364</v>
          </cell>
          <cell r="N382">
            <v>286.2</v>
          </cell>
          <cell r="O382">
            <v>85.3</v>
          </cell>
          <cell r="P382">
            <v>86</v>
          </cell>
          <cell r="Q382">
            <v>115.7</v>
          </cell>
          <cell r="S382">
            <v>25</v>
          </cell>
          <cell r="T382" t="str">
            <v>1</v>
          </cell>
          <cell r="AK382">
            <v>0</v>
          </cell>
          <cell r="AM382">
            <v>0</v>
          </cell>
          <cell r="AO382">
            <v>0</v>
          </cell>
          <cell r="AP382" t="str">
            <v>Muestra tomada en el elevador</v>
          </cell>
          <cell r="AQ382" t="str">
            <v>Muestra tomada en planta, en cojunto con el Laboratorio de AIM.</v>
          </cell>
          <cell r="AR382">
            <v>0</v>
          </cell>
          <cell r="AS382">
            <v>0</v>
          </cell>
          <cell r="AV382">
            <v>0</v>
          </cell>
          <cell r="BS382">
            <v>2.577</v>
          </cell>
        </row>
        <row r="383">
          <cell r="A383">
            <v>455</v>
          </cell>
          <cell r="B383">
            <v>40289</v>
          </cell>
          <cell r="D383">
            <v>1609</v>
          </cell>
          <cell r="E383">
            <v>1531.4</v>
          </cell>
          <cell r="G383" t="str">
            <v>Parcheo elaboración de fallos en vías urbanas y rurales del municipio de Medellín.</v>
          </cell>
          <cell r="H383" t="str">
            <v>5/5</v>
          </cell>
          <cell r="I383">
            <v>0</v>
          </cell>
          <cell r="J383">
            <v>187.3</v>
          </cell>
          <cell r="K383">
            <v>197.8</v>
          </cell>
          <cell r="L383">
            <v>285.5</v>
          </cell>
          <cell r="M383">
            <v>315.7</v>
          </cell>
          <cell r="N383">
            <v>277.7</v>
          </cell>
          <cell r="O383">
            <v>83.5</v>
          </cell>
          <cell r="P383">
            <v>78.900000000000006</v>
          </cell>
          <cell r="Q383">
            <v>105</v>
          </cell>
          <cell r="S383">
            <v>25</v>
          </cell>
          <cell r="T383" t="str">
            <v>1</v>
          </cell>
          <cell r="U383">
            <v>1221.5</v>
          </cell>
          <cell r="V383">
            <v>1222</v>
          </cell>
          <cell r="W383">
            <v>730.1</v>
          </cell>
          <cell r="Y383">
            <v>3.5</v>
          </cell>
          <cell r="Z383">
            <v>1255.5999999999999</v>
          </cell>
          <cell r="AA383">
            <v>1256.4000000000001</v>
          </cell>
          <cell r="AB383">
            <v>745.9</v>
          </cell>
          <cell r="AD383">
            <v>3.5</v>
          </cell>
          <cell r="AE383">
            <v>1295.9000000000001</v>
          </cell>
          <cell r="AF383">
            <v>1296.5</v>
          </cell>
          <cell r="AG383">
            <v>770.5</v>
          </cell>
          <cell r="AI383">
            <v>3.4</v>
          </cell>
          <cell r="AK383">
            <v>1903.7985700000002</v>
          </cell>
          <cell r="AM383">
            <v>1750.8420700000001</v>
          </cell>
          <cell r="AO383">
            <v>1792.6501799999999</v>
          </cell>
          <cell r="AP383" t="str">
            <v>Tama en obra, Perque Arví K7+030/160 LI. Segunda capa (volqueta TPZ807)</v>
          </cell>
          <cell r="AQ383" t="str">
            <v>-</v>
          </cell>
          <cell r="AR383">
            <v>1860</v>
          </cell>
          <cell r="AS383">
            <v>3.5</v>
          </cell>
          <cell r="AV383">
            <v>2.461600686568254</v>
          </cell>
          <cell r="BS383">
            <v>2.577</v>
          </cell>
        </row>
        <row r="384">
          <cell r="A384">
            <v>456</v>
          </cell>
          <cell r="B384">
            <v>40290</v>
          </cell>
          <cell r="D384">
            <v>1673.9</v>
          </cell>
          <cell r="E384">
            <v>1588.8</v>
          </cell>
          <cell r="G384" t="str">
            <v>Parcheo elaboración de fallos en vías urbanas y rurales del municipio de Medellín; Consorcio Vial Santa Elena.</v>
          </cell>
          <cell r="H384" t="str">
            <v>1/3</v>
          </cell>
          <cell r="I384">
            <v>0</v>
          </cell>
          <cell r="J384">
            <v>190.8</v>
          </cell>
          <cell r="K384">
            <v>166.2</v>
          </cell>
          <cell r="L384">
            <v>285.7</v>
          </cell>
          <cell r="M384">
            <v>352.2</v>
          </cell>
          <cell r="N384">
            <v>302.7</v>
          </cell>
          <cell r="O384">
            <v>90.1</v>
          </cell>
          <cell r="P384">
            <v>84.4</v>
          </cell>
          <cell r="Q384">
            <v>116.7</v>
          </cell>
          <cell r="S384">
            <v>25</v>
          </cell>
          <cell r="T384" t="str">
            <v>1</v>
          </cell>
          <cell r="U384">
            <v>1236.5999999999999</v>
          </cell>
          <cell r="V384">
            <v>1237.5</v>
          </cell>
          <cell r="W384">
            <v>734.5</v>
          </cell>
          <cell r="Y384">
            <v>3.1</v>
          </cell>
          <cell r="Z384">
            <v>1239.5</v>
          </cell>
          <cell r="AA384">
            <v>1240.4000000000001</v>
          </cell>
          <cell r="AB384">
            <v>736.9</v>
          </cell>
          <cell r="AD384">
            <v>3.4</v>
          </cell>
          <cell r="AE384">
            <v>1237</v>
          </cell>
          <cell r="AF384">
            <v>1238</v>
          </cell>
          <cell r="AG384">
            <v>735.7</v>
          </cell>
          <cell r="AI384">
            <v>3.1</v>
          </cell>
          <cell r="AK384">
            <v>1605.0235400000001</v>
          </cell>
          <cell r="AM384">
            <v>1722.2901900000002</v>
          </cell>
          <cell r="AO384">
            <v>1779.3939499999999</v>
          </cell>
          <cell r="AP384" t="str">
            <v>Muestra tomada en el elevador</v>
          </cell>
          <cell r="AQ384" t="str">
            <v>-</v>
          </cell>
          <cell r="AR384">
            <v>1777</v>
          </cell>
          <cell r="AS384">
            <v>3.2</v>
          </cell>
          <cell r="AV384">
            <v>2.4537645638824479</v>
          </cell>
          <cell r="BS384">
            <v>2.5790000000000002</v>
          </cell>
        </row>
        <row r="385">
          <cell r="A385">
            <v>457</v>
          </cell>
          <cell r="B385">
            <v>40290</v>
          </cell>
          <cell r="D385">
            <v>1671.3</v>
          </cell>
          <cell r="E385">
            <v>1592.8</v>
          </cell>
          <cell r="G385" t="str">
            <v>Parcheo elaboración de fallos en vías urbanas y rurales del municipio de Medellín; Consorcio Vial Santa Elena.</v>
          </cell>
          <cell r="H385" t="str">
            <v>2/3</v>
          </cell>
          <cell r="I385">
            <v>0</v>
          </cell>
          <cell r="J385">
            <v>194.2</v>
          </cell>
          <cell r="K385">
            <v>150.5</v>
          </cell>
          <cell r="L385">
            <v>310.2</v>
          </cell>
          <cell r="M385">
            <v>362.5</v>
          </cell>
          <cell r="N385">
            <v>290.10000000000002</v>
          </cell>
          <cell r="O385">
            <v>92.6</v>
          </cell>
          <cell r="P385">
            <v>86.2</v>
          </cell>
          <cell r="Q385">
            <v>106.5</v>
          </cell>
          <cell r="S385">
            <v>25</v>
          </cell>
          <cell r="T385" t="str">
            <v>1</v>
          </cell>
          <cell r="U385">
            <v>1235.8</v>
          </cell>
          <cell r="V385">
            <v>1237</v>
          </cell>
          <cell r="W385">
            <v>734.2</v>
          </cell>
          <cell r="Y385">
            <v>3</v>
          </cell>
          <cell r="Z385">
            <v>1236.3</v>
          </cell>
          <cell r="AA385">
            <v>1237</v>
          </cell>
          <cell r="AB385">
            <v>732.6</v>
          </cell>
          <cell r="AD385">
            <v>3.2</v>
          </cell>
          <cell r="AE385">
            <v>1234</v>
          </cell>
          <cell r="AF385">
            <v>1235.2</v>
          </cell>
          <cell r="AG385">
            <v>733.5</v>
          </cell>
          <cell r="AI385">
            <v>3.5</v>
          </cell>
          <cell r="AK385">
            <v>1488.7765999999999</v>
          </cell>
          <cell r="AM385">
            <v>1433.71226</v>
          </cell>
          <cell r="AO385">
            <v>1773.2756900000002</v>
          </cell>
          <cell r="AP385" t="str">
            <v>Muestra tomada en el elevador</v>
          </cell>
          <cell r="AQ385" t="str">
            <v>Muestra tomada en planta, en cojunto con el Laboratorio de AIM. (volqueta TOA 364)</v>
          </cell>
          <cell r="AR385">
            <v>1634</v>
          </cell>
          <cell r="AS385">
            <v>3.2</v>
          </cell>
          <cell r="AV385">
            <v>2.4489838013220333</v>
          </cell>
          <cell r="BS385">
            <v>2.5790000000000002</v>
          </cell>
        </row>
        <row r="386">
          <cell r="A386">
            <v>458</v>
          </cell>
          <cell r="B386">
            <v>40290</v>
          </cell>
          <cell r="D386">
            <v>1590.1</v>
          </cell>
          <cell r="E386">
            <v>1509.6</v>
          </cell>
          <cell r="G386" t="str">
            <v>Parcheo elaboración de fallos en vías urbanas y rurales del municipio de Medellín; Consorcio Vial Santa Elena.</v>
          </cell>
          <cell r="H386" t="str">
            <v>3/3</v>
          </cell>
          <cell r="I386">
            <v>0</v>
          </cell>
          <cell r="J386">
            <v>165</v>
          </cell>
          <cell r="K386">
            <v>153.30000000000001</v>
          </cell>
          <cell r="L386">
            <v>313</v>
          </cell>
          <cell r="M386">
            <v>336.3</v>
          </cell>
          <cell r="N386">
            <v>280.89999999999998</v>
          </cell>
          <cell r="O386">
            <v>87</v>
          </cell>
          <cell r="P386">
            <v>79.599999999999994</v>
          </cell>
          <cell r="Q386">
            <v>94.5</v>
          </cell>
          <cell r="S386">
            <v>25</v>
          </cell>
          <cell r="T386" t="str">
            <v>1</v>
          </cell>
          <cell r="AK386">
            <v>0</v>
          </cell>
          <cell r="AM386">
            <v>0</v>
          </cell>
          <cell r="AO386">
            <v>0</v>
          </cell>
          <cell r="AP386" t="str">
            <v>Muestra tomada en el elevador</v>
          </cell>
          <cell r="AQ386" t="str">
            <v>Muestra tomada en planta, en cojunto con el Laboratorio de AIM. (volqueta OLA 123)</v>
          </cell>
          <cell r="AR386">
            <v>0</v>
          </cell>
          <cell r="AS386">
            <v>0</v>
          </cell>
          <cell r="AV386">
            <v>0</v>
          </cell>
          <cell r="BS386">
            <v>2.5790000000000002</v>
          </cell>
        </row>
        <row r="387">
          <cell r="A387">
            <v>459</v>
          </cell>
          <cell r="B387">
            <v>40291</v>
          </cell>
          <cell r="D387">
            <v>1608.5</v>
          </cell>
          <cell r="E387">
            <v>1528.6</v>
          </cell>
          <cell r="G387" t="str">
            <v>Parcheo elaboración de fallos en vías urbanas y rurales del municipio de Medellín; Consorcio Vial Santa Elena.</v>
          </cell>
          <cell r="H387" t="str">
            <v>1/2</v>
          </cell>
          <cell r="I387">
            <v>0</v>
          </cell>
          <cell r="J387">
            <v>171.9</v>
          </cell>
          <cell r="K387">
            <v>171.8</v>
          </cell>
          <cell r="L387">
            <v>313.5</v>
          </cell>
          <cell r="M387">
            <v>328</v>
          </cell>
          <cell r="N387">
            <v>271.89999999999998</v>
          </cell>
          <cell r="O387">
            <v>84.4</v>
          </cell>
          <cell r="P387">
            <v>80.599999999999994</v>
          </cell>
          <cell r="Q387">
            <v>106.5</v>
          </cell>
          <cell r="S387">
            <v>25</v>
          </cell>
          <cell r="T387" t="str">
            <v>1</v>
          </cell>
          <cell r="U387">
            <v>1234.5999999999999</v>
          </cell>
          <cell r="V387">
            <v>1236.5</v>
          </cell>
          <cell r="W387">
            <v>732.1</v>
          </cell>
          <cell r="Y387">
            <v>2.8</v>
          </cell>
          <cell r="Z387">
            <v>1238</v>
          </cell>
          <cell r="AA387">
            <v>1239.9000000000001</v>
          </cell>
          <cell r="AB387">
            <v>733.1</v>
          </cell>
          <cell r="AD387">
            <v>3.2</v>
          </cell>
          <cell r="AE387">
            <v>1232</v>
          </cell>
          <cell r="AF387">
            <v>1234.5999999999999</v>
          </cell>
          <cell r="AG387">
            <v>730</v>
          </cell>
          <cell r="AI387">
            <v>3</v>
          </cell>
          <cell r="AK387">
            <v>1648.8710700000001</v>
          </cell>
          <cell r="AM387">
            <v>1649.8907799999999</v>
          </cell>
          <cell r="AO387">
            <v>1600.9447</v>
          </cell>
          <cell r="AP387" t="str">
            <v>Muestra tomada en el elevador</v>
          </cell>
          <cell r="AQ387" t="str">
            <v>Muestra tomada en planta, en cojunto con el Laboratorio de AIM. (volqueta TPZ807)</v>
          </cell>
          <cell r="AR387">
            <v>1692</v>
          </cell>
          <cell r="AS387">
            <v>3</v>
          </cell>
          <cell r="AV387">
            <v>2.4368435410476783</v>
          </cell>
          <cell r="BS387">
            <v>2.58</v>
          </cell>
        </row>
        <row r="388">
          <cell r="A388">
            <v>460</v>
          </cell>
          <cell r="B388">
            <v>40291</v>
          </cell>
          <cell r="D388">
            <v>1658.3</v>
          </cell>
          <cell r="E388">
            <v>1575</v>
          </cell>
          <cell r="G388" t="str">
            <v>Parcheo elaboración de fallos en vías urbanas y rurales del municipio de Medellín; Consorcio Vial Santa Elena.</v>
          </cell>
          <cell r="H388" t="str">
            <v>2/2</v>
          </cell>
          <cell r="I388">
            <v>0</v>
          </cell>
          <cell r="J388">
            <v>182</v>
          </cell>
          <cell r="K388">
            <v>138</v>
          </cell>
          <cell r="L388">
            <v>356.2</v>
          </cell>
          <cell r="M388">
            <v>340</v>
          </cell>
          <cell r="N388">
            <v>285.10000000000002</v>
          </cell>
          <cell r="O388">
            <v>87.1</v>
          </cell>
          <cell r="P388">
            <v>79.099999999999994</v>
          </cell>
          <cell r="Q388">
            <v>107.5</v>
          </cell>
          <cell r="S388">
            <v>25</v>
          </cell>
          <cell r="T388" t="str">
            <v>1</v>
          </cell>
          <cell r="U388">
            <v>1236.0999999999999</v>
          </cell>
          <cell r="V388">
            <v>1236.8</v>
          </cell>
          <cell r="W388">
            <v>733.7</v>
          </cell>
          <cell r="Y388">
            <v>3</v>
          </cell>
          <cell r="Z388">
            <v>1232.5999999999999</v>
          </cell>
          <cell r="AA388">
            <v>1234</v>
          </cell>
          <cell r="AB388">
            <v>729.6</v>
          </cell>
          <cell r="AD388">
            <v>2.8</v>
          </cell>
          <cell r="AE388">
            <v>1237.8</v>
          </cell>
          <cell r="AF388">
            <v>1240.3</v>
          </cell>
          <cell r="AG388">
            <v>731.5</v>
          </cell>
          <cell r="AI388">
            <v>3.6</v>
          </cell>
          <cell r="AK388">
            <v>1693.73831</v>
          </cell>
          <cell r="AM388">
            <v>1445.9487799999999</v>
          </cell>
          <cell r="AO388">
            <v>1562.1957200000002</v>
          </cell>
          <cell r="AP388" t="str">
            <v>Muestra tomada en el elevador</v>
          </cell>
          <cell r="AQ388" t="str">
            <v>Muestra tomada en planta, en cojunto con el Laboratorio de AIM. (volqueta OLB123)</v>
          </cell>
          <cell r="AR388">
            <v>1623</v>
          </cell>
          <cell r="AS388">
            <v>3.1</v>
          </cell>
          <cell r="AV388">
            <v>2.4373316589781262</v>
          </cell>
          <cell r="BS388">
            <v>2.58</v>
          </cell>
        </row>
        <row r="389">
          <cell r="A389">
            <v>461</v>
          </cell>
          <cell r="B389">
            <v>40292</v>
          </cell>
          <cell r="D389">
            <v>1642.9</v>
          </cell>
          <cell r="E389">
            <v>1562.9</v>
          </cell>
          <cell r="G389" t="str">
            <v>Consorcio Vial Santa Elena.</v>
          </cell>
          <cell r="H389" t="str">
            <v>1/2</v>
          </cell>
          <cell r="I389">
            <v>0</v>
          </cell>
          <cell r="J389">
            <v>201.9</v>
          </cell>
          <cell r="K389">
            <v>168.4</v>
          </cell>
          <cell r="L389">
            <v>304.7</v>
          </cell>
          <cell r="M389">
            <v>334.2</v>
          </cell>
          <cell r="N389">
            <v>277.10000000000002</v>
          </cell>
          <cell r="O389">
            <v>84.8</v>
          </cell>
          <cell r="P389">
            <v>83.4</v>
          </cell>
          <cell r="Q389">
            <v>108.4</v>
          </cell>
          <cell r="S389">
            <v>25</v>
          </cell>
          <cell r="T389" t="str">
            <v>1</v>
          </cell>
          <cell r="U389">
            <v>1234.7</v>
          </cell>
          <cell r="V389">
            <v>1235.3</v>
          </cell>
          <cell r="W389">
            <v>733.3</v>
          </cell>
          <cell r="Y389">
            <v>3.3</v>
          </cell>
          <cell r="Z389">
            <v>1236.4000000000001</v>
          </cell>
          <cell r="AA389">
            <v>1237.5</v>
          </cell>
          <cell r="AB389">
            <v>731.7</v>
          </cell>
          <cell r="AD389">
            <v>3.3</v>
          </cell>
          <cell r="AE389">
            <v>1235.4000000000001</v>
          </cell>
          <cell r="AF389">
            <v>1237.7</v>
          </cell>
          <cell r="AG389">
            <v>731.2</v>
          </cell>
          <cell r="AI389">
            <v>3.2</v>
          </cell>
          <cell r="AK389">
            <v>1592.78702</v>
          </cell>
          <cell r="AM389">
            <v>1563.21543</v>
          </cell>
          <cell r="AO389">
            <v>1483.6780500000002</v>
          </cell>
          <cell r="AP389" t="str">
            <v>Muestra tomada en el elevador</v>
          </cell>
          <cell r="AQ389" t="str">
            <v>-</v>
          </cell>
          <cell r="AR389">
            <v>1605</v>
          </cell>
          <cell r="AS389">
            <v>3.3</v>
          </cell>
          <cell r="AV389">
            <v>2.4405398140954153</v>
          </cell>
          <cell r="BS389">
            <v>2.577</v>
          </cell>
        </row>
        <row r="390">
          <cell r="A390">
            <v>462</v>
          </cell>
          <cell r="B390">
            <v>40292</v>
          </cell>
          <cell r="D390">
            <v>1647.4</v>
          </cell>
          <cell r="E390">
            <v>1562</v>
          </cell>
          <cell r="G390" t="str">
            <v>Consorcio Vial Santa Elena.</v>
          </cell>
          <cell r="H390" t="str">
            <v>2/2</v>
          </cell>
          <cell r="I390">
            <v>0</v>
          </cell>
          <cell r="J390">
            <v>204.5</v>
          </cell>
          <cell r="K390">
            <v>145.6</v>
          </cell>
          <cell r="L390">
            <v>310.3</v>
          </cell>
          <cell r="M390">
            <v>334.7</v>
          </cell>
          <cell r="N390">
            <v>291.5</v>
          </cell>
          <cell r="O390">
            <v>84.9</v>
          </cell>
          <cell r="P390">
            <v>85.7</v>
          </cell>
          <cell r="Q390">
            <v>104.8</v>
          </cell>
          <cell r="S390">
            <v>25</v>
          </cell>
          <cell r="T390" t="str">
            <v>1</v>
          </cell>
          <cell r="U390">
            <v>1238.4000000000001</v>
          </cell>
          <cell r="V390">
            <v>1239.0999999999999</v>
          </cell>
          <cell r="W390">
            <v>737.6</v>
          </cell>
          <cell r="Y390">
            <v>3.2</v>
          </cell>
          <cell r="Z390">
            <v>1236.5</v>
          </cell>
          <cell r="AA390">
            <v>1237.5999999999999</v>
          </cell>
          <cell r="AB390">
            <v>734.4</v>
          </cell>
          <cell r="AD390">
            <v>2.9</v>
          </cell>
          <cell r="AE390">
            <v>1237.3</v>
          </cell>
          <cell r="AF390">
            <v>1238.4000000000001</v>
          </cell>
          <cell r="AG390">
            <v>735.5</v>
          </cell>
          <cell r="AI390">
            <v>3.5</v>
          </cell>
          <cell r="AK390">
            <v>1701.8959900000002</v>
          </cell>
          <cell r="AM390">
            <v>1511.2102200000002</v>
          </cell>
          <cell r="AO390">
            <v>1670.2849799999999</v>
          </cell>
          <cell r="AP390" t="str">
            <v>Muestra tomada en la volqueta</v>
          </cell>
          <cell r="AQ390" t="str">
            <v>-</v>
          </cell>
          <cell r="AR390">
            <v>1701</v>
          </cell>
          <cell r="AS390">
            <v>3.2</v>
          </cell>
          <cell r="AV390">
            <v>2.4551294661743834</v>
          </cell>
          <cell r="BS390">
            <v>2.577</v>
          </cell>
        </row>
        <row r="391">
          <cell r="A391">
            <v>463</v>
          </cell>
          <cell r="B391">
            <v>40294</v>
          </cell>
          <cell r="D391">
            <v>1649.3</v>
          </cell>
          <cell r="E391">
            <v>1564.7</v>
          </cell>
          <cell r="G391" t="str">
            <v>Parcheo elaboración de fallos en vías urbanas y rurales del municipio de Medellín; Consorcio Vial Santa Elena.</v>
          </cell>
          <cell r="H391" t="str">
            <v>1/2</v>
          </cell>
          <cell r="I391">
            <v>0</v>
          </cell>
          <cell r="J391">
            <v>179.6</v>
          </cell>
          <cell r="K391">
            <v>165.4</v>
          </cell>
          <cell r="L391">
            <v>315.7</v>
          </cell>
          <cell r="M391">
            <v>363.5</v>
          </cell>
          <cell r="N391">
            <v>274.7</v>
          </cell>
          <cell r="O391">
            <v>84</v>
          </cell>
          <cell r="P391">
            <v>78.7</v>
          </cell>
          <cell r="Q391">
            <v>103.1</v>
          </cell>
          <cell r="S391">
            <v>25</v>
          </cell>
          <cell r="T391" t="str">
            <v>1</v>
          </cell>
          <cell r="U391">
            <v>1238.3</v>
          </cell>
          <cell r="V391">
            <v>1239</v>
          </cell>
          <cell r="W391">
            <v>736.4</v>
          </cell>
          <cell r="Y391">
            <v>2.9</v>
          </cell>
          <cell r="Z391">
            <v>1236.7</v>
          </cell>
          <cell r="AA391">
            <v>1237.8</v>
          </cell>
          <cell r="AB391">
            <v>732.1</v>
          </cell>
          <cell r="AD391">
            <v>3.1</v>
          </cell>
          <cell r="AE391">
            <v>1235.4000000000001</v>
          </cell>
          <cell r="AF391">
            <v>1236</v>
          </cell>
          <cell r="AG391">
            <v>732.1</v>
          </cell>
          <cell r="AI391">
            <v>3.1</v>
          </cell>
          <cell r="AK391">
            <v>1521.40732</v>
          </cell>
          <cell r="AM391">
            <v>1565.25485</v>
          </cell>
          <cell r="AO391">
            <v>1545.8803600000001</v>
          </cell>
          <cell r="AP391" t="str">
            <v>Muestra tomada en el elevador</v>
          </cell>
          <cell r="AQ391" t="str">
            <v>-</v>
          </cell>
          <cell r="AR391">
            <v>1606</v>
          </cell>
          <cell r="AS391">
            <v>3</v>
          </cell>
          <cell r="AV391">
            <v>2.4464851319683816</v>
          </cell>
          <cell r="BS391">
            <v>2.5790000000000002</v>
          </cell>
        </row>
        <row r="392">
          <cell r="A392">
            <v>464</v>
          </cell>
          <cell r="B392">
            <v>40294</v>
          </cell>
          <cell r="D392">
            <v>1667.6</v>
          </cell>
          <cell r="E392">
            <v>1578.4</v>
          </cell>
          <cell r="G392" t="str">
            <v>Parcheo elaboración de fallos en vías urbanas y rurales del municipio de Medellín; Consorcio Vial Santa Elena.</v>
          </cell>
          <cell r="H392" t="str">
            <v>2/2</v>
          </cell>
          <cell r="I392">
            <v>0</v>
          </cell>
          <cell r="J392">
            <v>180.6</v>
          </cell>
          <cell r="K392">
            <v>174.9</v>
          </cell>
          <cell r="L392">
            <v>274.8</v>
          </cell>
          <cell r="M392">
            <v>372.9</v>
          </cell>
          <cell r="N392">
            <v>296.7</v>
          </cell>
          <cell r="O392">
            <v>85.9</v>
          </cell>
          <cell r="P392">
            <v>81.5</v>
          </cell>
          <cell r="Q392">
            <v>111.1</v>
          </cell>
          <cell r="S392">
            <v>25</v>
          </cell>
          <cell r="T392" t="str">
            <v>1</v>
          </cell>
          <cell r="U392">
            <v>1237</v>
          </cell>
          <cell r="V392">
            <v>1237.5999999999999</v>
          </cell>
          <cell r="W392">
            <v>738.3</v>
          </cell>
          <cell r="Y392">
            <v>3.4</v>
          </cell>
          <cell r="Z392">
            <v>1236.9000000000001</v>
          </cell>
          <cell r="AA392">
            <v>1237.7</v>
          </cell>
          <cell r="AB392">
            <v>739.3</v>
          </cell>
          <cell r="AD392">
            <v>3.77</v>
          </cell>
          <cell r="AE392">
            <v>1235.5</v>
          </cell>
          <cell r="AF392">
            <v>1236.5</v>
          </cell>
          <cell r="AG392">
            <v>737.4</v>
          </cell>
          <cell r="AI392">
            <v>4.32</v>
          </cell>
          <cell r="AK392">
            <v>1687.6200500000002</v>
          </cell>
          <cell r="AM392">
            <v>1712.0930900000001</v>
          </cell>
          <cell r="AO392">
            <v>1689.6594700000001</v>
          </cell>
          <cell r="AP392" t="str">
            <v>Muestra tomada en la volqueta</v>
          </cell>
          <cell r="AQ392" t="str">
            <v>-</v>
          </cell>
          <cell r="AR392">
            <v>1794</v>
          </cell>
          <cell r="AS392">
            <v>3.8</v>
          </cell>
          <cell r="AV392">
            <v>2.4709731505797983</v>
          </cell>
          <cell r="BS392">
            <v>2.5790000000000002</v>
          </cell>
        </row>
        <row r="393">
          <cell r="A393">
            <v>465</v>
          </cell>
        </row>
        <row r="394">
          <cell r="A394">
            <v>466</v>
          </cell>
        </row>
        <row r="395">
          <cell r="A395">
            <v>467</v>
          </cell>
        </row>
        <row r="396">
          <cell r="A396">
            <v>468</v>
          </cell>
        </row>
        <row r="406">
          <cell r="B406">
            <v>40256.214285714283</v>
          </cell>
          <cell r="D406">
            <v>1500.4142857142858</v>
          </cell>
          <cell r="E406">
            <v>1424.5714285714287</v>
          </cell>
          <cell r="G406" t="e">
            <v>#DIV/0!</v>
          </cell>
          <cell r="H406" t="e">
            <v>#DIV/0!</v>
          </cell>
          <cell r="I406">
            <v>0</v>
          </cell>
          <cell r="J406">
            <v>175.02857142857144</v>
          </cell>
          <cell r="K406">
            <v>179.42142857142855</v>
          </cell>
          <cell r="L406">
            <v>295.70714285714291</v>
          </cell>
          <cell r="M406">
            <v>311.59999999999997</v>
          </cell>
          <cell r="N406">
            <v>228.67857142857142</v>
          </cell>
          <cell r="O406">
            <v>76.25</v>
          </cell>
          <cell r="P406">
            <v>71.842857142857142</v>
          </cell>
          <cell r="Q406">
            <v>86.04285714285713</v>
          </cell>
          <cell r="S406">
            <v>25</v>
          </cell>
          <cell r="T406" t="e">
            <v>#DIV/0!</v>
          </cell>
          <cell r="U406">
            <v>1236.6846153846154</v>
          </cell>
          <cell r="V406">
            <v>1237.9692307692308</v>
          </cell>
          <cell r="W406">
            <v>733.68461538461531</v>
          </cell>
          <cell r="Y406">
            <v>3.3</v>
          </cell>
          <cell r="Z406">
            <v>1235.823076923077</v>
          </cell>
          <cell r="AA406">
            <v>1238.3615384615387</v>
          </cell>
          <cell r="AB406">
            <v>733.14615384615399</v>
          </cell>
          <cell r="AD406">
            <v>3.2946153846153838</v>
          </cell>
          <cell r="AE406">
            <v>1234.6384615384616</v>
          </cell>
          <cell r="AF406">
            <v>1237.5538461538463</v>
          </cell>
          <cell r="AG406">
            <v>731.7</v>
          </cell>
          <cell r="AI406">
            <v>3.2999999999999994</v>
          </cell>
          <cell r="AK406">
            <v>1347.5467649999998</v>
          </cell>
          <cell r="AM406">
            <v>1274.4918271428573</v>
          </cell>
          <cell r="AO406">
            <v>1320.8886321428574</v>
          </cell>
          <cell r="AP406" t="e">
            <v>#DIV/0!</v>
          </cell>
          <cell r="AQ406" t="e">
            <v>#DIV/0!</v>
          </cell>
          <cell r="AR406">
            <v>1467.1538461538462</v>
          </cell>
          <cell r="AS406">
            <v>3.2923076923076922</v>
          </cell>
          <cell r="AV406">
            <v>2.439350958853634</v>
          </cell>
        </row>
        <row r="408">
          <cell r="B408">
            <v>40254.75</v>
          </cell>
          <cell r="D408">
            <v>1500.8624999999997</v>
          </cell>
          <cell r="E408">
            <v>1426.8125</v>
          </cell>
          <cell r="G408" t="e">
            <v>#DIV/0!</v>
          </cell>
          <cell r="H408" t="e">
            <v>#DIV/0!</v>
          </cell>
          <cell r="I408">
            <v>0</v>
          </cell>
          <cell r="J408">
            <v>167.51249999999999</v>
          </cell>
          <cell r="K408">
            <v>194.23750000000001</v>
          </cell>
          <cell r="L408">
            <v>289.78749999999997</v>
          </cell>
          <cell r="M408">
            <v>310.4375</v>
          </cell>
          <cell r="N408">
            <v>224.83750000000001</v>
          </cell>
          <cell r="O408">
            <v>78.975000000000009</v>
          </cell>
          <cell r="P408">
            <v>74.350000000000009</v>
          </cell>
          <cell r="Q408">
            <v>86.212500000000006</v>
          </cell>
          <cell r="S408">
            <v>25</v>
          </cell>
          <cell r="T408" t="e">
            <v>#DIV/0!</v>
          </cell>
          <cell r="U408">
            <v>1235.4000000000001</v>
          </cell>
          <cell r="V408">
            <v>1236.9142857142856</v>
          </cell>
          <cell r="W408">
            <v>733.48571428571438</v>
          </cell>
          <cell r="Y408">
            <v>3.2285714285714282</v>
          </cell>
          <cell r="Z408">
            <v>1236.0285714285715</v>
          </cell>
          <cell r="AA408">
            <v>1237.7714285714285</v>
          </cell>
          <cell r="AB408">
            <v>732.4571428571428</v>
          </cell>
          <cell r="AD408">
            <v>3.1628571428571428</v>
          </cell>
          <cell r="AE408">
            <v>1234.2857142857142</v>
          </cell>
          <cell r="AF408">
            <v>1236.042857142857</v>
          </cell>
          <cell r="AG408">
            <v>731.80000000000007</v>
          </cell>
          <cell r="AI408">
            <v>3.3057142857142856</v>
          </cell>
          <cell r="AK408">
            <v>1502.4698485714287</v>
          </cell>
          <cell r="AM408">
            <v>1453.2324228571429</v>
          </cell>
          <cell r="AO408">
            <v>1401.5185585714287</v>
          </cell>
          <cell r="AP408" t="e">
            <v>#DIV/0!</v>
          </cell>
          <cell r="AQ408" t="e">
            <v>#DIV/0!</v>
          </cell>
          <cell r="AR408">
            <v>1509.2857142857142</v>
          </cell>
          <cell r="AS408">
            <v>3.2285714285714286</v>
          </cell>
          <cell r="AV408">
            <v>2.4421858715658571</v>
          </cell>
        </row>
        <row r="412">
          <cell r="B412" t="str">
            <v>fecha</v>
          </cell>
        </row>
        <row r="413">
          <cell r="B413">
            <v>40170</v>
          </cell>
        </row>
        <row r="414">
          <cell r="B414">
            <v>40190</v>
          </cell>
        </row>
        <row r="415">
          <cell r="B415">
            <v>40190</v>
          </cell>
        </row>
        <row r="416">
          <cell r="B416">
            <v>40191</v>
          </cell>
        </row>
        <row r="417">
          <cell r="B417">
            <v>40191</v>
          </cell>
        </row>
        <row r="418">
          <cell r="B418">
            <v>40192</v>
          </cell>
        </row>
        <row r="419">
          <cell r="B419">
            <v>40192</v>
          </cell>
        </row>
        <row r="420">
          <cell r="B420">
            <v>40193</v>
          </cell>
        </row>
        <row r="421">
          <cell r="B421">
            <v>40193</v>
          </cell>
        </row>
        <row r="422">
          <cell r="B422">
            <v>40196</v>
          </cell>
        </row>
        <row r="423">
          <cell r="B423">
            <v>40196</v>
          </cell>
        </row>
        <row r="424">
          <cell r="B424">
            <v>40197</v>
          </cell>
        </row>
        <row r="425">
          <cell r="B425">
            <v>40197</v>
          </cell>
        </row>
        <row r="426">
          <cell r="B426">
            <v>40198</v>
          </cell>
        </row>
        <row r="427">
          <cell r="B427">
            <v>40198</v>
          </cell>
        </row>
        <row r="428">
          <cell r="B428">
            <v>40199</v>
          </cell>
        </row>
        <row r="429">
          <cell r="B429">
            <v>40199</v>
          </cell>
        </row>
        <row r="430">
          <cell r="B430">
            <v>40203</v>
          </cell>
        </row>
        <row r="431">
          <cell r="B431">
            <v>40203</v>
          </cell>
        </row>
        <row r="432">
          <cell r="B432">
            <v>40203</v>
          </cell>
        </row>
        <row r="433">
          <cell r="B433">
            <v>40204</v>
          </cell>
        </row>
        <row r="434">
          <cell r="B434">
            <v>40204</v>
          </cell>
        </row>
        <row r="435">
          <cell r="B435">
            <v>40205</v>
          </cell>
        </row>
        <row r="436">
          <cell r="B436">
            <v>40205</v>
          </cell>
        </row>
        <row r="437">
          <cell r="B437">
            <v>40206</v>
          </cell>
        </row>
        <row r="438">
          <cell r="B438">
            <v>40207</v>
          </cell>
        </row>
        <row r="439">
          <cell r="B439">
            <v>40208</v>
          </cell>
        </row>
        <row r="442">
          <cell r="B442" t="str">
            <v>% asfalto</v>
          </cell>
        </row>
        <row r="443">
          <cell r="B443">
            <v>4.8</v>
          </cell>
        </row>
        <row r="444">
          <cell r="B444">
            <v>4.9000000000000004</v>
          </cell>
        </row>
        <row r="445">
          <cell r="B445">
            <v>4.5</v>
          </cell>
          <cell r="D445" t="str">
            <v>Sin boquillas</v>
          </cell>
        </row>
        <row r="446">
          <cell r="B446">
            <v>4.7</v>
          </cell>
          <cell r="D446" t="str">
            <v>Sin boquillas</v>
          </cell>
        </row>
        <row r="447">
          <cell r="B447">
            <v>4.8</v>
          </cell>
          <cell r="D447" t="str">
            <v>Sin boquillas</v>
          </cell>
        </row>
        <row r="448">
          <cell r="B448">
            <v>4.9000000000000004</v>
          </cell>
          <cell r="D448" t="str">
            <v>Sin boquillas</v>
          </cell>
        </row>
        <row r="449">
          <cell r="B449">
            <v>4.7</v>
          </cell>
          <cell r="D449" t="str">
            <v>Sin boquillas</v>
          </cell>
        </row>
        <row r="450">
          <cell r="B450">
            <v>4.5999999999999996</v>
          </cell>
          <cell r="D450" t="str">
            <v>Sin boquillas</v>
          </cell>
        </row>
        <row r="451">
          <cell r="B451">
            <v>4.4000000000000004</v>
          </cell>
          <cell r="D451" t="str">
            <v>Sin boquillas</v>
          </cell>
        </row>
        <row r="452">
          <cell r="B452">
            <v>4.5999999999999996</v>
          </cell>
          <cell r="D452" t="str">
            <v>Sin boquillas</v>
          </cell>
        </row>
        <row r="453">
          <cell r="B453">
            <v>4.7</v>
          </cell>
          <cell r="D453" t="str">
            <v>Sin boquillas</v>
          </cell>
        </row>
        <row r="454">
          <cell r="B454">
            <v>4.8</v>
          </cell>
          <cell r="D454" t="str">
            <v>Sin boquillas</v>
          </cell>
        </row>
        <row r="455">
          <cell r="B455">
            <v>4.5999999999999996</v>
          </cell>
          <cell r="D455" t="str">
            <v>Sin boquillas</v>
          </cell>
        </row>
        <row r="456">
          <cell r="B456">
            <v>4.5999999999999996</v>
          </cell>
          <cell r="D456" t="str">
            <v>Sin boquillas</v>
          </cell>
        </row>
        <row r="457">
          <cell r="B457">
            <v>6.1</v>
          </cell>
          <cell r="D457" t="str">
            <v>Sin boquillas</v>
          </cell>
        </row>
        <row r="458">
          <cell r="B458">
            <v>5.9</v>
          </cell>
          <cell r="D458" t="str">
            <v>Sin boquillas</v>
          </cell>
        </row>
        <row r="459">
          <cell r="B459">
            <v>5.3</v>
          </cell>
          <cell r="D459" t="str">
            <v>Sin boquillas</v>
          </cell>
        </row>
        <row r="460">
          <cell r="B460">
            <v>5.4</v>
          </cell>
          <cell r="D460" t="str">
            <v>Sin boquillas</v>
          </cell>
        </row>
        <row r="461">
          <cell r="B461">
            <v>5.0999999999999996</v>
          </cell>
          <cell r="D461" t="str">
            <v>3 BOQUILLAS</v>
          </cell>
        </row>
        <row r="462">
          <cell r="B462">
            <v>5.2</v>
          </cell>
          <cell r="D462" t="str">
            <v>3 BOQUILLAS</v>
          </cell>
        </row>
        <row r="463">
          <cell r="B463">
            <v>4.8</v>
          </cell>
          <cell r="D463" t="str">
            <v>3 BOQUILLAS</v>
          </cell>
        </row>
        <row r="483">
          <cell r="AR483">
            <v>0</v>
          </cell>
        </row>
        <row r="484">
          <cell r="AR484">
            <v>0</v>
          </cell>
        </row>
        <row r="485">
          <cell r="AR485">
            <v>0</v>
          </cell>
        </row>
        <row r="486">
          <cell r="AR48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>
        <row r="5">
          <cell r="N5">
            <v>30</v>
          </cell>
          <cell r="O5">
            <v>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O"/>
      <sheetName val="PRODUCCION"/>
      <sheetName val="Prod. x Nivel"/>
      <sheetName val="CRONOG."/>
      <sheetName val="CALIDAD"/>
      <sheetName val="CIVILES"/>
      <sheetName val="BASE DAT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1">
    <tabColor indexed="50"/>
  </sheetPr>
  <dimension ref="A1:AU171"/>
  <sheetViews>
    <sheetView showGridLines="0" view="pageBreakPreview" topLeftCell="A25" zoomScaleSheetLayoutView="100" workbookViewId="0">
      <selection activeCell="L35" sqref="L35:O35"/>
    </sheetView>
  </sheetViews>
  <sheetFormatPr baseColWidth="10" defaultRowHeight="12.75" x14ac:dyDescent="0.2"/>
  <cols>
    <col min="1" max="1" width="6.42578125" style="261" customWidth="1"/>
    <col min="2" max="2" width="7" style="261" customWidth="1"/>
    <col min="3" max="3" width="6" style="261" customWidth="1"/>
    <col min="4" max="4" width="5.140625" style="261" customWidth="1"/>
    <col min="5" max="5" width="6.140625" style="261" customWidth="1"/>
    <col min="6" max="6" width="5.140625" style="261" customWidth="1"/>
    <col min="7" max="7" width="5" style="261" customWidth="1"/>
    <col min="8" max="8" width="7.85546875" style="261" customWidth="1"/>
    <col min="9" max="9" width="4.7109375" style="261" customWidth="1"/>
    <col min="10" max="10" width="7.42578125" style="261" customWidth="1"/>
    <col min="11" max="12" width="8.28515625" style="261" customWidth="1"/>
    <col min="13" max="13" width="7.7109375" style="261" customWidth="1"/>
    <col min="14" max="14" width="6.140625" style="261" customWidth="1"/>
    <col min="15" max="15" width="6" style="261" customWidth="1"/>
    <col min="16" max="16" width="22.140625" style="261" customWidth="1"/>
    <col min="17" max="17" width="17.140625" style="261" customWidth="1"/>
    <col min="18" max="22" width="11.42578125" style="261"/>
    <col min="23" max="23" width="6.28515625" style="261" customWidth="1"/>
    <col min="24" max="24" width="18.85546875" style="261" customWidth="1"/>
    <col min="25" max="16384" width="11.42578125" style="261"/>
  </cols>
  <sheetData>
    <row r="1" spans="1:47" ht="15" customHeight="1" x14ac:dyDescent="0.2">
      <c r="A1" s="942"/>
      <c r="B1" s="943"/>
      <c r="C1" s="944"/>
      <c r="D1" s="877" t="s">
        <v>139</v>
      </c>
      <c r="E1" s="878"/>
      <c r="F1" s="878"/>
      <c r="G1" s="878"/>
      <c r="H1" s="878"/>
      <c r="I1" s="878"/>
      <c r="J1" s="878"/>
      <c r="K1" s="878"/>
      <c r="L1" s="878"/>
      <c r="M1" s="878"/>
      <c r="N1" s="878"/>
      <c r="O1" s="879"/>
    </row>
    <row r="2" spans="1:47" ht="15" customHeight="1" x14ac:dyDescent="0.2">
      <c r="A2" s="945"/>
      <c r="B2" s="946"/>
      <c r="C2" s="947"/>
      <c r="D2" s="880" t="s">
        <v>372</v>
      </c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2"/>
    </row>
    <row r="3" spans="1:47" ht="15" customHeight="1" x14ac:dyDescent="0.2">
      <c r="A3" s="945"/>
      <c r="B3" s="946"/>
      <c r="C3" s="947"/>
      <c r="D3" s="883" t="s">
        <v>158</v>
      </c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5"/>
    </row>
    <row r="4" spans="1:47" ht="14.1" customHeight="1" x14ac:dyDescent="0.2">
      <c r="A4" s="945"/>
      <c r="B4" s="946"/>
      <c r="C4" s="947"/>
      <c r="D4" s="752" t="s">
        <v>165</v>
      </c>
      <c r="E4" s="753"/>
      <c r="F4" s="753"/>
      <c r="G4" s="753"/>
      <c r="H4" s="753"/>
      <c r="I4" s="753"/>
      <c r="J4" s="753"/>
      <c r="K4" s="753"/>
      <c r="L4" s="754"/>
      <c r="M4" s="752" t="s">
        <v>381</v>
      </c>
      <c r="N4" s="753"/>
      <c r="O4" s="754"/>
      <c r="Q4" s="261" t="str">
        <f>A8</f>
        <v>Tipo de mezcla asfáltica:</v>
      </c>
    </row>
    <row r="5" spans="1:47" ht="14.1" customHeight="1" x14ac:dyDescent="0.2">
      <c r="A5" s="948"/>
      <c r="B5" s="949"/>
      <c r="C5" s="950"/>
      <c r="D5" s="752" t="s">
        <v>382</v>
      </c>
      <c r="E5" s="753"/>
      <c r="F5" s="753"/>
      <c r="G5" s="753"/>
      <c r="H5" s="753"/>
      <c r="I5" s="753"/>
      <c r="J5" s="753"/>
      <c r="K5" s="753"/>
      <c r="L5" s="753"/>
      <c r="M5" s="753"/>
      <c r="N5" s="753"/>
      <c r="O5" s="754"/>
      <c r="P5" s="395"/>
      <c r="Q5" s="395" t="s">
        <v>317</v>
      </c>
      <c r="R5" s="395"/>
      <c r="S5" s="395"/>
      <c r="T5" s="395"/>
      <c r="U5" s="395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5"/>
      <c r="AG5" s="395"/>
      <c r="AH5" s="395"/>
    </row>
    <row r="6" spans="1:47" ht="14.1" customHeight="1" x14ac:dyDescent="0.2">
      <c r="A6" s="764" t="s">
        <v>193</v>
      </c>
      <c r="B6" s="765"/>
      <c r="C6" s="765"/>
      <c r="D6" s="765"/>
      <c r="E6" s="1000"/>
      <c r="F6" s="1000"/>
      <c r="G6" s="1000"/>
      <c r="H6" s="1000"/>
      <c r="I6" s="1000"/>
      <c r="J6" s="1000"/>
      <c r="K6" s="920" t="s">
        <v>216</v>
      </c>
      <c r="L6" s="920"/>
      <c r="M6" s="920"/>
      <c r="N6" s="1001"/>
      <c r="O6" s="1002"/>
      <c r="P6" s="395"/>
      <c r="Q6" s="395" t="s">
        <v>169</v>
      </c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</row>
    <row r="7" spans="1:47" ht="14.1" customHeight="1" x14ac:dyDescent="0.2">
      <c r="A7" s="758" t="s">
        <v>194</v>
      </c>
      <c r="B7" s="759"/>
      <c r="C7" s="759"/>
      <c r="D7" s="759"/>
      <c r="E7" s="965"/>
      <c r="F7" s="965"/>
      <c r="G7" s="965"/>
      <c r="H7" s="965"/>
      <c r="I7" s="965"/>
      <c r="J7" s="965"/>
      <c r="K7" s="858" t="s">
        <v>199</v>
      </c>
      <c r="L7" s="858"/>
      <c r="M7" s="858"/>
      <c r="N7" s="1003"/>
      <c r="O7" s="1004"/>
      <c r="P7" s="395"/>
      <c r="Q7" s="395" t="s">
        <v>378</v>
      </c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</row>
    <row r="8" spans="1:47" ht="14.1" customHeight="1" x14ac:dyDescent="0.2">
      <c r="A8" s="758" t="s">
        <v>208</v>
      </c>
      <c r="B8" s="759"/>
      <c r="C8" s="759"/>
      <c r="D8" s="759"/>
      <c r="E8" s="965"/>
      <c r="F8" s="965"/>
      <c r="G8" s="965"/>
      <c r="H8" s="965"/>
      <c r="I8" s="965"/>
      <c r="J8" s="965"/>
      <c r="K8" s="858" t="s">
        <v>217</v>
      </c>
      <c r="L8" s="858"/>
      <c r="M8" s="858"/>
      <c r="N8" s="966"/>
      <c r="O8" s="967"/>
      <c r="P8" s="395"/>
      <c r="Q8" s="395" t="s">
        <v>319</v>
      </c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5"/>
    </row>
    <row r="9" spans="1:47" ht="14.1" customHeight="1" x14ac:dyDescent="0.2">
      <c r="A9" s="760" t="s">
        <v>266</v>
      </c>
      <c r="B9" s="761"/>
      <c r="C9" s="761"/>
      <c r="D9" s="761"/>
      <c r="E9" s="965"/>
      <c r="F9" s="965"/>
      <c r="G9" s="965"/>
      <c r="H9" s="965"/>
      <c r="I9" s="965"/>
      <c r="J9" s="965"/>
      <c r="K9" s="858" t="s">
        <v>218</v>
      </c>
      <c r="L9" s="858"/>
      <c r="M9" s="858"/>
      <c r="N9" s="966"/>
      <c r="O9" s="967"/>
      <c r="P9" s="395"/>
      <c r="Q9" s="395" t="s">
        <v>383</v>
      </c>
      <c r="R9" s="395"/>
      <c r="S9" s="395"/>
      <c r="T9" s="395"/>
      <c r="U9" s="395"/>
      <c r="V9" s="395"/>
      <c r="W9" s="395"/>
      <c r="X9" s="395"/>
      <c r="Y9" s="395"/>
      <c r="Z9" s="395"/>
      <c r="AA9" s="395"/>
      <c r="AB9" s="395"/>
      <c r="AC9" s="395"/>
      <c r="AD9" s="395"/>
      <c r="AE9" s="395"/>
      <c r="AF9" s="395"/>
      <c r="AG9" s="395"/>
      <c r="AH9" s="395"/>
    </row>
    <row r="10" spans="1:47" ht="24.6" customHeight="1" thickBot="1" x14ac:dyDescent="0.25">
      <c r="A10" s="773" t="s">
        <v>265</v>
      </c>
      <c r="B10" s="774"/>
      <c r="C10" s="774"/>
      <c r="D10" s="774"/>
      <c r="E10" s="1005"/>
      <c r="F10" s="1005"/>
      <c r="G10" s="1005"/>
      <c r="H10" s="1005"/>
      <c r="I10" s="1005"/>
      <c r="J10" s="1005"/>
      <c r="K10" s="776" t="s">
        <v>205</v>
      </c>
      <c r="L10" s="776"/>
      <c r="M10" s="776"/>
      <c r="N10" s="1006"/>
      <c r="O10" s="1007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395"/>
      <c r="AK10" s="395"/>
      <c r="AL10" s="395"/>
      <c r="AM10" s="395"/>
      <c r="AN10" s="395"/>
      <c r="AO10" s="395"/>
      <c r="AP10" s="395"/>
    </row>
    <row r="11" spans="1:47" ht="24.95" customHeight="1" thickTop="1" x14ac:dyDescent="0.2">
      <c r="A11" s="1012" t="s">
        <v>256</v>
      </c>
      <c r="B11" s="1013"/>
      <c r="C11" s="1013"/>
      <c r="D11" s="1013"/>
      <c r="E11" s="1013"/>
      <c r="F11" s="1016" t="s">
        <v>226</v>
      </c>
      <c r="G11" s="1016"/>
      <c r="H11" s="1010" t="s">
        <v>241</v>
      </c>
      <c r="I11" s="997" t="s">
        <v>238</v>
      </c>
      <c r="J11" s="999"/>
      <c r="K11" s="997" t="s">
        <v>157</v>
      </c>
      <c r="L11" s="998"/>
      <c r="M11" s="999"/>
      <c r="N11" s="1018" t="s">
        <v>21</v>
      </c>
      <c r="O11" s="1019"/>
      <c r="P11" s="395"/>
      <c r="Q11" s="747" t="s">
        <v>157</v>
      </c>
      <c r="R11" s="747"/>
      <c r="S11" s="747"/>
      <c r="T11" s="747"/>
      <c r="U11" s="747"/>
      <c r="V11" s="747"/>
      <c r="W11" s="747"/>
      <c r="X11" s="747"/>
      <c r="Y11" s="747"/>
      <c r="Z11" s="747"/>
      <c r="AA11" s="747"/>
      <c r="AB11" s="748"/>
      <c r="AC11" s="748"/>
      <c r="AD11" s="748"/>
      <c r="AE11" s="748"/>
      <c r="AF11" s="748"/>
      <c r="AG11" s="748"/>
      <c r="AH11" s="748"/>
      <c r="AI11" s="520"/>
      <c r="AJ11" s="520"/>
      <c r="AK11" s="395"/>
      <c r="AL11" s="395"/>
      <c r="AM11" s="395"/>
      <c r="AN11" s="395"/>
      <c r="AO11" s="395"/>
      <c r="AP11" s="395"/>
    </row>
    <row r="12" spans="1:47" ht="24.95" customHeight="1" x14ac:dyDescent="0.2">
      <c r="A12" s="1014"/>
      <c r="B12" s="1015"/>
      <c r="C12" s="1015"/>
      <c r="D12" s="1015"/>
      <c r="E12" s="1015"/>
      <c r="F12" s="1017"/>
      <c r="G12" s="1017"/>
      <c r="H12" s="1011"/>
      <c r="I12" s="1008"/>
      <c r="J12" s="1009"/>
      <c r="K12" s="350" t="s">
        <v>198</v>
      </c>
      <c r="L12" s="351" t="s">
        <v>195</v>
      </c>
      <c r="M12" s="352" t="s">
        <v>214</v>
      </c>
      <c r="N12" s="353" t="s">
        <v>195</v>
      </c>
      <c r="O12" s="568" t="s">
        <v>215</v>
      </c>
      <c r="P12" s="395"/>
      <c r="Q12" s="681" t="s">
        <v>198</v>
      </c>
      <c r="R12" s="682"/>
      <c r="S12" s="682"/>
      <c r="T12" s="682"/>
      <c r="U12" s="683"/>
      <c r="V12" s="678" t="s">
        <v>195</v>
      </c>
      <c r="W12" s="679"/>
      <c r="X12" s="679"/>
      <c r="Y12" s="679"/>
      <c r="Z12" s="680"/>
      <c r="AA12" s="678" t="s">
        <v>214</v>
      </c>
      <c r="AB12" s="679"/>
      <c r="AC12" s="679"/>
      <c r="AD12" s="679"/>
      <c r="AE12" s="680"/>
      <c r="AF12" s="675" t="s">
        <v>195</v>
      </c>
      <c r="AG12" s="676"/>
      <c r="AH12" s="676"/>
      <c r="AI12" s="676"/>
      <c r="AJ12" s="677"/>
      <c r="AK12" s="675" t="s">
        <v>215</v>
      </c>
      <c r="AL12" s="676"/>
      <c r="AM12" s="676"/>
      <c r="AN12" s="676"/>
      <c r="AO12" s="677"/>
      <c r="AP12" s="395"/>
      <c r="AQ12" s="395"/>
      <c r="AR12" s="395"/>
      <c r="AS12" s="395"/>
      <c r="AT12" s="395"/>
    </row>
    <row r="13" spans="1:47" ht="24.95" customHeight="1" x14ac:dyDescent="0.2">
      <c r="A13" s="985" t="s">
        <v>298</v>
      </c>
      <c r="B13" s="986"/>
      <c r="C13" s="986"/>
      <c r="D13" s="986"/>
      <c r="E13" s="986"/>
      <c r="F13" s="986"/>
      <c r="G13" s="986"/>
      <c r="H13" s="987"/>
      <c r="I13" s="987"/>
      <c r="J13" s="987"/>
      <c r="K13" s="987"/>
      <c r="L13" s="987"/>
      <c r="M13" s="987"/>
      <c r="N13" s="987"/>
      <c r="O13" s="988"/>
      <c r="P13" s="395">
        <v>1</v>
      </c>
      <c r="Q13" s="511" t="s">
        <v>317</v>
      </c>
      <c r="R13" s="512" t="s">
        <v>169</v>
      </c>
      <c r="S13" s="512" t="s">
        <v>378</v>
      </c>
      <c r="T13" s="512" t="s">
        <v>319</v>
      </c>
      <c r="U13" s="513" t="s">
        <v>383</v>
      </c>
      <c r="V13" s="512" t="s">
        <v>317</v>
      </c>
      <c r="W13" s="512" t="s">
        <v>169</v>
      </c>
      <c r="X13" s="512" t="s">
        <v>378</v>
      </c>
      <c r="Y13" s="512" t="s">
        <v>319</v>
      </c>
      <c r="Z13" s="513" t="s">
        <v>383</v>
      </c>
      <c r="AA13" s="512" t="s">
        <v>317</v>
      </c>
      <c r="AB13" s="512" t="s">
        <v>169</v>
      </c>
      <c r="AC13" s="512" t="s">
        <v>378</v>
      </c>
      <c r="AD13" s="512" t="s">
        <v>319</v>
      </c>
      <c r="AE13" s="513" t="s">
        <v>383</v>
      </c>
      <c r="AF13" s="514" t="s">
        <v>317</v>
      </c>
      <c r="AG13" s="512" t="s">
        <v>169</v>
      </c>
      <c r="AH13" s="512" t="s">
        <v>378</v>
      </c>
      <c r="AI13" s="512" t="s">
        <v>319</v>
      </c>
      <c r="AJ13" s="513" t="s">
        <v>383</v>
      </c>
      <c r="AK13" s="514" t="s">
        <v>317</v>
      </c>
      <c r="AL13" s="512" t="s">
        <v>169</v>
      </c>
      <c r="AM13" s="512" t="s">
        <v>378</v>
      </c>
      <c r="AN13" s="512" t="s">
        <v>319</v>
      </c>
      <c r="AO13" s="513" t="s">
        <v>383</v>
      </c>
      <c r="AP13" s="520"/>
      <c r="AQ13" s="395"/>
      <c r="AR13" s="395"/>
      <c r="AS13" s="395"/>
      <c r="AT13" s="395"/>
      <c r="AU13" s="395"/>
    </row>
    <row r="14" spans="1:47" ht="24.95" customHeight="1" x14ac:dyDescent="0.2">
      <c r="A14" s="991" t="s">
        <v>220</v>
      </c>
      <c r="B14" s="992"/>
      <c r="C14" s="992"/>
      <c r="D14" s="992"/>
      <c r="E14" s="354" t="s">
        <v>190</v>
      </c>
      <c r="F14" s="993" t="s">
        <v>228</v>
      </c>
      <c r="G14" s="994"/>
      <c r="H14" s="355" t="str">
        <f>IF(M54="","",M54)</f>
        <v/>
      </c>
      <c r="I14" s="995" t="s">
        <v>320</v>
      </c>
      <c r="J14" s="996"/>
      <c r="K14" s="356" t="str">
        <f>IF(E8="","",HLOOKUP($E$8,$Q$13:$AK$29,P14,0))</f>
        <v/>
      </c>
      <c r="L14" s="357" t="str">
        <f>IF(K14="","",K14-0.3)</f>
        <v/>
      </c>
      <c r="M14" s="358" t="str">
        <f>IF(K14="","",K14+0.3)</f>
        <v/>
      </c>
      <c r="N14" s="691"/>
      <c r="O14" s="692"/>
      <c r="P14" s="395">
        <v>2</v>
      </c>
      <c r="Q14" s="515">
        <v>6.7</v>
      </c>
      <c r="R14" s="458">
        <v>5.8</v>
      </c>
      <c r="S14" s="458">
        <v>5.5</v>
      </c>
      <c r="T14" s="454">
        <v>5.4</v>
      </c>
      <c r="U14" s="517">
        <v>6.3</v>
      </c>
      <c r="V14" s="395"/>
      <c r="W14" s="395"/>
      <c r="X14" s="395"/>
      <c r="Y14" s="395"/>
      <c r="Z14" s="516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395"/>
      <c r="AO14" s="516"/>
      <c r="AP14" s="520"/>
      <c r="AQ14" s="395"/>
      <c r="AR14" s="395"/>
      <c r="AS14" s="395"/>
      <c r="AT14" s="395"/>
      <c r="AU14" s="395"/>
    </row>
    <row r="15" spans="1:47" ht="24.95" hidden="1" customHeight="1" x14ac:dyDescent="0.2">
      <c r="A15" s="582" t="s">
        <v>299</v>
      </c>
      <c r="B15" s="571"/>
      <c r="C15" s="571"/>
      <c r="D15" s="571"/>
      <c r="E15" s="359"/>
      <c r="F15" s="570"/>
      <c r="G15" s="360"/>
      <c r="H15" s="361"/>
      <c r="I15" s="989" t="s">
        <v>313</v>
      </c>
      <c r="J15" s="990"/>
      <c r="K15" s="362"/>
      <c r="L15" s="362"/>
      <c r="M15" s="362"/>
      <c r="N15" s="363"/>
      <c r="O15" s="583"/>
      <c r="P15" s="395">
        <v>3</v>
      </c>
      <c r="Q15" s="425"/>
      <c r="R15" s="395"/>
      <c r="S15" s="395"/>
      <c r="T15" s="426"/>
      <c r="U15" s="516"/>
      <c r="V15" s="395"/>
      <c r="W15" s="395"/>
      <c r="X15" s="395"/>
      <c r="Y15" s="395"/>
      <c r="Z15" s="516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516"/>
      <c r="AP15" s="520"/>
      <c r="AQ15" s="395"/>
      <c r="AR15" s="395"/>
      <c r="AS15" s="395"/>
      <c r="AT15" s="395"/>
      <c r="AU15" s="395"/>
    </row>
    <row r="16" spans="1:47" ht="24.95" customHeight="1" x14ac:dyDescent="0.2">
      <c r="A16" s="1023" t="s">
        <v>300</v>
      </c>
      <c r="B16" s="1024"/>
      <c r="C16" s="1024"/>
      <c r="D16" s="1024"/>
      <c r="E16" s="364"/>
      <c r="F16" s="1026" t="s">
        <v>272</v>
      </c>
      <c r="G16" s="1027"/>
      <c r="H16" s="1038" t="str">
        <f>IF(E8="","",HLOOKUP($E$8,$Q$13:$AK$29,P16,0))</f>
        <v/>
      </c>
      <c r="I16" s="1039"/>
      <c r="J16" s="1039"/>
      <c r="K16" s="1039"/>
      <c r="L16" s="1039"/>
      <c r="M16" s="1039"/>
      <c r="N16" s="1039"/>
      <c r="O16" s="1040"/>
      <c r="P16" s="395">
        <v>4</v>
      </c>
      <c r="Q16" s="524" t="s">
        <v>273</v>
      </c>
      <c r="R16" s="525" t="s">
        <v>273</v>
      </c>
      <c r="S16" s="525" t="s">
        <v>273</v>
      </c>
      <c r="T16" s="594" t="s">
        <v>273</v>
      </c>
      <c r="U16" s="595" t="s">
        <v>273</v>
      </c>
      <c r="V16" s="395"/>
      <c r="W16" s="395"/>
      <c r="X16" s="395"/>
      <c r="Y16" s="395"/>
      <c r="Z16" s="516"/>
      <c r="AA16" s="395"/>
      <c r="AB16" s="395"/>
      <c r="AC16" s="395"/>
      <c r="AD16" s="395"/>
      <c r="AE16" s="395"/>
      <c r="AF16" s="395"/>
      <c r="AG16" s="395"/>
      <c r="AH16" s="395"/>
      <c r="AI16" s="395"/>
      <c r="AJ16" s="395"/>
      <c r="AK16" s="395"/>
      <c r="AL16" s="395"/>
      <c r="AM16" s="395"/>
      <c r="AN16" s="395"/>
      <c r="AO16" s="516"/>
      <c r="AP16" s="520"/>
      <c r="AQ16" s="395"/>
      <c r="AR16" s="395"/>
      <c r="AS16" s="395"/>
      <c r="AT16" s="395"/>
      <c r="AU16" s="395"/>
    </row>
    <row r="17" spans="1:47" ht="24.95" customHeight="1" x14ac:dyDescent="0.2">
      <c r="A17" s="1020" t="s">
        <v>269</v>
      </c>
      <c r="B17" s="1021"/>
      <c r="C17" s="1021"/>
      <c r="D17" s="1021"/>
      <c r="E17" s="1021"/>
      <c r="F17" s="1021"/>
      <c r="G17" s="1021"/>
      <c r="H17" s="1041"/>
      <c r="I17" s="1041"/>
      <c r="J17" s="1041"/>
      <c r="K17" s="1041"/>
      <c r="L17" s="1041"/>
      <c r="M17" s="1041"/>
      <c r="N17" s="1041"/>
      <c r="O17" s="1042"/>
      <c r="P17" s="395">
        <v>5</v>
      </c>
      <c r="Q17" s="515"/>
      <c r="R17" s="426"/>
      <c r="S17" s="426"/>
      <c r="T17" s="426"/>
      <c r="U17" s="516"/>
      <c r="V17" s="454"/>
      <c r="W17" s="454"/>
      <c r="X17" s="454"/>
      <c r="Y17" s="454"/>
      <c r="Z17" s="517"/>
      <c r="AA17" s="454"/>
      <c r="AB17" s="454"/>
      <c r="AC17" s="454"/>
      <c r="AD17" s="454"/>
      <c r="AE17" s="454"/>
      <c r="AF17" s="518"/>
      <c r="AG17" s="454"/>
      <c r="AH17" s="454"/>
      <c r="AI17" s="454"/>
      <c r="AJ17" s="454"/>
      <c r="AK17" s="518"/>
      <c r="AL17" s="454"/>
      <c r="AM17" s="454"/>
      <c r="AN17" s="454"/>
      <c r="AO17" s="517"/>
      <c r="AP17" s="520"/>
      <c r="AQ17" s="395"/>
      <c r="AR17" s="395"/>
      <c r="AS17" s="395"/>
      <c r="AT17" s="395"/>
      <c r="AU17" s="395"/>
    </row>
    <row r="18" spans="1:47" ht="21.95" customHeight="1" x14ac:dyDescent="0.2">
      <c r="A18" s="991" t="s">
        <v>251</v>
      </c>
      <c r="B18" s="992"/>
      <c r="C18" s="992"/>
      <c r="D18" s="1022" t="s">
        <v>224</v>
      </c>
      <c r="E18" s="1022"/>
      <c r="F18" s="993" t="s">
        <v>227</v>
      </c>
      <c r="G18" s="1025"/>
      <c r="H18" s="365" t="str">
        <f>IF(K18="","",K18)</f>
        <v/>
      </c>
      <c r="I18" s="691"/>
      <c r="J18" s="1043"/>
      <c r="K18" s="497" t="str">
        <f>IF(E8="","",HLOOKUP($E$8,$Q$13:$AK$29,P18,0))</f>
        <v/>
      </c>
      <c r="L18" s="497"/>
      <c r="M18" s="366"/>
      <c r="N18" s="691"/>
      <c r="O18" s="692"/>
      <c r="P18" s="395">
        <v>6</v>
      </c>
      <c r="Q18" s="466">
        <v>75</v>
      </c>
      <c r="R18" s="461">
        <v>75</v>
      </c>
      <c r="S18" s="461">
        <v>75</v>
      </c>
      <c r="T18" s="461">
        <v>75</v>
      </c>
      <c r="U18" s="467">
        <v>75</v>
      </c>
      <c r="V18" s="461"/>
      <c r="W18" s="461"/>
      <c r="X18" s="461"/>
      <c r="Y18" s="461"/>
      <c r="Z18" s="467"/>
      <c r="AA18" s="461"/>
      <c r="AB18" s="461"/>
      <c r="AC18" s="461"/>
      <c r="AD18" s="461"/>
      <c r="AE18" s="461"/>
      <c r="AF18" s="481"/>
      <c r="AG18" s="478"/>
      <c r="AH18" s="478"/>
      <c r="AI18" s="478"/>
      <c r="AJ18" s="478"/>
      <c r="AK18" s="481"/>
      <c r="AL18" s="478"/>
      <c r="AM18" s="478"/>
      <c r="AN18" s="478"/>
      <c r="AO18" s="482"/>
      <c r="AP18" s="520"/>
      <c r="AQ18" s="395"/>
      <c r="AR18" s="395"/>
      <c r="AS18" s="395"/>
      <c r="AT18" s="395"/>
      <c r="AU18" s="395"/>
    </row>
    <row r="19" spans="1:47" ht="21.95" customHeight="1" x14ac:dyDescent="0.2">
      <c r="A19" s="962" t="s">
        <v>196</v>
      </c>
      <c r="B19" s="963"/>
      <c r="C19" s="963"/>
      <c r="D19" s="963"/>
      <c r="E19" s="367" t="s">
        <v>219</v>
      </c>
      <c r="F19" s="961" t="s">
        <v>227</v>
      </c>
      <c r="G19" s="961"/>
      <c r="H19" s="368" t="str">
        <f>IF(J131="","",AVERAGE(G131:M131))</f>
        <v/>
      </c>
      <c r="I19" s="958" t="s">
        <v>296</v>
      </c>
      <c r="J19" s="959"/>
      <c r="K19" s="498" t="str">
        <f>IF($E$8="","",HLOOKUP($E$8,$Q$13:$U$29,P19,0))</f>
        <v/>
      </c>
      <c r="L19" s="500" t="str">
        <f>IF(K19="","",K19*0.9)</f>
        <v/>
      </c>
      <c r="M19" s="369"/>
      <c r="N19" s="575" t="str">
        <f>IF(E8="","",HLOOKUP($E$8,$AF$13:$AJ$29,P19,0))</f>
        <v/>
      </c>
      <c r="O19" s="584" t="str">
        <f>IF(E8="","",HLOOKUP($E$8,$AK$13:$AO$29,P19,0))</f>
        <v/>
      </c>
      <c r="P19" s="395">
        <v>7</v>
      </c>
      <c r="Q19" s="466">
        <v>1320</v>
      </c>
      <c r="R19" s="461">
        <v>1450</v>
      </c>
      <c r="S19" s="461">
        <v>1365</v>
      </c>
      <c r="T19" s="461">
        <v>1390</v>
      </c>
      <c r="U19" s="467">
        <v>1240</v>
      </c>
      <c r="V19" s="462">
        <f>IF(Q19="","",Q19*0.9)</f>
        <v>1188</v>
      </c>
      <c r="W19" s="462">
        <f>IF(R19="","",R19*0.9)</f>
        <v>1305</v>
      </c>
      <c r="X19" s="462">
        <f>IF(S19="","",S19*0.9)</f>
        <v>1228.5</v>
      </c>
      <c r="Y19" s="462">
        <f>IF(T19="","",T19*0.9)</f>
        <v>1251</v>
      </c>
      <c r="Z19" s="468">
        <f>IF(U19="","",U19*0.9)</f>
        <v>1116</v>
      </c>
      <c r="AA19" s="462"/>
      <c r="AB19" s="462"/>
      <c r="AC19" s="462"/>
      <c r="AD19" s="462"/>
      <c r="AE19" s="462"/>
      <c r="AF19" s="483">
        <v>750</v>
      </c>
      <c r="AG19" s="479">
        <v>750</v>
      </c>
      <c r="AH19" s="479">
        <v>750</v>
      </c>
      <c r="AI19" s="479">
        <v>750</v>
      </c>
      <c r="AJ19" s="479">
        <v>750</v>
      </c>
      <c r="AK19" s="483" t="s">
        <v>201</v>
      </c>
      <c r="AL19" s="479" t="s">
        <v>201</v>
      </c>
      <c r="AM19" s="479" t="s">
        <v>201</v>
      </c>
      <c r="AN19" s="479" t="s">
        <v>201</v>
      </c>
      <c r="AO19" s="483" t="s">
        <v>201</v>
      </c>
      <c r="AP19" s="520"/>
      <c r="AQ19" s="395"/>
      <c r="AR19" s="395"/>
      <c r="AS19" s="395"/>
      <c r="AT19" s="395"/>
      <c r="AU19" s="395"/>
    </row>
    <row r="20" spans="1:47" ht="21.95" hidden="1" customHeight="1" x14ac:dyDescent="0.2">
      <c r="A20" s="585" t="s">
        <v>301</v>
      </c>
      <c r="B20" s="569"/>
      <c r="C20" s="569"/>
      <c r="D20" s="569"/>
      <c r="E20" s="367"/>
      <c r="F20" s="570"/>
      <c r="G20" s="570"/>
      <c r="H20" s="370" t="str">
        <f>IF(J132="","",IF(OR(P136&gt;1,Q136&gt;0),"No cumple","Cumple"))</f>
        <v/>
      </c>
      <c r="I20" s="926" t="s">
        <v>297</v>
      </c>
      <c r="J20" s="927"/>
      <c r="K20" s="928"/>
      <c r="L20" s="929"/>
      <c r="M20" s="930"/>
      <c r="N20" s="693"/>
      <c r="O20" s="694"/>
      <c r="P20" s="395">
        <v>8</v>
      </c>
      <c r="Q20" s="469"/>
      <c r="R20" s="463"/>
      <c r="S20" s="463"/>
      <c r="T20" s="463"/>
      <c r="U20" s="470"/>
      <c r="V20" s="465"/>
      <c r="W20" s="465"/>
      <c r="X20" s="465"/>
      <c r="Y20" s="465"/>
      <c r="Z20" s="486"/>
      <c r="AA20" s="463"/>
      <c r="AB20" s="463"/>
      <c r="AC20" s="463"/>
      <c r="AD20" s="463"/>
      <c r="AE20" s="463"/>
      <c r="AF20" s="485"/>
      <c r="AG20" s="465"/>
      <c r="AH20" s="465"/>
      <c r="AI20" s="465"/>
      <c r="AJ20" s="465"/>
      <c r="AK20" s="485"/>
      <c r="AL20" s="465"/>
      <c r="AM20" s="465"/>
      <c r="AN20" s="465"/>
      <c r="AO20" s="485"/>
      <c r="AP20" s="520"/>
      <c r="AQ20" s="395"/>
      <c r="AR20" s="395"/>
      <c r="AS20" s="395"/>
      <c r="AT20" s="395"/>
      <c r="AU20" s="395"/>
    </row>
    <row r="21" spans="1:47" ht="21.95" customHeight="1" x14ac:dyDescent="0.2">
      <c r="A21" s="962" t="s">
        <v>197</v>
      </c>
      <c r="B21" s="963"/>
      <c r="C21" s="963"/>
      <c r="D21" s="963"/>
      <c r="E21" s="367" t="s">
        <v>92</v>
      </c>
      <c r="F21" s="961" t="s">
        <v>227</v>
      </c>
      <c r="G21" s="961"/>
      <c r="H21" s="373" t="str">
        <f>IF(N134="","",N134)</f>
        <v/>
      </c>
      <c r="I21" s="958" t="s">
        <v>284</v>
      </c>
      <c r="J21" s="959"/>
      <c r="K21" s="499" t="str">
        <f>IF(E8="","",HLOOKUP($E$8,$Q$13:$U$29,P21,0))</f>
        <v/>
      </c>
      <c r="L21" s="499" t="str">
        <f>IF(K21="","",K21*0.8)</f>
        <v/>
      </c>
      <c r="M21" s="374" t="str">
        <f>IF(K21="","",K21*1.19)</f>
        <v/>
      </c>
      <c r="N21" s="501" t="str">
        <f>IF(E8="","",HLOOKUP($E$8,$AF$13:$AJ$29,P21,0))</f>
        <v/>
      </c>
      <c r="O21" s="360" t="str">
        <f>IF(E8="","",HLOOKUP($E$8,$AK$13:$AO$29,P21,0))</f>
        <v/>
      </c>
      <c r="P21" s="395">
        <v>9</v>
      </c>
      <c r="Q21" s="471">
        <v>3.3</v>
      </c>
      <c r="R21" s="441">
        <v>3.4</v>
      </c>
      <c r="S21" s="441">
        <v>3.3</v>
      </c>
      <c r="T21" s="441">
        <v>3.3</v>
      </c>
      <c r="U21" s="472">
        <v>3.6</v>
      </c>
      <c r="V21" s="441">
        <f>IF(Q21="","",Q21*0.8)</f>
        <v>2.64</v>
      </c>
      <c r="W21" s="441">
        <f>IF(R21="","",R21*0.8)</f>
        <v>2.72</v>
      </c>
      <c r="X21" s="441">
        <f>IF(S21="","",S21*0.8)</f>
        <v>2.64</v>
      </c>
      <c r="Y21" s="441">
        <f>IF(T21="","",T21*0.8)</f>
        <v>2.64</v>
      </c>
      <c r="Z21" s="472">
        <f>IF(U21="","",U21*0.8)</f>
        <v>2.8800000000000003</v>
      </c>
      <c r="AA21" s="441">
        <f>IF(Q21="","",Q21*1.19)</f>
        <v>3.9269999999999996</v>
      </c>
      <c r="AB21" s="441">
        <f>IF(R21="","",R21*1.19)</f>
        <v>4.0459999999999994</v>
      </c>
      <c r="AC21" s="441">
        <f>IF(S21="","",S21*1.19)</f>
        <v>3.9269999999999996</v>
      </c>
      <c r="AD21" s="441">
        <f>IF(T21="","",T21*1.19)</f>
        <v>3.9269999999999996</v>
      </c>
      <c r="AE21" s="441">
        <f>IF(U21="","",U21*1.19)</f>
        <v>4.2839999999999998</v>
      </c>
      <c r="AF21" s="483">
        <v>2</v>
      </c>
      <c r="AG21" s="479">
        <v>2</v>
      </c>
      <c r="AH21" s="479">
        <v>2</v>
      </c>
      <c r="AI21" s="479">
        <v>2</v>
      </c>
      <c r="AJ21" s="479">
        <v>2</v>
      </c>
      <c r="AK21" s="483">
        <v>4</v>
      </c>
      <c r="AL21" s="479">
        <v>4</v>
      </c>
      <c r="AM21" s="479">
        <v>4</v>
      </c>
      <c r="AN21" s="479">
        <v>4</v>
      </c>
      <c r="AO21" s="483">
        <v>4</v>
      </c>
      <c r="AP21" s="520"/>
      <c r="AQ21" s="395"/>
      <c r="AR21" s="395"/>
      <c r="AS21" s="395"/>
      <c r="AT21" s="395"/>
      <c r="AU21" s="395"/>
    </row>
    <row r="22" spans="1:47" ht="21.95" customHeight="1" x14ac:dyDescent="0.2">
      <c r="A22" s="962" t="s">
        <v>202</v>
      </c>
      <c r="B22" s="963"/>
      <c r="C22" s="963"/>
      <c r="D22" s="963"/>
      <c r="E22" s="375" t="s">
        <v>204</v>
      </c>
      <c r="F22" s="961" t="s">
        <v>227</v>
      </c>
      <c r="G22" s="961"/>
      <c r="H22" s="368" t="str">
        <f>+IF(N135="","",N135)</f>
        <v/>
      </c>
      <c r="I22" s="491"/>
      <c r="J22" s="496"/>
      <c r="K22" s="500" t="str">
        <f>IF(E8="","",HLOOKUP($E$8,$Q$13:$U$29,P22,0))</f>
        <v/>
      </c>
      <c r="L22" s="492"/>
      <c r="M22" s="493"/>
      <c r="N22" s="501" t="str">
        <f>IF(E8="","",HLOOKUP($E$8,$AF$13:$AJ$29,P22,0))</f>
        <v/>
      </c>
      <c r="O22" s="360" t="str">
        <f>IF(E8="","",HLOOKUP($E$8,$AK$13:$AO$29,P22,0))</f>
        <v/>
      </c>
      <c r="P22" s="395">
        <v>10</v>
      </c>
      <c r="Q22" s="466">
        <v>400</v>
      </c>
      <c r="R22" s="461">
        <v>426</v>
      </c>
      <c r="S22" s="461">
        <v>426</v>
      </c>
      <c r="T22" s="461">
        <v>421</v>
      </c>
      <c r="U22" s="467">
        <v>400</v>
      </c>
      <c r="V22" s="461"/>
      <c r="W22" s="461"/>
      <c r="X22" s="461"/>
      <c r="Y22" s="461"/>
      <c r="Z22" s="467"/>
      <c r="AA22" s="426"/>
      <c r="AB22" s="426"/>
      <c r="AC22" s="426"/>
      <c r="AD22" s="426"/>
      <c r="AE22" s="426"/>
      <c r="AF22" s="466">
        <v>300</v>
      </c>
      <c r="AG22" s="461">
        <v>300</v>
      </c>
      <c r="AH22" s="461">
        <v>300</v>
      </c>
      <c r="AI22" s="461">
        <v>300</v>
      </c>
      <c r="AJ22" s="461">
        <v>300</v>
      </c>
      <c r="AK22" s="466">
        <v>500</v>
      </c>
      <c r="AL22" s="461">
        <v>500</v>
      </c>
      <c r="AM22" s="461">
        <v>500</v>
      </c>
      <c r="AN22" s="461">
        <v>500</v>
      </c>
      <c r="AO22" s="466">
        <v>500</v>
      </c>
    </row>
    <row r="23" spans="1:47" ht="21.95" customHeight="1" x14ac:dyDescent="0.2">
      <c r="A23" s="1032" t="s">
        <v>225</v>
      </c>
      <c r="B23" s="1033"/>
      <c r="C23" s="1033"/>
      <c r="D23" s="1033"/>
      <c r="E23" s="376" t="s">
        <v>190</v>
      </c>
      <c r="F23" s="961" t="s">
        <v>277</v>
      </c>
      <c r="G23" s="961"/>
      <c r="H23" s="373" t="str">
        <f>+IF(N136="","",N136)</f>
        <v/>
      </c>
      <c r="I23" s="958" t="s">
        <v>285</v>
      </c>
      <c r="J23" s="959"/>
      <c r="K23" s="499" t="str">
        <f>IF($E$8="","",HLOOKUP($E$8,$Q$13:$U$29,P23,0))</f>
        <v/>
      </c>
      <c r="L23" s="499" t="str">
        <f>IF(K23="","",K23-0.3)</f>
        <v/>
      </c>
      <c r="M23" s="374" t="str">
        <f>IF(K23="","",K23+0.3)</f>
        <v/>
      </c>
      <c r="N23" s="501" t="str">
        <f>IF(E8="","",HLOOKUP($E$8,$AF$13:$AJ$29,P23,0))</f>
        <v/>
      </c>
      <c r="O23" s="360" t="str">
        <f>IF(E8="","",HLOOKUP($E$8,$AK$13:$AO$29,P23,0))</f>
        <v/>
      </c>
      <c r="P23" s="395">
        <v>11</v>
      </c>
      <c r="Q23" s="471">
        <v>4.3</v>
      </c>
      <c r="R23" s="441">
        <v>3.8</v>
      </c>
      <c r="S23" s="441">
        <v>4.7</v>
      </c>
      <c r="T23" s="441">
        <v>4.5</v>
      </c>
      <c r="U23" s="472">
        <v>4.7</v>
      </c>
      <c r="V23" s="441">
        <f>IF(Q23="","",3-0.3)</f>
        <v>2.7</v>
      </c>
      <c r="W23" s="441">
        <f>IF(R23="","",3-0.3)</f>
        <v>2.7</v>
      </c>
      <c r="X23" s="441">
        <f>IF(S23="","",S23-0.3)</f>
        <v>4.4000000000000004</v>
      </c>
      <c r="Y23" s="441">
        <f>IF(T23="","",3-0.3)</f>
        <v>2.7</v>
      </c>
      <c r="Z23" s="472">
        <f>IF(U23="","",3-0.3)</f>
        <v>2.7</v>
      </c>
      <c r="AA23" s="441">
        <f>IF(Q23="","",Q23+0.3)</f>
        <v>4.5999999999999996</v>
      </c>
      <c r="AB23" s="441">
        <f>IF(R23="","",R23+0.3)</f>
        <v>4.0999999999999996</v>
      </c>
      <c r="AC23" s="441">
        <f>IF(S23="","",S23+0.3)</f>
        <v>5</v>
      </c>
      <c r="AD23" s="441">
        <f>IF(T23="","",T23+0.3)</f>
        <v>4.8</v>
      </c>
      <c r="AE23" s="441">
        <f>IF(U23="","",U23+0.3)</f>
        <v>5</v>
      </c>
      <c r="AF23" s="483">
        <v>3</v>
      </c>
      <c r="AG23" s="479">
        <v>3</v>
      </c>
      <c r="AH23" s="479">
        <v>3</v>
      </c>
      <c r="AI23" s="479">
        <v>4</v>
      </c>
      <c r="AJ23" s="479">
        <v>4</v>
      </c>
      <c r="AK23" s="483">
        <v>5</v>
      </c>
      <c r="AL23" s="479">
        <v>5</v>
      </c>
      <c r="AM23" s="479">
        <v>5</v>
      </c>
      <c r="AN23" s="479">
        <v>6</v>
      </c>
      <c r="AO23" s="483">
        <v>5</v>
      </c>
    </row>
    <row r="24" spans="1:47" ht="21.95" customHeight="1" x14ac:dyDescent="0.2">
      <c r="A24" s="1030" t="s">
        <v>200</v>
      </c>
      <c r="B24" s="1031"/>
      <c r="C24" s="1031"/>
      <c r="D24" s="1031"/>
      <c r="E24" s="376" t="s">
        <v>190</v>
      </c>
      <c r="F24" s="961" t="s">
        <v>276</v>
      </c>
      <c r="G24" s="961"/>
      <c r="H24" s="377" t="str">
        <f>IF(N117="","",100-(N117*(100-M54)/N122))</f>
        <v/>
      </c>
      <c r="I24" s="494"/>
      <c r="J24" s="495"/>
      <c r="K24" s="499" t="str">
        <f>IF($E$8="","",HLOOKUP($E$8,$Q$13:$U$29,P24,0))</f>
        <v/>
      </c>
      <c r="L24" s="371"/>
      <c r="M24" s="372"/>
      <c r="N24" s="501" t="str">
        <f>IF(E8="","",HLOOKUP($E$8,$AF$13:$AJ$29,P24,0))</f>
        <v/>
      </c>
      <c r="O24" s="360" t="str">
        <f>IF(E8="","",HLOOKUP($E$8,$AK$13:$AO$29,P24,0))</f>
        <v/>
      </c>
      <c r="P24" s="395">
        <v>12</v>
      </c>
      <c r="Q24" s="487">
        <v>16.899999999999999</v>
      </c>
      <c r="R24" s="480">
        <v>16.399999999999999</v>
      </c>
      <c r="S24" s="480">
        <v>15.5</v>
      </c>
      <c r="T24" s="480">
        <v>14.4</v>
      </c>
      <c r="U24" s="488">
        <v>18</v>
      </c>
      <c r="V24" s="479"/>
      <c r="W24" s="479"/>
      <c r="X24" s="479"/>
      <c r="Y24" s="479"/>
      <c r="Z24" s="484"/>
      <c r="AA24" s="426"/>
      <c r="AB24" s="426"/>
      <c r="AC24" s="426"/>
      <c r="AD24" s="426"/>
      <c r="AE24" s="426"/>
      <c r="AF24" s="489">
        <v>16</v>
      </c>
      <c r="AG24" s="490">
        <v>15</v>
      </c>
      <c r="AH24" s="490">
        <v>15</v>
      </c>
      <c r="AI24" s="490">
        <v>14</v>
      </c>
      <c r="AJ24" s="490">
        <v>14</v>
      </c>
      <c r="AK24" s="483" t="s">
        <v>201</v>
      </c>
      <c r="AL24" s="479" t="s">
        <v>201</v>
      </c>
      <c r="AM24" s="479" t="s">
        <v>201</v>
      </c>
      <c r="AN24" s="479" t="s">
        <v>201</v>
      </c>
      <c r="AO24" s="483" t="s">
        <v>201</v>
      </c>
    </row>
    <row r="25" spans="1:47" ht="21.95" customHeight="1" x14ac:dyDescent="0.2">
      <c r="A25" s="962" t="s">
        <v>203</v>
      </c>
      <c r="B25" s="963"/>
      <c r="C25" s="963"/>
      <c r="D25" s="963"/>
      <c r="E25" s="376" t="s">
        <v>190</v>
      </c>
      <c r="F25" s="961" t="s">
        <v>276</v>
      </c>
      <c r="G25" s="961"/>
      <c r="H25" s="368" t="str">
        <f>IF(H24="","",((H24-H23)/H24)*100)</f>
        <v/>
      </c>
      <c r="I25" s="494"/>
      <c r="J25" s="495"/>
      <c r="K25" s="499" t="str">
        <f>IF($E$8="","",HLOOKUP($E$8,$Q$13:$U$29,P25,0))</f>
        <v/>
      </c>
      <c r="L25" s="371"/>
      <c r="M25" s="372"/>
      <c r="N25" s="501" t="str">
        <f>IF(E8="","",HLOOKUP($E$8,$AF$13:$AJ$29,P25,0))</f>
        <v/>
      </c>
      <c r="O25" s="360" t="str">
        <f>IF(E8="","",HLOOKUP($E$8,$AK$13:$AO$29,P25,0))</f>
        <v/>
      </c>
      <c r="P25" s="395">
        <v>13</v>
      </c>
      <c r="Q25" s="483">
        <v>74.400000000000006</v>
      </c>
      <c r="R25" s="479">
        <v>77.099999999999994</v>
      </c>
      <c r="S25" s="479">
        <v>68.8</v>
      </c>
      <c r="T25" s="479">
        <v>69.099999999999994</v>
      </c>
      <c r="U25" s="484">
        <v>72</v>
      </c>
      <c r="V25" s="479"/>
      <c r="W25" s="479"/>
      <c r="X25" s="479"/>
      <c r="Y25" s="479"/>
      <c r="Z25" s="484"/>
      <c r="AA25" s="426"/>
      <c r="AB25" s="426"/>
      <c r="AC25" s="426"/>
      <c r="AD25" s="426"/>
      <c r="AE25" s="426"/>
      <c r="AF25" s="483">
        <v>65</v>
      </c>
      <c r="AG25" s="479">
        <v>65</v>
      </c>
      <c r="AH25" s="479">
        <v>65</v>
      </c>
      <c r="AI25" s="479">
        <v>65</v>
      </c>
      <c r="AJ25" s="479">
        <v>65</v>
      </c>
      <c r="AK25" s="483">
        <v>78</v>
      </c>
      <c r="AL25" s="479">
        <v>78</v>
      </c>
      <c r="AM25" s="479">
        <v>78</v>
      </c>
      <c r="AN25" s="479">
        <v>78</v>
      </c>
      <c r="AO25" s="483">
        <v>78</v>
      </c>
      <c r="AP25" s="519"/>
    </row>
    <row r="26" spans="1:47" ht="21.95" customHeight="1" x14ac:dyDescent="0.2">
      <c r="A26" s="962" t="s">
        <v>275</v>
      </c>
      <c r="B26" s="963"/>
      <c r="C26" s="963"/>
      <c r="D26" s="963"/>
      <c r="E26" s="963"/>
      <c r="F26" s="963"/>
      <c r="G26" s="964"/>
      <c r="H26" s="378" t="str">
        <f>IF(M71="","",(M71/AB93))</f>
        <v/>
      </c>
      <c r="I26" s="494"/>
      <c r="J26" s="495"/>
      <c r="K26" s="499" t="str">
        <f>IF($E$8="","",HLOOKUP($E$8,$Q$13:$U$29,P26,0))</f>
        <v/>
      </c>
      <c r="L26" s="371"/>
      <c r="M26" s="372"/>
      <c r="N26" s="501" t="str">
        <f>IF(E8="","",HLOOKUP($E$8,$AF$13:$AJ$29,P26,0))</f>
        <v/>
      </c>
      <c r="O26" s="360" t="str">
        <f>IF(E8="","",HLOOKUP($E$8,$AK$13:$AO$29,P26,0))</f>
        <v/>
      </c>
      <c r="P26" s="395">
        <v>14</v>
      </c>
      <c r="Q26" s="483">
        <v>1.2</v>
      </c>
      <c r="R26" s="479">
        <v>1.1000000000000001</v>
      </c>
      <c r="S26" s="479">
        <v>1.2</v>
      </c>
      <c r="T26" s="479">
        <v>1.2</v>
      </c>
      <c r="U26" s="484">
        <v>1.2</v>
      </c>
      <c r="V26" s="479"/>
      <c r="W26" s="479"/>
      <c r="X26" s="479"/>
      <c r="Y26" s="479"/>
      <c r="Z26" s="484"/>
      <c r="AA26" s="426"/>
      <c r="AB26" s="426"/>
      <c r="AC26" s="426"/>
      <c r="AD26" s="426"/>
      <c r="AE26" s="426"/>
      <c r="AF26" s="487">
        <v>0.8</v>
      </c>
      <c r="AG26" s="480">
        <v>0.8</v>
      </c>
      <c r="AH26" s="480">
        <v>0.8</v>
      </c>
      <c r="AI26" s="480">
        <v>0.8</v>
      </c>
      <c r="AJ26" s="480">
        <v>0.8</v>
      </c>
      <c r="AK26" s="483">
        <v>1.2</v>
      </c>
      <c r="AL26" s="479">
        <v>1.2</v>
      </c>
      <c r="AM26" s="479">
        <v>1.2</v>
      </c>
      <c r="AN26" s="479">
        <v>1.2</v>
      </c>
      <c r="AO26" s="483">
        <v>1.2</v>
      </c>
      <c r="AP26" s="519"/>
    </row>
    <row r="27" spans="1:47" ht="21.95" customHeight="1" x14ac:dyDescent="0.2">
      <c r="A27" s="585" t="s">
        <v>302</v>
      </c>
      <c r="B27" s="569"/>
      <c r="C27" s="569"/>
      <c r="D27" s="569"/>
      <c r="E27" s="379" t="s">
        <v>282</v>
      </c>
      <c r="F27" s="961" t="s">
        <v>279</v>
      </c>
      <c r="G27" s="961"/>
      <c r="H27" s="378" t="str">
        <f>IF(AH106="","",AH106)</f>
        <v/>
      </c>
      <c r="I27" s="494"/>
      <c r="J27" s="495"/>
      <c r="K27" s="499" t="str">
        <f>IF($E$8="","",HLOOKUP($E$8,$Q$13:$U$29,P27,0))</f>
        <v/>
      </c>
      <c r="L27" s="371"/>
      <c r="M27" s="372"/>
      <c r="N27" s="501" t="str">
        <f>IF(E8="","",HLOOKUP($E$8,$AF$13:$AJ$29,P27,0))</f>
        <v/>
      </c>
      <c r="O27" s="360" t="str">
        <f>IF(E8="","",HLOOKUP($E$8,$AK$13:$AO$29,P27,0))</f>
        <v/>
      </c>
      <c r="P27" s="395">
        <v>15</v>
      </c>
      <c r="Q27" s="483">
        <v>8.3000000000000007</v>
      </c>
      <c r="R27" s="479">
        <v>8.8000000000000007</v>
      </c>
      <c r="S27" s="479">
        <v>8.6999999999999993</v>
      </c>
      <c r="T27" s="479">
        <v>6.9</v>
      </c>
      <c r="U27" s="484">
        <v>8.1999999999999993</v>
      </c>
      <c r="V27" s="479"/>
      <c r="W27" s="479"/>
      <c r="X27" s="479"/>
      <c r="Y27" s="479"/>
      <c r="Z27" s="484"/>
      <c r="AA27" s="426"/>
      <c r="AB27" s="426"/>
      <c r="AC27" s="426"/>
      <c r="AD27" s="426"/>
      <c r="AE27" s="426"/>
      <c r="AF27" s="483" t="s">
        <v>278</v>
      </c>
      <c r="AG27" s="479" t="s">
        <v>278</v>
      </c>
      <c r="AH27" s="479" t="s">
        <v>278</v>
      </c>
      <c r="AI27" s="479" t="s">
        <v>278</v>
      </c>
      <c r="AJ27" s="479" t="s">
        <v>278</v>
      </c>
      <c r="AK27" s="483" t="s">
        <v>201</v>
      </c>
      <c r="AL27" s="479" t="s">
        <v>201</v>
      </c>
      <c r="AM27" s="479" t="s">
        <v>201</v>
      </c>
      <c r="AN27" s="479" t="s">
        <v>201</v>
      </c>
      <c r="AO27" s="483" t="s">
        <v>201</v>
      </c>
      <c r="AP27" s="519"/>
    </row>
    <row r="28" spans="1:47" ht="21.95" customHeight="1" x14ac:dyDescent="0.2">
      <c r="A28" s="1034" t="s">
        <v>303</v>
      </c>
      <c r="B28" s="1035"/>
      <c r="C28" s="1035"/>
      <c r="D28" s="1035"/>
      <c r="E28" s="359"/>
      <c r="F28" s="961" t="s">
        <v>274</v>
      </c>
      <c r="G28" s="961"/>
      <c r="H28" s="380" t="str">
        <f>IF(X120="","",+X120/(X121+X120))</f>
        <v/>
      </c>
      <c r="I28" s="693"/>
      <c r="J28" s="960"/>
      <c r="K28" s="498" t="str">
        <f>IF(E8="","",HLOOKUP($E$8,$Q$13:$U$29,P28,0))</f>
        <v/>
      </c>
      <c r="L28" s="500"/>
      <c r="M28" s="381" t="str">
        <f>K28</f>
        <v/>
      </c>
      <c r="N28" s="693"/>
      <c r="O28" s="694"/>
      <c r="P28" s="395">
        <v>16</v>
      </c>
      <c r="Q28" s="473">
        <v>0.27</v>
      </c>
      <c r="R28" s="464">
        <v>0.32</v>
      </c>
      <c r="S28" s="464">
        <v>0.29199999999999998</v>
      </c>
      <c r="T28" s="464">
        <v>0.27</v>
      </c>
      <c r="U28" s="474">
        <v>0.27</v>
      </c>
      <c r="V28" s="462" t="s">
        <v>201</v>
      </c>
      <c r="W28" s="462" t="s">
        <v>201</v>
      </c>
      <c r="X28" s="462"/>
      <c r="Y28" s="462" t="s">
        <v>201</v>
      </c>
      <c r="Z28" s="468" t="s">
        <v>201</v>
      </c>
      <c r="AA28" s="464">
        <f>Q28</f>
        <v>0.27</v>
      </c>
      <c r="AB28" s="464">
        <f>R28</f>
        <v>0.32</v>
      </c>
      <c r="AC28" s="464">
        <f>S28</f>
        <v>0.29199999999999998</v>
      </c>
      <c r="AD28" s="464">
        <f>T28</f>
        <v>0.27</v>
      </c>
      <c r="AE28" s="464">
        <f>U28</f>
        <v>0.27</v>
      </c>
      <c r="AF28" s="485"/>
      <c r="AG28" s="465"/>
      <c r="AH28" s="465"/>
      <c r="AI28" s="465"/>
      <c r="AJ28" s="465"/>
      <c r="AK28" s="485"/>
      <c r="AL28" s="465"/>
      <c r="AM28" s="465"/>
      <c r="AN28" s="465"/>
      <c r="AO28" s="485"/>
    </row>
    <row r="29" spans="1:47" ht="21.95" customHeight="1" x14ac:dyDescent="0.2">
      <c r="A29" s="983" t="s">
        <v>304</v>
      </c>
      <c r="B29" s="984"/>
      <c r="C29" s="984"/>
      <c r="D29" s="984"/>
      <c r="E29" s="984"/>
      <c r="F29" s="755" t="s">
        <v>261</v>
      </c>
      <c r="G29" s="755"/>
      <c r="H29" s="586" t="str">
        <f>+IF(G142="","",G142)</f>
        <v/>
      </c>
      <c r="I29" s="968" t="str">
        <f>IF(E8="","",HLOOKUP($E$8,$Q$13:$U$29,P29,0))</f>
        <v/>
      </c>
      <c r="J29" s="969"/>
      <c r="K29" s="969">
        <f>U136</f>
        <v>0.98499999999999754</v>
      </c>
      <c r="L29" s="969" t="s">
        <v>201</v>
      </c>
      <c r="M29" s="970">
        <f>K29</f>
        <v>0.98499999999999754</v>
      </c>
      <c r="N29" s="968"/>
      <c r="O29" s="979"/>
      <c r="P29" s="395">
        <v>17</v>
      </c>
      <c r="Q29" s="475" t="s">
        <v>318</v>
      </c>
      <c r="R29" s="476" t="s">
        <v>318</v>
      </c>
      <c r="S29" s="476" t="s">
        <v>379</v>
      </c>
      <c r="T29" s="476" t="s">
        <v>318</v>
      </c>
      <c r="U29" s="477" t="s">
        <v>318</v>
      </c>
      <c r="V29" s="476"/>
      <c r="W29" s="476"/>
      <c r="X29" s="476"/>
      <c r="Y29" s="476"/>
      <c r="Z29" s="477"/>
      <c r="AA29" s="476"/>
      <c r="AB29" s="476"/>
      <c r="AC29" s="476"/>
      <c r="AD29" s="476"/>
      <c r="AE29" s="476"/>
      <c r="AF29" s="475"/>
      <c r="AG29" s="476"/>
      <c r="AH29" s="476"/>
      <c r="AI29" s="476"/>
      <c r="AJ29" s="476"/>
      <c r="AK29" s="475"/>
      <c r="AL29" s="476"/>
      <c r="AM29" s="476"/>
      <c r="AN29" s="476"/>
      <c r="AO29" s="475"/>
    </row>
    <row r="30" spans="1:47" ht="18" customHeight="1" x14ac:dyDescent="0.2">
      <c r="A30" s="975" t="s">
        <v>4</v>
      </c>
      <c r="B30" s="976"/>
      <c r="C30" s="977"/>
      <c r="D30" s="977"/>
      <c r="E30" s="977"/>
      <c r="F30" s="977"/>
      <c r="G30" s="977"/>
      <c r="H30" s="977"/>
      <c r="I30" s="977"/>
      <c r="J30" s="977"/>
      <c r="K30" s="977"/>
      <c r="L30" s="977"/>
      <c r="M30" s="977"/>
      <c r="N30" s="977"/>
      <c r="O30" s="978"/>
    </row>
    <row r="31" spans="1:47" ht="39.75" customHeight="1" x14ac:dyDescent="0.2">
      <c r="A31" s="1044"/>
      <c r="B31" s="1045"/>
      <c r="C31" s="1045"/>
      <c r="D31" s="1046"/>
      <c r="E31" s="1046"/>
      <c r="F31" s="1046"/>
      <c r="G31" s="1046"/>
      <c r="H31" s="1046"/>
      <c r="I31" s="1046"/>
      <c r="J31" s="1046"/>
      <c r="K31" s="1046"/>
      <c r="L31" s="1046"/>
      <c r="M31" s="1046"/>
      <c r="N31" s="1046"/>
      <c r="O31" s="1047"/>
    </row>
    <row r="32" spans="1:47" ht="14.1" customHeight="1" x14ac:dyDescent="0.2">
      <c r="A32" s="1048"/>
      <c r="B32" s="1049"/>
      <c r="C32" s="1049"/>
      <c r="D32" s="924" t="s">
        <v>49</v>
      </c>
      <c r="E32" s="925"/>
      <c r="F32" s="925"/>
      <c r="G32" s="925"/>
      <c r="H32" s="924" t="s">
        <v>160</v>
      </c>
      <c r="I32" s="925"/>
      <c r="J32" s="925"/>
      <c r="K32" s="925"/>
      <c r="L32" s="924" t="s">
        <v>50</v>
      </c>
      <c r="M32" s="925"/>
      <c r="N32" s="925"/>
      <c r="O32" s="931"/>
    </row>
    <row r="33" spans="1:18" ht="39.950000000000003" customHeight="1" x14ac:dyDescent="0.2">
      <c r="A33" s="972" t="s">
        <v>248</v>
      </c>
      <c r="B33" s="973"/>
      <c r="C33" s="973"/>
      <c r="D33" s="749"/>
      <c r="E33" s="750"/>
      <c r="F33" s="750"/>
      <c r="G33" s="750"/>
      <c r="H33" s="749"/>
      <c r="I33" s="750"/>
      <c r="J33" s="750"/>
      <c r="K33" s="750"/>
      <c r="L33" s="749"/>
      <c r="M33" s="750"/>
      <c r="N33" s="750"/>
      <c r="O33" s="751"/>
    </row>
    <row r="34" spans="1:18" ht="14.1" customHeight="1" x14ac:dyDescent="0.2">
      <c r="A34" s="972" t="s">
        <v>249</v>
      </c>
      <c r="B34" s="973"/>
      <c r="C34" s="973"/>
      <c r="D34" s="974" t="s">
        <v>363</v>
      </c>
      <c r="E34" s="750"/>
      <c r="F34" s="750"/>
      <c r="G34" s="750"/>
      <c r="H34" s="749" t="s">
        <v>363</v>
      </c>
      <c r="I34" s="750"/>
      <c r="J34" s="750"/>
      <c r="K34" s="750"/>
      <c r="L34" s="749" t="s">
        <v>363</v>
      </c>
      <c r="M34" s="750"/>
      <c r="N34" s="750"/>
      <c r="O34" s="751"/>
      <c r="P34" s="395" t="s">
        <v>168</v>
      </c>
      <c r="Q34" s="395" t="s">
        <v>364</v>
      </c>
    </row>
    <row r="35" spans="1:18" ht="14.1" customHeight="1" x14ac:dyDescent="0.2">
      <c r="A35" s="972" t="s">
        <v>250</v>
      </c>
      <c r="B35" s="973"/>
      <c r="C35" s="973"/>
      <c r="D35" s="749" t="str">
        <f>IF(D34="--","",VLOOKUP(D34,firmas!A3:B27,2,0))</f>
        <v/>
      </c>
      <c r="E35" s="750"/>
      <c r="F35" s="750"/>
      <c r="G35" s="750"/>
      <c r="H35" s="749" t="str">
        <f>IF(H34="--","",VLOOKUP(H34,firmas!A29:B31,2,0))</f>
        <v/>
      </c>
      <c r="I35" s="750"/>
      <c r="J35" s="750"/>
      <c r="K35" s="750"/>
      <c r="L35" s="749" t="str">
        <f>IF(L34="--","",VLOOKUP(L34,firmas!$A$33:$B$34,2))</f>
        <v/>
      </c>
      <c r="M35" s="750"/>
      <c r="N35" s="750"/>
      <c r="O35" s="751"/>
      <c r="P35" s="395" t="s">
        <v>357</v>
      </c>
      <c r="Q35" s="395" t="s">
        <v>366</v>
      </c>
      <c r="R35" s="262"/>
    </row>
    <row r="36" spans="1:18" ht="18" customHeight="1" x14ac:dyDescent="0.2">
      <c r="A36" s="971" t="s">
        <v>159</v>
      </c>
      <c r="B36" s="971"/>
      <c r="C36" s="971"/>
      <c r="D36" s="971"/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971"/>
      <c r="P36" s="395" t="s">
        <v>364</v>
      </c>
      <c r="Q36" s="395" t="s">
        <v>365</v>
      </c>
    </row>
    <row r="37" spans="1:18" ht="27.95" customHeight="1" x14ac:dyDescent="0.2">
      <c r="A37" s="756" t="s">
        <v>156</v>
      </c>
      <c r="B37" s="756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</row>
    <row r="38" spans="1:18" ht="14.1" customHeight="1" x14ac:dyDescent="0.2">
      <c r="A38" s="942"/>
      <c r="B38" s="943"/>
      <c r="C38" s="944"/>
      <c r="D38" s="877" t="s">
        <v>139</v>
      </c>
      <c r="E38" s="878"/>
      <c r="F38" s="878"/>
      <c r="G38" s="878"/>
      <c r="H38" s="878"/>
      <c r="I38" s="878"/>
      <c r="J38" s="878"/>
      <c r="K38" s="878"/>
      <c r="L38" s="878"/>
      <c r="M38" s="878"/>
      <c r="N38" s="878"/>
      <c r="O38" s="879"/>
    </row>
    <row r="39" spans="1:18" ht="14.1" customHeight="1" x14ac:dyDescent="0.2">
      <c r="A39" s="945"/>
      <c r="B39" s="946"/>
      <c r="C39" s="947"/>
      <c r="D39" s="880" t="s">
        <v>372</v>
      </c>
      <c r="E39" s="881"/>
      <c r="F39" s="881"/>
      <c r="G39" s="881"/>
      <c r="H39" s="881"/>
      <c r="I39" s="881"/>
      <c r="J39" s="881"/>
      <c r="K39" s="881"/>
      <c r="L39" s="881"/>
      <c r="M39" s="881"/>
      <c r="N39" s="881"/>
      <c r="O39" s="882"/>
    </row>
    <row r="40" spans="1:18" ht="14.1" customHeight="1" x14ac:dyDescent="0.2">
      <c r="A40" s="945"/>
      <c r="B40" s="946"/>
      <c r="C40" s="947"/>
      <c r="D40" s="883" t="s">
        <v>158</v>
      </c>
      <c r="E40" s="981"/>
      <c r="F40" s="981"/>
      <c r="G40" s="981"/>
      <c r="H40" s="981"/>
      <c r="I40" s="981"/>
      <c r="J40" s="981"/>
      <c r="K40" s="981"/>
      <c r="L40" s="981"/>
      <c r="M40" s="981"/>
      <c r="N40" s="981"/>
      <c r="O40" s="982"/>
    </row>
    <row r="41" spans="1:18" ht="12.95" customHeight="1" x14ac:dyDescent="0.2">
      <c r="A41" s="945"/>
      <c r="B41" s="946"/>
      <c r="C41" s="947"/>
      <c r="D41" s="752" t="s">
        <v>165</v>
      </c>
      <c r="E41" s="753"/>
      <c r="F41" s="753"/>
      <c r="G41" s="753"/>
      <c r="H41" s="753"/>
      <c r="I41" s="753"/>
      <c r="J41" s="753"/>
      <c r="K41" s="753"/>
      <c r="L41" s="754"/>
      <c r="M41" s="752" t="s">
        <v>381</v>
      </c>
      <c r="N41" s="753"/>
      <c r="O41" s="754"/>
    </row>
    <row r="42" spans="1:18" ht="12.95" customHeight="1" x14ac:dyDescent="0.2">
      <c r="A42" s="948"/>
      <c r="B42" s="949"/>
      <c r="C42" s="950"/>
      <c r="D42" s="752" t="s">
        <v>382</v>
      </c>
      <c r="E42" s="753"/>
      <c r="F42" s="753"/>
      <c r="G42" s="753"/>
      <c r="H42" s="753"/>
      <c r="I42" s="753"/>
      <c r="J42" s="753"/>
      <c r="K42" s="753"/>
      <c r="L42" s="753"/>
      <c r="M42" s="753"/>
      <c r="N42" s="753"/>
      <c r="O42" s="754"/>
    </row>
    <row r="43" spans="1:18" ht="12.95" customHeight="1" x14ac:dyDescent="0.2">
      <c r="A43" s="764" t="s">
        <v>193</v>
      </c>
      <c r="B43" s="765"/>
      <c r="C43" s="765"/>
      <c r="D43" s="765"/>
      <c r="E43" s="980" t="str">
        <f>IF(E6="","",E6)</f>
        <v/>
      </c>
      <c r="F43" s="980"/>
      <c r="G43" s="980"/>
      <c r="H43" s="980"/>
      <c r="I43" s="980"/>
      <c r="J43" s="980"/>
      <c r="K43" s="920" t="s">
        <v>216</v>
      </c>
      <c r="L43" s="920"/>
      <c r="M43" s="920"/>
      <c r="N43" s="937" t="str">
        <f>IF(N6="","",N6)</f>
        <v/>
      </c>
      <c r="O43" s="938"/>
    </row>
    <row r="44" spans="1:18" ht="12.95" customHeight="1" x14ac:dyDescent="0.2">
      <c r="A44" s="758" t="s">
        <v>194</v>
      </c>
      <c r="B44" s="759"/>
      <c r="C44" s="759"/>
      <c r="D44" s="759"/>
      <c r="E44" s="951" t="str">
        <f>IF(E7="","",E7)</f>
        <v/>
      </c>
      <c r="F44" s="951"/>
      <c r="G44" s="951"/>
      <c r="H44" s="951"/>
      <c r="I44" s="951"/>
      <c r="J44" s="951"/>
      <c r="K44" s="858" t="s">
        <v>199</v>
      </c>
      <c r="L44" s="858"/>
      <c r="M44" s="858"/>
      <c r="N44" s="875" t="str">
        <f>IF(N7="","",N7)</f>
        <v/>
      </c>
      <c r="O44" s="876"/>
    </row>
    <row r="45" spans="1:18" ht="12.95" customHeight="1" x14ac:dyDescent="0.2">
      <c r="A45" s="758" t="s">
        <v>208</v>
      </c>
      <c r="B45" s="759"/>
      <c r="C45" s="759"/>
      <c r="D45" s="759"/>
      <c r="E45" s="951" t="str">
        <f>IF(E8="","",E8)</f>
        <v/>
      </c>
      <c r="F45" s="951"/>
      <c r="G45" s="951"/>
      <c r="H45" s="951"/>
      <c r="I45" s="951"/>
      <c r="J45" s="951"/>
      <c r="K45" s="858" t="s">
        <v>217</v>
      </c>
      <c r="L45" s="858"/>
      <c r="M45" s="858"/>
      <c r="N45" s="762" t="str">
        <f>IF(N8="","",N8)</f>
        <v/>
      </c>
      <c r="O45" s="763"/>
    </row>
    <row r="46" spans="1:18" ht="12.95" customHeight="1" x14ac:dyDescent="0.2">
      <c r="A46" s="760" t="s">
        <v>266</v>
      </c>
      <c r="B46" s="761"/>
      <c r="C46" s="761"/>
      <c r="D46" s="761"/>
      <c r="E46" s="951" t="str">
        <f>IF(E9="","",E9)</f>
        <v/>
      </c>
      <c r="F46" s="951"/>
      <c r="G46" s="951"/>
      <c r="H46" s="951"/>
      <c r="I46" s="951"/>
      <c r="J46" s="951"/>
      <c r="K46" s="858" t="s">
        <v>218</v>
      </c>
      <c r="L46" s="858"/>
      <c r="M46" s="858"/>
      <c r="N46" s="762" t="str">
        <f>IF(N9="","",N9)</f>
        <v/>
      </c>
      <c r="O46" s="763"/>
    </row>
    <row r="47" spans="1:18" ht="24.6" customHeight="1" thickBot="1" x14ac:dyDescent="0.25">
      <c r="A47" s="773" t="s">
        <v>265</v>
      </c>
      <c r="B47" s="774"/>
      <c r="C47" s="774"/>
      <c r="D47" s="774"/>
      <c r="E47" s="772" t="str">
        <f>IF(E10="","",E10)</f>
        <v/>
      </c>
      <c r="F47" s="772"/>
      <c r="G47" s="772"/>
      <c r="H47" s="772"/>
      <c r="I47" s="772"/>
      <c r="J47" s="772"/>
      <c r="K47" s="776" t="s">
        <v>205</v>
      </c>
      <c r="L47" s="776"/>
      <c r="M47" s="776"/>
      <c r="N47" s="770" t="str">
        <f>IF(N10="","",N10)</f>
        <v/>
      </c>
      <c r="O47" s="771">
        <v>9</v>
      </c>
    </row>
    <row r="48" spans="1:18" ht="17.25" customHeight="1" thickTop="1" x14ac:dyDescent="0.2">
      <c r="A48" s="695" t="s">
        <v>371</v>
      </c>
      <c r="B48" s="696"/>
      <c r="C48" s="696"/>
      <c r="D48" s="697"/>
      <c r="E48" s="697"/>
      <c r="F48" s="697"/>
      <c r="G48" s="697"/>
      <c r="H48" s="697"/>
      <c r="I48" s="697"/>
      <c r="J48" s="697"/>
      <c r="K48" s="697"/>
      <c r="L48" s="697"/>
      <c r="M48" s="698"/>
      <c r="N48" s="698"/>
      <c r="O48" s="699"/>
      <c r="R48" s="395" t="str">
        <f>A55</f>
        <v>Solvente utilizado:</v>
      </c>
    </row>
    <row r="49" spans="1:34" ht="14.25" customHeight="1" x14ac:dyDescent="0.2">
      <c r="A49" s="1036" t="s">
        <v>166</v>
      </c>
      <c r="B49" s="781" t="s">
        <v>206</v>
      </c>
      <c r="C49" s="1028" t="s">
        <v>288</v>
      </c>
      <c r="D49" s="782"/>
      <c r="E49" s="782" t="s">
        <v>262</v>
      </c>
      <c r="F49" s="782"/>
      <c r="G49" s="782" t="s">
        <v>263</v>
      </c>
      <c r="H49" s="782"/>
      <c r="I49" s="782" t="s">
        <v>264</v>
      </c>
      <c r="J49" s="782"/>
      <c r="K49" s="767" t="s">
        <v>271</v>
      </c>
      <c r="L49" s="781"/>
      <c r="M49" s="767" t="s">
        <v>113</v>
      </c>
      <c r="N49" s="767" t="s">
        <v>305</v>
      </c>
      <c r="O49" s="768"/>
      <c r="R49" s="395" t="s">
        <v>132</v>
      </c>
    </row>
    <row r="50" spans="1:34" ht="13.5" customHeight="1" x14ac:dyDescent="0.2">
      <c r="A50" s="1037"/>
      <c r="B50" s="795"/>
      <c r="C50" s="1029"/>
      <c r="D50" s="783"/>
      <c r="E50" s="783"/>
      <c r="F50" s="783"/>
      <c r="G50" s="783"/>
      <c r="H50" s="783"/>
      <c r="I50" s="783"/>
      <c r="J50" s="783"/>
      <c r="K50" s="577" t="s">
        <v>270</v>
      </c>
      <c r="L50" s="385" t="s">
        <v>306</v>
      </c>
      <c r="M50" s="777"/>
      <c r="N50" s="777"/>
      <c r="O50" s="778"/>
      <c r="R50" s="395" t="s">
        <v>362</v>
      </c>
    </row>
    <row r="51" spans="1:34" ht="12" customHeight="1" x14ac:dyDescent="0.2">
      <c r="A51" s="389">
        <v>1</v>
      </c>
      <c r="B51" s="263"/>
      <c r="C51" s="813"/>
      <c r="D51" s="793"/>
      <c r="E51" s="793"/>
      <c r="F51" s="793"/>
      <c r="G51" s="793"/>
      <c r="H51" s="793"/>
      <c r="I51" s="791"/>
      <c r="J51" s="791"/>
      <c r="K51" s="573"/>
      <c r="L51" s="264"/>
      <c r="M51" s="383" t="str">
        <f>IF(C51="","",100*(((C51-E51)-(G51+(L51-K51)+I51))/(C51-E51)))</f>
        <v/>
      </c>
      <c r="N51" s="779" t="str">
        <f>IF(M51="","",IF(OR(M51&lt;($M$54-0.5),M51&gt;($M$54+0.5)),"No Cumple","cumple"))</f>
        <v/>
      </c>
      <c r="O51" s="780"/>
      <c r="P51" s="395" t="str">
        <f>IF(N51="","",IF(N51="cumple",0,1))</f>
        <v/>
      </c>
      <c r="Q51" s="396" t="e">
        <f>(M54*0.95)</f>
        <v>#VALUE!</v>
      </c>
      <c r="R51" s="395" t="s">
        <v>342</v>
      </c>
    </row>
    <row r="52" spans="1:34" ht="12" customHeight="1" x14ac:dyDescent="0.2">
      <c r="A52" s="389">
        <v>2</v>
      </c>
      <c r="B52" s="263"/>
      <c r="C52" s="814"/>
      <c r="D52" s="757"/>
      <c r="E52" s="757"/>
      <c r="F52" s="757"/>
      <c r="G52" s="757"/>
      <c r="H52" s="757"/>
      <c r="I52" s="790"/>
      <c r="J52" s="790"/>
      <c r="K52" s="573"/>
      <c r="L52" s="264"/>
      <c r="M52" s="383" t="str">
        <f>IF(C52="","",100*(((C52-E52)-(G52+(L52-K52)+I52))/(C52-E52)))</f>
        <v/>
      </c>
      <c r="N52" s="779" t="str">
        <f t="shared" ref="N52:N53" si="0">IF(M52="","",IF(OR(M52&lt;($M$54-0.5),M52&gt;($M$54+0.5)),"No Cumple","cumple"))</f>
        <v/>
      </c>
      <c r="O52" s="780"/>
      <c r="P52" s="395" t="str">
        <f>IF(N52="","",IF(N52="cumple",0,1))</f>
        <v/>
      </c>
      <c r="Q52" s="396" t="e">
        <f>M54*1.05</f>
        <v>#VALUE!</v>
      </c>
      <c r="R52" s="395" t="s">
        <v>343</v>
      </c>
    </row>
    <row r="53" spans="1:34" ht="12" customHeight="1" x14ac:dyDescent="0.2">
      <c r="A53" s="389">
        <v>3</v>
      </c>
      <c r="B53" s="263"/>
      <c r="C53" s="814"/>
      <c r="D53" s="757"/>
      <c r="E53" s="757"/>
      <c r="F53" s="757"/>
      <c r="G53" s="757"/>
      <c r="H53" s="757"/>
      <c r="I53" s="790"/>
      <c r="J53" s="790"/>
      <c r="K53" s="573"/>
      <c r="L53" s="264"/>
      <c r="M53" s="383" t="str">
        <f>IF(C53="","",100*(((C53-E53)-(G53+(L53-K53)+I53))/(C53-E53)))</f>
        <v/>
      </c>
      <c r="N53" s="779" t="str">
        <f t="shared" si="0"/>
        <v/>
      </c>
      <c r="O53" s="780"/>
      <c r="P53" s="395" t="str">
        <f>IF(N53="","",IF(N53="cumple",0,1))</f>
        <v/>
      </c>
      <c r="Q53" s="395"/>
    </row>
    <row r="54" spans="1:34" ht="12" customHeight="1" x14ac:dyDescent="0.2">
      <c r="A54" s="811" t="s">
        <v>27</v>
      </c>
      <c r="B54" s="812"/>
      <c r="C54" s="792" t="str">
        <f>IF(C51="","",AVERAGE(C51:D53))</f>
        <v/>
      </c>
      <c r="D54" s="766"/>
      <c r="E54" s="766" t="str">
        <f>IF(E51="","",AVERAGE(E51:F53))</f>
        <v/>
      </c>
      <c r="F54" s="766"/>
      <c r="G54" s="766" t="str">
        <f>IF(G51="","",AVERAGE(G51:H53))</f>
        <v/>
      </c>
      <c r="H54" s="766"/>
      <c r="I54" s="766" t="str">
        <f>IF(I51="","",AVERAGE(I51:J53))</f>
        <v/>
      </c>
      <c r="J54" s="766"/>
      <c r="K54" s="574" t="str">
        <f>IF(K51="","",AVERAGE(K51:K53))</f>
        <v/>
      </c>
      <c r="L54" s="382" t="str">
        <f>IF(L51="","",AVERAGE(L51:L53))</f>
        <v/>
      </c>
      <c r="M54" s="384" t="str">
        <f>IF(M51="","",AVERAGE(M51:M53))</f>
        <v/>
      </c>
      <c r="N54" s="689"/>
      <c r="O54" s="690"/>
      <c r="P54" s="395" t="str">
        <f>IF(P51="","",SUM(P51:P53))</f>
        <v/>
      </c>
      <c r="Q54" s="395"/>
    </row>
    <row r="55" spans="1:34" ht="12.95" customHeight="1" thickBot="1" x14ac:dyDescent="0.25">
      <c r="A55" s="821" t="s">
        <v>131</v>
      </c>
      <c r="B55" s="822"/>
      <c r="C55" s="822"/>
      <c r="D55" s="787"/>
      <c r="E55" s="787"/>
      <c r="F55" s="787"/>
      <c r="G55" s="936" t="s">
        <v>380</v>
      </c>
      <c r="H55" s="936"/>
      <c r="I55" s="936"/>
      <c r="J55" s="936"/>
      <c r="K55" s="936"/>
      <c r="L55" s="936"/>
      <c r="M55" s="936"/>
      <c r="N55" s="788" t="str">
        <f>IF(P54="","",IF(P54&gt;1,"No cumple","Cumple"))</f>
        <v/>
      </c>
      <c r="O55" s="789"/>
      <c r="P55" s="578" t="str">
        <f>IF(P54&gt;1,"No cumple","Cumple")</f>
        <v>No cumple</v>
      </c>
      <c r="Q55" s="397"/>
    </row>
    <row r="56" spans="1:34" ht="12.95" customHeight="1" thickTop="1" x14ac:dyDescent="0.2">
      <c r="A56" s="932" t="s">
        <v>110</v>
      </c>
      <c r="B56" s="933"/>
      <c r="C56" s="934"/>
      <c r="D56" s="934"/>
      <c r="E56" s="934"/>
      <c r="F56" s="934"/>
      <c r="G56" s="934"/>
      <c r="H56" s="934"/>
      <c r="I56" s="934"/>
      <c r="J56" s="934"/>
      <c r="K56" s="934"/>
      <c r="L56" s="934"/>
      <c r="M56" s="934"/>
      <c r="N56" s="934"/>
      <c r="O56" s="935"/>
      <c r="P56" s="395"/>
      <c r="Q56" s="395"/>
    </row>
    <row r="57" spans="1:34" ht="24" customHeight="1" x14ac:dyDescent="0.2">
      <c r="A57" s="579" t="s">
        <v>281</v>
      </c>
      <c r="B57" s="767" t="s">
        <v>133</v>
      </c>
      <c r="C57" s="767"/>
      <c r="D57" s="775" t="s">
        <v>162</v>
      </c>
      <c r="E57" s="775"/>
      <c r="F57" s="775"/>
      <c r="G57" s="767" t="s">
        <v>207</v>
      </c>
      <c r="H57" s="767"/>
      <c r="I57" s="767"/>
      <c r="J57" s="767" t="s">
        <v>163</v>
      </c>
      <c r="K57" s="767"/>
      <c r="L57" s="767"/>
      <c r="M57" s="564" t="s">
        <v>164</v>
      </c>
      <c r="N57" s="767" t="s">
        <v>267</v>
      </c>
      <c r="O57" s="768"/>
      <c r="P57" s="395"/>
      <c r="Q57" s="398" t="s">
        <v>267</v>
      </c>
    </row>
    <row r="58" spans="1:34" ht="12.95" customHeight="1" x14ac:dyDescent="0.2">
      <c r="A58" s="388">
        <v>1</v>
      </c>
      <c r="B58" s="769" t="str">
        <f>+IF(G51="","",G51)</f>
        <v/>
      </c>
      <c r="C58" s="769"/>
      <c r="D58" s="1056" t="str">
        <f>IF(B58="","",B58+(L51-K51))</f>
        <v/>
      </c>
      <c r="E58" s="1056"/>
      <c r="F58" s="1056"/>
      <c r="G58" s="769"/>
      <c r="H58" s="769"/>
      <c r="I58" s="769"/>
      <c r="J58" s="786" t="str">
        <f>IF(B58="","",B58-G58)</f>
        <v/>
      </c>
      <c r="K58" s="786"/>
      <c r="L58" s="786"/>
      <c r="M58" s="565" t="str">
        <f>IF(OR(E64="",B58=""),"",SUM(E64:M64)+O64)</f>
        <v/>
      </c>
      <c r="N58" s="784" t="str">
        <f>IF(M58="","",1-(P64/G58))</f>
        <v/>
      </c>
      <c r="O58" s="785"/>
      <c r="P58" s="395"/>
      <c r="Q58" s="399" t="str">
        <f>IF(N58&gt;0.2,"No cumple","cumple")</f>
        <v>No cumple</v>
      </c>
    </row>
    <row r="59" spans="1:34" ht="12.95" customHeight="1" x14ac:dyDescent="0.2">
      <c r="A59" s="389">
        <v>2</v>
      </c>
      <c r="B59" s="867" t="str">
        <f t="shared" ref="B59:B60" si="1">+IF(G52="","",G52)</f>
        <v/>
      </c>
      <c r="C59" s="867"/>
      <c r="D59" s="939" t="str">
        <f>IF(B59="","",B59+(L52-K52))</f>
        <v/>
      </c>
      <c r="E59" s="939"/>
      <c r="F59" s="939"/>
      <c r="G59" s="867"/>
      <c r="H59" s="867"/>
      <c r="I59" s="867"/>
      <c r="J59" s="888" t="str">
        <f>IF(B59="","",B59-G59)</f>
        <v/>
      </c>
      <c r="K59" s="888"/>
      <c r="L59" s="888"/>
      <c r="M59" s="566" t="str">
        <f>IF(OR(E65="",B59=""),"",SUM(E65:M65)+O65)</f>
        <v/>
      </c>
      <c r="N59" s="823" t="str">
        <f t="shared" ref="N59:N60" si="2">IF(M59="","",1-(P65/G59))</f>
        <v/>
      </c>
      <c r="O59" s="824"/>
      <c r="P59" s="395"/>
      <c r="Q59" s="399" t="str">
        <f>IF(N59&gt;0.2,"No cumple","cumple")</f>
        <v>No cumple</v>
      </c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</row>
    <row r="60" spans="1:34" ht="12.95" customHeight="1" x14ac:dyDescent="0.2">
      <c r="A60" s="389">
        <v>3</v>
      </c>
      <c r="B60" s="867" t="str">
        <f t="shared" si="1"/>
        <v/>
      </c>
      <c r="C60" s="867"/>
      <c r="D60" s="939" t="str">
        <f>IF(B60="","",B60+(L53-K53))</f>
        <v/>
      </c>
      <c r="E60" s="939"/>
      <c r="F60" s="939"/>
      <c r="G60" s="940"/>
      <c r="H60" s="940"/>
      <c r="I60" s="940"/>
      <c r="J60" s="888" t="str">
        <f>IF(B60="","",B60-G60)</f>
        <v/>
      </c>
      <c r="K60" s="888"/>
      <c r="L60" s="888"/>
      <c r="M60" s="566" t="str">
        <f>IF(OR(E66="",B60=""),"",SUM(E66:M66)+O66)</f>
        <v/>
      </c>
      <c r="N60" s="823" t="str">
        <f t="shared" si="2"/>
        <v/>
      </c>
      <c r="O60" s="824"/>
      <c r="P60" s="395"/>
      <c r="Q60" s="399" t="str">
        <f>IF(N60&gt;0.2,"No cumple","cumple")</f>
        <v>No cumple</v>
      </c>
      <c r="R60" s="395"/>
      <c r="S60" s="395"/>
      <c r="T60" s="395"/>
      <c r="U60" s="395"/>
      <c r="V60" s="395"/>
      <c r="W60" s="510"/>
      <c r="X60" s="510"/>
      <c r="Y60" s="510"/>
      <c r="Z60" s="510"/>
      <c r="AA60" s="510"/>
      <c r="AB60" s="510"/>
      <c r="AC60" s="510"/>
      <c r="AD60" s="510"/>
      <c r="AE60" s="510"/>
      <c r="AF60" s="268"/>
      <c r="AG60" s="268"/>
      <c r="AH60" s="268"/>
    </row>
    <row r="61" spans="1:34" ht="12.95" customHeight="1" x14ac:dyDescent="0.2">
      <c r="A61" s="386" t="s">
        <v>27</v>
      </c>
      <c r="B61" s="868" t="str">
        <f>IF(B58="","",AVERAGE(B58:C60))</f>
        <v/>
      </c>
      <c r="C61" s="868"/>
      <c r="D61" s="868" t="str">
        <f>IF(D58="","",AVERAGE(D58:D60))</f>
        <v/>
      </c>
      <c r="E61" s="868"/>
      <c r="F61" s="868"/>
      <c r="G61" s="868" t="str">
        <f>IF(G58="","",AVERAGE(G58:I60))</f>
        <v/>
      </c>
      <c r="H61" s="868"/>
      <c r="I61" s="868"/>
      <c r="J61" s="868" t="str">
        <f>IF(J58="","",AVERAGE(J58:L60))</f>
        <v/>
      </c>
      <c r="K61" s="868"/>
      <c r="L61" s="868"/>
      <c r="M61" s="387" t="str">
        <f>IF(M58="","",AVERAGE(M58:M60))</f>
        <v/>
      </c>
      <c r="N61" s="918" t="str">
        <f>IF(N58="","",1-(P67/G61))</f>
        <v/>
      </c>
      <c r="O61" s="919"/>
      <c r="P61" s="395" t="e">
        <f>M61/D61</f>
        <v>#VALUE!</v>
      </c>
      <c r="Q61" s="399" t="str">
        <f>IF(N61&gt;0.2,"No cumple","cumple")</f>
        <v>No cumple</v>
      </c>
      <c r="R61" s="395"/>
      <c r="S61" s="395">
        <v>1</v>
      </c>
      <c r="T61" s="395">
        <v>2</v>
      </c>
      <c r="U61" s="395">
        <v>2</v>
      </c>
      <c r="V61" s="395">
        <v>3</v>
      </c>
      <c r="W61" s="395">
        <v>4</v>
      </c>
      <c r="X61" s="395">
        <v>5</v>
      </c>
      <c r="Y61" s="395">
        <v>6</v>
      </c>
      <c r="Z61" s="395">
        <v>6</v>
      </c>
      <c r="AA61" s="395">
        <v>7</v>
      </c>
      <c r="AB61" s="395">
        <v>8</v>
      </c>
      <c r="AC61" s="395">
        <v>9</v>
      </c>
      <c r="AD61" s="395">
        <v>10</v>
      </c>
      <c r="AE61" s="395">
        <v>10</v>
      </c>
      <c r="AF61" s="268"/>
      <c r="AG61" s="268"/>
      <c r="AH61" s="268"/>
    </row>
    <row r="62" spans="1:34" ht="12.95" customHeight="1" x14ac:dyDescent="0.2">
      <c r="A62" s="897" t="s">
        <v>136</v>
      </c>
      <c r="B62" s="898"/>
      <c r="C62" s="898" t="s">
        <v>189</v>
      </c>
      <c r="D62" s="898"/>
      <c r="E62" s="390" t="s">
        <v>1</v>
      </c>
      <c r="F62" s="390" t="s">
        <v>2</v>
      </c>
      <c r="G62" s="391" t="s">
        <v>5</v>
      </c>
      <c r="H62" s="391" t="s">
        <v>3</v>
      </c>
      <c r="I62" s="391" t="s">
        <v>52</v>
      </c>
      <c r="J62" s="391" t="s">
        <v>127</v>
      </c>
      <c r="K62" s="391" t="s">
        <v>128</v>
      </c>
      <c r="L62" s="391" t="s">
        <v>129</v>
      </c>
      <c r="M62" s="392" t="s">
        <v>130</v>
      </c>
      <c r="N62" s="741" t="s">
        <v>236</v>
      </c>
      <c r="O62" s="743" t="s">
        <v>237</v>
      </c>
      <c r="P62" s="395"/>
      <c r="Q62" s="400"/>
      <c r="R62" s="395"/>
      <c r="S62" s="502" t="s">
        <v>189</v>
      </c>
      <c r="T62" s="390" t="s">
        <v>1</v>
      </c>
      <c r="U62" s="390" t="s">
        <v>1</v>
      </c>
      <c r="V62" s="390" t="s">
        <v>2</v>
      </c>
      <c r="W62" s="391" t="s">
        <v>5</v>
      </c>
      <c r="X62" s="391" t="s">
        <v>3</v>
      </c>
      <c r="Y62" s="391" t="s">
        <v>52</v>
      </c>
      <c r="Z62" s="391" t="s">
        <v>52</v>
      </c>
      <c r="AA62" s="391" t="s">
        <v>127</v>
      </c>
      <c r="AB62" s="391" t="s">
        <v>128</v>
      </c>
      <c r="AC62" s="391" t="s">
        <v>129</v>
      </c>
      <c r="AD62" s="392" t="s">
        <v>130</v>
      </c>
      <c r="AE62" s="392" t="s">
        <v>130</v>
      </c>
      <c r="AF62" s="741"/>
      <c r="AG62" s="743"/>
      <c r="AH62" s="268"/>
    </row>
    <row r="63" spans="1:34" ht="12.95" customHeight="1" x14ac:dyDescent="0.2">
      <c r="A63" s="899"/>
      <c r="B63" s="900"/>
      <c r="C63" s="915" t="s">
        <v>92</v>
      </c>
      <c r="D63" s="915"/>
      <c r="E63" s="393">
        <v>25</v>
      </c>
      <c r="F63" s="394">
        <v>19</v>
      </c>
      <c r="G63" s="394">
        <v>12.5</v>
      </c>
      <c r="H63" s="394">
        <v>9.5</v>
      </c>
      <c r="I63" s="394">
        <v>4.75</v>
      </c>
      <c r="J63" s="394">
        <v>2</v>
      </c>
      <c r="K63" s="394">
        <v>0.42499999999999999</v>
      </c>
      <c r="L63" s="394">
        <v>0.18</v>
      </c>
      <c r="M63" s="394">
        <v>7.4999999999999997E-2</v>
      </c>
      <c r="N63" s="742"/>
      <c r="O63" s="743"/>
      <c r="P63" s="395"/>
      <c r="Q63" s="395"/>
      <c r="R63" s="395"/>
      <c r="S63" s="503" t="s">
        <v>92</v>
      </c>
      <c r="T63" s="393">
        <v>25</v>
      </c>
      <c r="U63" s="393">
        <v>25</v>
      </c>
      <c r="V63" s="394">
        <v>19</v>
      </c>
      <c r="W63" s="394">
        <v>12.5</v>
      </c>
      <c r="X63" s="394">
        <v>9.5</v>
      </c>
      <c r="Y63" s="394">
        <v>4.75</v>
      </c>
      <c r="Z63" s="394">
        <v>4.75</v>
      </c>
      <c r="AA63" s="394">
        <v>2</v>
      </c>
      <c r="AB63" s="394">
        <v>0.42499999999999999</v>
      </c>
      <c r="AC63" s="394">
        <v>0.18</v>
      </c>
      <c r="AD63" s="394">
        <v>7.4999999999999997E-2</v>
      </c>
      <c r="AE63" s="394">
        <v>7.4999999999999997E-2</v>
      </c>
      <c r="AF63" s="742"/>
      <c r="AG63" s="743"/>
      <c r="AH63" s="268"/>
    </row>
    <row r="64" spans="1:34" ht="12.95" customHeight="1" x14ac:dyDescent="0.2">
      <c r="A64" s="869" t="s">
        <v>239</v>
      </c>
      <c r="B64" s="889" t="s">
        <v>137</v>
      </c>
      <c r="C64" s="890"/>
      <c r="D64" s="402">
        <v>1</v>
      </c>
      <c r="E64" s="265"/>
      <c r="F64" s="266"/>
      <c r="G64" s="266"/>
      <c r="H64" s="266"/>
      <c r="I64" s="266"/>
      <c r="J64" s="266"/>
      <c r="K64" s="266"/>
      <c r="L64" s="266"/>
      <c r="M64" s="266"/>
      <c r="N64" s="266"/>
      <c r="O64" s="405" t="str">
        <f>IF(OR(N64="",J58=""),"",N64+J58+(L51-K51))</f>
        <v/>
      </c>
      <c r="P64" s="401">
        <f>SUM(E64:N64)</f>
        <v>0</v>
      </c>
      <c r="Q64" s="401">
        <f>G58-P64</f>
        <v>0</v>
      </c>
      <c r="R64" s="744" t="s">
        <v>125</v>
      </c>
      <c r="S64" s="504" t="s">
        <v>317</v>
      </c>
      <c r="T64" s="416">
        <v>100</v>
      </c>
      <c r="U64" s="416">
        <v>100</v>
      </c>
      <c r="V64" s="417">
        <v>100</v>
      </c>
      <c r="W64" s="417">
        <v>100</v>
      </c>
      <c r="X64" s="417">
        <v>80</v>
      </c>
      <c r="Y64" s="417">
        <v>59</v>
      </c>
      <c r="Z64" s="417">
        <v>59</v>
      </c>
      <c r="AA64" s="417">
        <v>36</v>
      </c>
      <c r="AB64" s="417">
        <v>15</v>
      </c>
      <c r="AC64" s="417">
        <v>9</v>
      </c>
      <c r="AD64" s="417">
        <v>5</v>
      </c>
      <c r="AE64" s="417">
        <v>5</v>
      </c>
      <c r="AF64" s="268"/>
      <c r="AG64" s="268"/>
      <c r="AH64" s="268"/>
    </row>
    <row r="65" spans="1:34" ht="12.95" customHeight="1" x14ac:dyDescent="0.2">
      <c r="A65" s="870"/>
      <c r="B65" s="891"/>
      <c r="C65" s="892"/>
      <c r="D65" s="572">
        <v>2</v>
      </c>
      <c r="E65" s="267"/>
      <c r="F65" s="250"/>
      <c r="G65" s="250"/>
      <c r="H65" s="250"/>
      <c r="I65" s="250"/>
      <c r="J65" s="250"/>
      <c r="K65" s="250"/>
      <c r="L65" s="250"/>
      <c r="M65" s="250"/>
      <c r="N65" s="250"/>
      <c r="O65" s="406" t="str">
        <f t="shared" ref="O65:O66" si="3">IF(OR(N65="",J59=""),"",N65+J59+(L52-K52))</f>
        <v/>
      </c>
      <c r="P65" s="401">
        <f t="shared" ref="P65:P67" si="4">SUM(E65:N65)</f>
        <v>0</v>
      </c>
      <c r="Q65" s="401">
        <f t="shared" ref="Q65:Q67" si="5">G59-P65</f>
        <v>0</v>
      </c>
      <c r="R65" s="745"/>
      <c r="S65" s="395" t="s">
        <v>169</v>
      </c>
      <c r="T65" s="416">
        <v>100</v>
      </c>
      <c r="U65" s="416">
        <v>100</v>
      </c>
      <c r="V65" s="417">
        <v>100</v>
      </c>
      <c r="W65" s="417">
        <v>80</v>
      </c>
      <c r="X65" s="417">
        <v>71</v>
      </c>
      <c r="Y65" s="417">
        <v>49</v>
      </c>
      <c r="Z65" s="417">
        <v>49</v>
      </c>
      <c r="AA65" s="417">
        <v>30</v>
      </c>
      <c r="AB65" s="417">
        <v>14</v>
      </c>
      <c r="AC65" s="417">
        <v>8</v>
      </c>
      <c r="AD65" s="417">
        <v>4</v>
      </c>
      <c r="AE65" s="417">
        <v>4</v>
      </c>
      <c r="AF65" s="268"/>
    </row>
    <row r="66" spans="1:34" ht="12.95" customHeight="1" x14ac:dyDescent="0.2">
      <c r="A66" s="870"/>
      <c r="B66" s="893"/>
      <c r="C66" s="894"/>
      <c r="D66" s="572">
        <v>3</v>
      </c>
      <c r="E66" s="267"/>
      <c r="F66" s="250"/>
      <c r="G66" s="250"/>
      <c r="H66" s="250"/>
      <c r="I66" s="250"/>
      <c r="J66" s="250"/>
      <c r="K66" s="250"/>
      <c r="L66" s="250"/>
      <c r="M66" s="250"/>
      <c r="N66" s="250"/>
      <c r="O66" s="406" t="str">
        <f t="shared" si="3"/>
        <v/>
      </c>
      <c r="P66" s="401">
        <f t="shared" si="4"/>
        <v>0</v>
      </c>
      <c r="Q66" s="401">
        <f t="shared" si="5"/>
        <v>0</v>
      </c>
      <c r="R66" s="745"/>
      <c r="S66" s="395" t="s">
        <v>378</v>
      </c>
      <c r="T66" s="416">
        <v>100</v>
      </c>
      <c r="U66" s="416">
        <v>100</v>
      </c>
      <c r="V66" s="417">
        <v>100</v>
      </c>
      <c r="W66" s="417">
        <v>80</v>
      </c>
      <c r="X66" s="417">
        <v>71</v>
      </c>
      <c r="Y66" s="417">
        <v>49</v>
      </c>
      <c r="Z66" s="417">
        <v>49</v>
      </c>
      <c r="AA66" s="417">
        <v>30</v>
      </c>
      <c r="AB66" s="417">
        <v>14</v>
      </c>
      <c r="AC66" s="417">
        <v>8</v>
      </c>
      <c r="AD66" s="417">
        <v>4</v>
      </c>
      <c r="AE66" s="417">
        <v>4</v>
      </c>
      <c r="AF66" s="268"/>
    </row>
    <row r="67" spans="1:34" ht="12.95" customHeight="1" x14ac:dyDescent="0.2">
      <c r="A67" s="870"/>
      <c r="B67" s="895" t="s">
        <v>138</v>
      </c>
      <c r="C67" s="874"/>
      <c r="D67" s="896"/>
      <c r="E67" s="408" t="str">
        <f>IF(E64="","",AVERAGE(E64:E66))</f>
        <v/>
      </c>
      <c r="F67" s="409" t="str">
        <f t="shared" ref="F67:K67" si="6">IF(F64="","",AVERAGE(F64:F66))</f>
        <v/>
      </c>
      <c r="G67" s="409" t="str">
        <f t="shared" si="6"/>
        <v/>
      </c>
      <c r="H67" s="409" t="str">
        <f t="shared" si="6"/>
        <v/>
      </c>
      <c r="I67" s="409" t="str">
        <f t="shared" si="6"/>
        <v/>
      </c>
      <c r="J67" s="409" t="str">
        <f>IF(J64="","",AVERAGE(J64:J66))</f>
        <v/>
      </c>
      <c r="K67" s="409" t="str">
        <f t="shared" si="6"/>
        <v/>
      </c>
      <c r="L67" s="409" t="str">
        <f>IF(L64="","",AVERAGE(L64:L66))</f>
        <v/>
      </c>
      <c r="M67" s="409" t="str">
        <f>IF(M64="","",AVERAGE(M64:M66))</f>
        <v/>
      </c>
      <c r="N67" s="409" t="str">
        <f>IF(N64="","",AVERAGE(N64:N66))</f>
        <v/>
      </c>
      <c r="O67" s="407" t="str">
        <f>IF(O64="","",AVERAGE(O64:O66))</f>
        <v/>
      </c>
      <c r="P67" s="401">
        <f t="shared" si="4"/>
        <v>0</v>
      </c>
      <c r="Q67" s="401" t="e">
        <f t="shared" si="5"/>
        <v>#VALUE!</v>
      </c>
      <c r="R67" s="745" t="s">
        <v>126</v>
      </c>
      <c r="S67" s="395" t="s">
        <v>319</v>
      </c>
      <c r="T67" s="416">
        <v>100</v>
      </c>
      <c r="U67" s="416">
        <v>100</v>
      </c>
      <c r="V67" s="417">
        <v>80</v>
      </c>
      <c r="W67" s="417">
        <v>66</v>
      </c>
      <c r="X67" s="417">
        <v>59</v>
      </c>
      <c r="Y67" s="417">
        <v>42</v>
      </c>
      <c r="Z67" s="417">
        <v>42</v>
      </c>
      <c r="AA67" s="417">
        <v>27</v>
      </c>
      <c r="AB67" s="417">
        <v>12</v>
      </c>
      <c r="AC67" s="417">
        <v>8</v>
      </c>
      <c r="AD67" s="417">
        <v>4</v>
      </c>
      <c r="AE67" s="417">
        <v>4</v>
      </c>
      <c r="AF67" s="268"/>
    </row>
    <row r="68" spans="1:34" ht="12.95" customHeight="1" x14ac:dyDescent="0.2">
      <c r="A68" s="871" t="s">
        <v>134</v>
      </c>
      <c r="B68" s="1054" t="s">
        <v>137</v>
      </c>
      <c r="C68" s="1055"/>
      <c r="D68" s="576">
        <v>1</v>
      </c>
      <c r="E68" s="410" t="str">
        <f>IF(E64="","",1-(E64/$D$58))</f>
        <v/>
      </c>
      <c r="F68" s="411" t="str">
        <f>IF(E68="","",E68-(F64/$D$58))</f>
        <v/>
      </c>
      <c r="G68" s="411" t="str">
        <f>IF(F68="","",F68-(G64/$D$58))</f>
        <v/>
      </c>
      <c r="H68" s="411" t="str">
        <f>IF(G68="","",G68-(H64/$D$58))</f>
        <v/>
      </c>
      <c r="I68" s="411" t="str">
        <f>IF(H68="","",H68-(I64/$D$58))</f>
        <v/>
      </c>
      <c r="J68" s="411" t="str">
        <f>IF(I68="","",I68-(J64/$D$58))</f>
        <v/>
      </c>
      <c r="K68" s="411" t="str">
        <f>IF(K64="","",J68-(K64/$D$58))</f>
        <v/>
      </c>
      <c r="L68" s="411" t="str">
        <f>IF(L64="","",K68-(L64/$D$58))</f>
        <v/>
      </c>
      <c r="M68" s="412" t="str">
        <f>IF(D58="","",L68-((M64)/$D$58))</f>
        <v/>
      </c>
      <c r="N68" s="909"/>
      <c r="O68" s="910"/>
      <c r="R68" s="745"/>
      <c r="S68" s="504" t="s">
        <v>317</v>
      </c>
      <c r="T68" s="418">
        <v>100</v>
      </c>
      <c r="U68" s="418">
        <v>100</v>
      </c>
      <c r="V68" s="419">
        <v>100</v>
      </c>
      <c r="W68" s="420">
        <v>100</v>
      </c>
      <c r="X68" s="420">
        <v>95</v>
      </c>
      <c r="Y68" s="420">
        <v>76</v>
      </c>
      <c r="Z68" s="420">
        <v>76</v>
      </c>
      <c r="AA68" s="419">
        <v>51</v>
      </c>
      <c r="AB68" s="420">
        <v>25</v>
      </c>
      <c r="AC68" s="420">
        <v>18</v>
      </c>
      <c r="AD68" s="420">
        <v>10</v>
      </c>
      <c r="AE68" s="420">
        <v>10</v>
      </c>
    </row>
    <row r="69" spans="1:34" ht="12.95" customHeight="1" x14ac:dyDescent="0.2">
      <c r="A69" s="872"/>
      <c r="B69" s="891"/>
      <c r="C69" s="892"/>
      <c r="D69" s="403">
        <v>2</v>
      </c>
      <c r="E69" s="413" t="str">
        <f>IF(E65="","",1-(E65/$D$59))</f>
        <v/>
      </c>
      <c r="F69" s="414" t="str">
        <f t="shared" ref="F69:L69" si="7">IF(E69="","",E69-(F65/$D$59))</f>
        <v/>
      </c>
      <c r="G69" s="414" t="str">
        <f t="shared" si="7"/>
        <v/>
      </c>
      <c r="H69" s="414" t="str">
        <f t="shared" si="7"/>
        <v/>
      </c>
      <c r="I69" s="414" t="str">
        <f t="shared" si="7"/>
        <v/>
      </c>
      <c r="J69" s="414" t="str">
        <f t="shared" si="7"/>
        <v/>
      </c>
      <c r="K69" s="414" t="str">
        <f t="shared" si="7"/>
        <v/>
      </c>
      <c r="L69" s="414" t="str">
        <f t="shared" si="7"/>
        <v/>
      </c>
      <c r="M69" s="415" t="str">
        <f>IF(M65="","",L69-((M65)/$D$59))</f>
        <v/>
      </c>
      <c r="N69" s="911"/>
      <c r="O69" s="912"/>
      <c r="P69" s="532"/>
      <c r="R69" s="745"/>
      <c r="S69" s="395" t="s">
        <v>169</v>
      </c>
      <c r="T69" s="418">
        <v>100</v>
      </c>
      <c r="U69" s="418">
        <v>100</v>
      </c>
      <c r="V69" s="419">
        <v>100</v>
      </c>
      <c r="W69" s="420">
        <v>95</v>
      </c>
      <c r="X69" s="420">
        <v>87</v>
      </c>
      <c r="Y69" s="420">
        <v>65</v>
      </c>
      <c r="Z69" s="420">
        <v>65</v>
      </c>
      <c r="AA69" s="419">
        <v>44</v>
      </c>
      <c r="AB69" s="420">
        <v>22</v>
      </c>
      <c r="AC69" s="420">
        <v>16</v>
      </c>
      <c r="AD69" s="420">
        <v>9</v>
      </c>
      <c r="AE69" s="420">
        <v>9</v>
      </c>
    </row>
    <row r="70" spans="1:34" ht="12.95" customHeight="1" x14ac:dyDescent="0.2">
      <c r="A70" s="872"/>
      <c r="B70" s="893"/>
      <c r="C70" s="894"/>
      <c r="D70" s="404">
        <v>3</v>
      </c>
      <c r="E70" s="413" t="str">
        <f>IF(E66="","",1-(E66/$D$60))</f>
        <v/>
      </c>
      <c r="F70" s="414" t="str">
        <f t="shared" ref="F70:L70" si="8">IF(E70="","",E70-(F66/$D$60))</f>
        <v/>
      </c>
      <c r="G70" s="414" t="str">
        <f>IF(F70="","",F70-(G66/$D$60))</f>
        <v/>
      </c>
      <c r="H70" s="414" t="str">
        <f t="shared" si="8"/>
        <v/>
      </c>
      <c r="I70" s="414" t="str">
        <f t="shared" si="8"/>
        <v/>
      </c>
      <c r="J70" s="414" t="str">
        <f t="shared" si="8"/>
        <v/>
      </c>
      <c r="K70" s="414" t="str">
        <f t="shared" si="8"/>
        <v/>
      </c>
      <c r="L70" s="414" t="str">
        <f t="shared" si="8"/>
        <v/>
      </c>
      <c r="M70" s="415" t="str">
        <f>IF(M66="","",L70-((M66)/$D$60))</f>
        <v/>
      </c>
      <c r="N70" s="911"/>
      <c r="O70" s="912"/>
      <c r="R70" s="746" t="s">
        <v>157</v>
      </c>
      <c r="S70" s="395" t="s">
        <v>378</v>
      </c>
      <c r="T70" s="418">
        <v>100</v>
      </c>
      <c r="U70" s="418">
        <v>100</v>
      </c>
      <c r="V70" s="419">
        <v>100</v>
      </c>
      <c r="W70" s="420">
        <v>95</v>
      </c>
      <c r="X70" s="420">
        <v>87</v>
      </c>
      <c r="Y70" s="420">
        <v>65</v>
      </c>
      <c r="Z70" s="420">
        <v>65</v>
      </c>
      <c r="AA70" s="419">
        <v>44</v>
      </c>
      <c r="AB70" s="420">
        <v>22</v>
      </c>
      <c r="AC70" s="420">
        <v>16</v>
      </c>
      <c r="AD70" s="420">
        <v>9</v>
      </c>
      <c r="AE70" s="420">
        <v>9</v>
      </c>
    </row>
    <row r="71" spans="1:34" ht="12.95" customHeight="1" x14ac:dyDescent="0.2">
      <c r="A71" s="872"/>
      <c r="B71" s="895" t="s">
        <v>138</v>
      </c>
      <c r="C71" s="874"/>
      <c r="D71" s="896"/>
      <c r="E71" s="505" t="str">
        <f>IF(E68="","",(AVERAGE(E68:E70)*100))</f>
        <v/>
      </c>
      <c r="F71" s="506" t="str">
        <f t="shared" ref="F71:J71" si="9">IF(F68="","",AVERAGE(F68:F70)*100)</f>
        <v/>
      </c>
      <c r="G71" s="506" t="str">
        <f t="shared" si="9"/>
        <v/>
      </c>
      <c r="H71" s="506" t="str">
        <f t="shared" si="9"/>
        <v/>
      </c>
      <c r="I71" s="506" t="str">
        <f t="shared" si="9"/>
        <v/>
      </c>
      <c r="J71" s="506" t="str">
        <f t="shared" si="9"/>
        <v/>
      </c>
      <c r="K71" s="506" t="str">
        <f>IF(K70="","",AVERAGE(K68:K70)*100)</f>
        <v/>
      </c>
      <c r="L71" s="506" t="str">
        <f>IF(L70="","",AVERAGE(L68:L70)*100)</f>
        <v/>
      </c>
      <c r="M71" s="507" t="str">
        <f>IF(M68="","",AVERAGE(M68:M70)*100)</f>
        <v/>
      </c>
      <c r="N71" s="911"/>
      <c r="O71" s="912"/>
      <c r="R71" s="746"/>
      <c r="S71" s="395" t="s">
        <v>319</v>
      </c>
      <c r="T71" s="418">
        <v>100</v>
      </c>
      <c r="U71" s="418">
        <v>100</v>
      </c>
      <c r="V71" s="419">
        <v>95</v>
      </c>
      <c r="W71" s="420">
        <v>82</v>
      </c>
      <c r="X71" s="420">
        <v>75</v>
      </c>
      <c r="Y71" s="420">
        <v>58</v>
      </c>
      <c r="Z71" s="420">
        <v>58</v>
      </c>
      <c r="AA71" s="419">
        <v>41</v>
      </c>
      <c r="AB71" s="420">
        <v>22</v>
      </c>
      <c r="AC71" s="420">
        <v>16</v>
      </c>
      <c r="AD71" s="420">
        <v>9</v>
      </c>
      <c r="AE71" s="420">
        <v>9</v>
      </c>
    </row>
    <row r="72" spans="1:34" ht="12.95" customHeight="1" x14ac:dyDescent="0.2">
      <c r="A72" s="952" t="s">
        <v>161</v>
      </c>
      <c r="B72" s="953"/>
      <c r="C72" s="874" t="s">
        <v>125</v>
      </c>
      <c r="D72" s="874"/>
      <c r="E72" s="416" t="str">
        <f>IF($E$45="","",VLOOKUP($E$45,$S$64:$AE$67,U61,0))</f>
        <v/>
      </c>
      <c r="F72" s="417" t="str">
        <f>IF($E$45="","",VLOOKUP($E$45,$S$64:$AE$67,V61,0))</f>
        <v/>
      </c>
      <c r="G72" s="417" t="str">
        <f>IF($E$45="","",VLOOKUP($E$45,$S$64:$AE$67,W61,0))</f>
        <v/>
      </c>
      <c r="H72" s="417" t="str">
        <f>IF($E$45="","",VLOOKUP($E$45,$S$64:$AE$67,X61,0))</f>
        <v/>
      </c>
      <c r="I72" s="417" t="str">
        <f>IF($E$45="","",VLOOKUP($E$45,$S$64:$AE$67,Z61,0))</f>
        <v/>
      </c>
      <c r="J72" s="417" t="str">
        <f>IF($E$45="","",VLOOKUP($E$45,$S$64:$AE$67,AA61,0))</f>
        <v/>
      </c>
      <c r="K72" s="417" t="str">
        <f>IF($E$45="","",VLOOKUP($E$45,$S$64:$AE$67,AB61,0))</f>
        <v/>
      </c>
      <c r="L72" s="417" t="str">
        <f>IF($E$45="","",VLOOKUP($E$45,$S$64:$AE$67,AC61,0))</f>
        <v/>
      </c>
      <c r="M72" s="417" t="str">
        <f>IF($E$45="","",VLOOKUP($E$45,$S$64:$AE$67,AE61,0))</f>
        <v/>
      </c>
      <c r="N72" s="911"/>
      <c r="O72" s="912"/>
      <c r="R72" s="746"/>
      <c r="S72" s="504" t="s">
        <v>317</v>
      </c>
      <c r="T72" s="416">
        <v>100</v>
      </c>
      <c r="U72" s="416">
        <v>100</v>
      </c>
      <c r="V72" s="417">
        <v>100</v>
      </c>
      <c r="W72" s="421">
        <v>98</v>
      </c>
      <c r="X72" s="421">
        <v>84</v>
      </c>
      <c r="Y72" s="421">
        <v>62</v>
      </c>
      <c r="Z72" s="421">
        <v>62</v>
      </c>
      <c r="AA72" s="417">
        <v>44</v>
      </c>
      <c r="AB72" s="421">
        <v>23</v>
      </c>
      <c r="AC72" s="421">
        <v>15</v>
      </c>
      <c r="AD72" s="592">
        <v>7</v>
      </c>
      <c r="AE72" s="422">
        <v>7</v>
      </c>
    </row>
    <row r="73" spans="1:34" s="268" customFormat="1" ht="12.95" customHeight="1" x14ac:dyDescent="0.2">
      <c r="A73" s="954"/>
      <c r="B73" s="955"/>
      <c r="C73" s="941" t="s">
        <v>126</v>
      </c>
      <c r="D73" s="941"/>
      <c r="E73" s="508" t="str">
        <f>IF($E$45="","",VLOOKUP($E$45,$S$68:$AE$71,U61,0))</f>
        <v/>
      </c>
      <c r="F73" s="509" t="str">
        <f>IF($E$45="","",VLOOKUP($E$45,$S$68:$AE$71,V61,0))</f>
        <v/>
      </c>
      <c r="G73" s="509" t="str">
        <f>IF($E$45="","",VLOOKUP($E$45,$S$68:$AE$71,W61,0))</f>
        <v/>
      </c>
      <c r="H73" s="509" t="str">
        <f>IF($E$45="","",VLOOKUP($E$45,$S$68:$AE$71,X61,0))</f>
        <v/>
      </c>
      <c r="I73" s="509" t="str">
        <f>IF($E$45="","",VLOOKUP($E$45,$S$68:$AE$71,Z61,0))</f>
        <v/>
      </c>
      <c r="J73" s="509" t="str">
        <f>IF($E$45="","",VLOOKUP($E$45,$S$68:$AE$71,AA61,0))</f>
        <v/>
      </c>
      <c r="K73" s="509" t="str">
        <f>IF($E$45="","",VLOOKUP($E$45,$S$68:$AE$71,AB61,0))</f>
        <v/>
      </c>
      <c r="L73" s="509" t="str">
        <f>IF($E$45="","",VLOOKUP($E$45,$S$68:$AE$71,AC61,0))</f>
        <v/>
      </c>
      <c r="M73" s="509" t="str">
        <f>IF($E$45="","",VLOOKUP($E$45,$S$68:$AE$71,AE61,0))</f>
        <v/>
      </c>
      <c r="N73" s="911"/>
      <c r="O73" s="912"/>
      <c r="S73" s="395" t="s">
        <v>169</v>
      </c>
      <c r="T73" s="416">
        <v>100</v>
      </c>
      <c r="U73" s="416">
        <v>100</v>
      </c>
      <c r="V73" s="417">
        <v>99</v>
      </c>
      <c r="W73" s="421">
        <v>89</v>
      </c>
      <c r="X73" s="421">
        <v>74</v>
      </c>
      <c r="Y73" s="421">
        <v>53</v>
      </c>
      <c r="Z73" s="421">
        <v>53</v>
      </c>
      <c r="AA73" s="417">
        <v>37</v>
      </c>
      <c r="AB73" s="421">
        <v>20</v>
      </c>
      <c r="AC73" s="421">
        <v>13</v>
      </c>
      <c r="AD73" s="592">
        <v>6.1</v>
      </c>
      <c r="AE73" s="422">
        <v>6.1</v>
      </c>
      <c r="AF73" s="261"/>
      <c r="AG73" s="261"/>
      <c r="AH73" s="261"/>
    </row>
    <row r="74" spans="1:34" s="268" customFormat="1" ht="12.95" customHeight="1" x14ac:dyDescent="0.2">
      <c r="A74" s="952" t="s">
        <v>135</v>
      </c>
      <c r="B74" s="953"/>
      <c r="C74" s="873" t="s">
        <v>157</v>
      </c>
      <c r="D74" s="873"/>
      <c r="E74" s="416" t="str">
        <f>IF($E$45="","",VLOOKUP($E$45,$S$72:$AE$75,U61,0))</f>
        <v/>
      </c>
      <c r="F74" s="417" t="str">
        <f>IF($E$45="","",VLOOKUP($E$45,$S$72:$AE$75,V61,0))</f>
        <v/>
      </c>
      <c r="G74" s="417" t="str">
        <f>IF($E$45="","",VLOOKUP($E$45,$S$72:$AE$75,W61,0))</f>
        <v/>
      </c>
      <c r="H74" s="417" t="str">
        <f>IF($E$45="","",VLOOKUP($E$45,$S$72:$AE$75,X61,0))</f>
        <v/>
      </c>
      <c r="I74" s="417" t="str">
        <f>IF($E$45="","",VLOOKUP($E$45,$S$72:$AE$75,Z61,0))</f>
        <v/>
      </c>
      <c r="J74" s="417" t="str">
        <f>IF($E$45="","",VLOOKUP($E$45,$S$72:$AE$75,AA61,0))</f>
        <v/>
      </c>
      <c r="K74" s="417" t="str">
        <f>IF($E$45="","",VLOOKUP($E$45,$S$72:$AE$75,AB61,0))</f>
        <v/>
      </c>
      <c r="L74" s="417" t="str">
        <f>IF($E$45="","",VLOOKUP($E$45,$S$72:$AE$75,AC61,0))</f>
        <v/>
      </c>
      <c r="M74" s="417" t="str">
        <f>IF($E$45="","",VLOOKUP($E$45,$S$72:$AE$75,AE61,0))</f>
        <v/>
      </c>
      <c r="N74" s="911"/>
      <c r="O74" s="912"/>
      <c r="S74" s="395" t="s">
        <v>378</v>
      </c>
      <c r="T74" s="416">
        <v>100</v>
      </c>
      <c r="U74" s="416">
        <v>100</v>
      </c>
      <c r="V74" s="417">
        <v>99</v>
      </c>
      <c r="W74" s="421">
        <v>89</v>
      </c>
      <c r="X74" s="421">
        <v>74</v>
      </c>
      <c r="Y74" s="421">
        <v>53</v>
      </c>
      <c r="Z74" s="421">
        <v>53</v>
      </c>
      <c r="AA74" s="417">
        <v>37</v>
      </c>
      <c r="AB74" s="421">
        <v>20</v>
      </c>
      <c r="AC74" s="421">
        <v>13</v>
      </c>
      <c r="AD74" s="592">
        <v>6.1</v>
      </c>
      <c r="AE74" s="587">
        <v>6.1</v>
      </c>
      <c r="AF74" s="261"/>
      <c r="AG74" s="261"/>
      <c r="AH74" s="261"/>
    </row>
    <row r="75" spans="1:34" s="268" customFormat="1" ht="12.95" customHeight="1" x14ac:dyDescent="0.2">
      <c r="A75" s="954"/>
      <c r="B75" s="955"/>
      <c r="C75" s="941" t="s">
        <v>125</v>
      </c>
      <c r="D75" s="1062"/>
      <c r="E75" s="423" t="str">
        <f>E71</f>
        <v/>
      </c>
      <c r="F75" s="421" t="str">
        <f>F71</f>
        <v/>
      </c>
      <c r="G75" s="421" t="str">
        <f>IF(G71="","",+G71-4)</f>
        <v/>
      </c>
      <c r="H75" s="421" t="str">
        <f>IF(H71="","",+H71-4)</f>
        <v/>
      </c>
      <c r="I75" s="421" t="str">
        <f>IF(I71="","",+I71-4)</f>
        <v/>
      </c>
      <c r="J75" s="421" t="str">
        <f>IF(J71="","",+J71-3)</f>
        <v/>
      </c>
      <c r="K75" s="421" t="str">
        <f>IF(K71="","",+K71-3)</f>
        <v/>
      </c>
      <c r="L75" s="421" t="str">
        <f>IF(L71="","",+L71-3)</f>
        <v/>
      </c>
      <c r="M75" s="567" t="str">
        <f>IF(M71="","",+M71-1)</f>
        <v/>
      </c>
      <c r="N75" s="911"/>
      <c r="O75" s="912"/>
      <c r="S75" s="395" t="s">
        <v>319</v>
      </c>
      <c r="T75" s="416">
        <v>100</v>
      </c>
      <c r="U75" s="416">
        <v>100</v>
      </c>
      <c r="V75" s="417">
        <v>92</v>
      </c>
      <c r="W75" s="421">
        <v>70</v>
      </c>
      <c r="X75" s="421">
        <v>68</v>
      </c>
      <c r="Y75" s="421">
        <v>47</v>
      </c>
      <c r="Z75" s="421">
        <v>47</v>
      </c>
      <c r="AA75" s="417">
        <v>31</v>
      </c>
      <c r="AB75" s="421">
        <v>16</v>
      </c>
      <c r="AC75" s="421">
        <v>11</v>
      </c>
      <c r="AD75" s="592">
        <v>5.5</v>
      </c>
      <c r="AE75" s="422">
        <v>5.5</v>
      </c>
      <c r="AF75" s="261"/>
      <c r="AG75" s="261"/>
      <c r="AH75" s="273"/>
    </row>
    <row r="76" spans="1:34" s="268" customFormat="1" ht="12.95" customHeight="1" x14ac:dyDescent="0.2">
      <c r="A76" s="956"/>
      <c r="B76" s="957"/>
      <c r="C76" s="915" t="s">
        <v>126</v>
      </c>
      <c r="D76" s="916"/>
      <c r="E76" s="580" t="str">
        <f>E71</f>
        <v/>
      </c>
      <c r="F76" s="581" t="str">
        <f>F71</f>
        <v/>
      </c>
      <c r="G76" s="581" t="str">
        <f>IF(G71="","",+G71+4)</f>
        <v/>
      </c>
      <c r="H76" s="581" t="str">
        <f>IF(H71="","",+H71+4)</f>
        <v/>
      </c>
      <c r="I76" s="581" t="str">
        <f>IF(I71="","",+I71+4)</f>
        <v/>
      </c>
      <c r="J76" s="581" t="str">
        <f>IF(J71="","",+J71+3)</f>
        <v/>
      </c>
      <c r="K76" s="581" t="str">
        <f>IF(K71="","",+K71+3)</f>
        <v/>
      </c>
      <c r="L76" s="581" t="str">
        <f>IF(L71="","",+L71+3)</f>
        <v/>
      </c>
      <c r="M76" s="409" t="str">
        <f>IF(M71="","",+M71+1)</f>
        <v/>
      </c>
      <c r="N76" s="913"/>
      <c r="O76" s="914"/>
      <c r="W76" s="261"/>
      <c r="X76" s="261"/>
      <c r="Y76" s="261"/>
      <c r="Z76" s="261"/>
      <c r="AA76" s="261"/>
      <c r="AB76" s="261"/>
      <c r="AC76" s="261"/>
      <c r="AD76" s="261"/>
      <c r="AE76" s="261"/>
      <c r="AF76" s="273"/>
      <c r="AG76" s="273"/>
      <c r="AH76" s="273"/>
    </row>
    <row r="77" spans="1:34" s="268" customFormat="1" ht="11.1" customHeight="1" x14ac:dyDescent="0.2">
      <c r="A77" s="425"/>
      <c r="B77" s="426"/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6"/>
      <c r="O77" s="427"/>
      <c r="W77" s="261"/>
      <c r="X77" s="261"/>
      <c r="Y77" s="261"/>
      <c r="Z77" s="261"/>
      <c r="AA77" s="261"/>
      <c r="AB77" s="261"/>
      <c r="AC77" s="261"/>
      <c r="AD77" s="261"/>
      <c r="AE77" s="261"/>
      <c r="AF77" s="273"/>
      <c r="AG77" s="273"/>
      <c r="AH77" s="273"/>
    </row>
    <row r="78" spans="1:34" s="268" customFormat="1" ht="11.1" customHeight="1" x14ac:dyDescent="0.2">
      <c r="A78" s="425"/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6"/>
      <c r="O78" s="427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</row>
    <row r="79" spans="1:34" ht="11.1" customHeight="1" x14ac:dyDescent="0.2">
      <c r="A79" s="425"/>
      <c r="B79" s="426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6"/>
      <c r="O79" s="427"/>
      <c r="S79" s="268"/>
      <c r="T79" s="268"/>
      <c r="U79" s="268"/>
      <c r="V79" s="268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</row>
    <row r="80" spans="1:34" ht="11.1" customHeight="1" x14ac:dyDescent="0.2">
      <c r="A80" s="425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7"/>
      <c r="S80" s="268"/>
      <c r="T80" s="268"/>
      <c r="U80" s="268"/>
      <c r="V80" s="268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</row>
    <row r="81" spans="1:34" ht="11.1" customHeight="1" x14ac:dyDescent="0.2">
      <c r="A81" s="425"/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6"/>
      <c r="O81" s="427"/>
      <c r="S81" s="268"/>
      <c r="T81" s="268"/>
      <c r="U81" s="268"/>
      <c r="V81" s="268"/>
      <c r="W81" s="273"/>
      <c r="X81" s="799" t="s">
        <v>142</v>
      </c>
      <c r="Y81" s="800"/>
      <c r="Z81" s="800"/>
      <c r="AA81" s="800"/>
      <c r="AB81" s="801"/>
      <c r="AC81" s="273"/>
      <c r="AD81" s="273"/>
      <c r="AE81" s="273"/>
      <c r="AF81" s="273"/>
      <c r="AG81" s="273"/>
      <c r="AH81" s="273"/>
    </row>
    <row r="82" spans="1:34" ht="11.1" customHeight="1" x14ac:dyDescent="0.2">
      <c r="A82" s="425"/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6"/>
      <c r="O82" s="427"/>
      <c r="W82" s="273"/>
      <c r="X82" s="802" t="s">
        <v>143</v>
      </c>
      <c r="Y82" s="803"/>
      <c r="Z82" s="803"/>
      <c r="AA82" s="803"/>
      <c r="AB82" s="804"/>
      <c r="AC82" s="273"/>
      <c r="AD82" s="273"/>
      <c r="AE82" s="273"/>
      <c r="AF82" s="273"/>
      <c r="AG82" s="273"/>
      <c r="AH82" s="273"/>
    </row>
    <row r="83" spans="1:34" ht="11.1" customHeight="1" x14ac:dyDescent="0.2">
      <c r="A83" s="425"/>
      <c r="B83" s="426"/>
      <c r="C83" s="426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6"/>
      <c r="O83" s="427"/>
      <c r="W83" s="274"/>
      <c r="X83" s="276" t="s">
        <v>144</v>
      </c>
      <c r="Y83" s="277"/>
      <c r="Z83" s="277"/>
      <c r="AA83" s="277"/>
      <c r="AB83" s="278"/>
      <c r="AC83" s="273"/>
      <c r="AD83" s="273"/>
      <c r="AE83" s="273"/>
      <c r="AF83" s="273"/>
      <c r="AG83" s="273"/>
      <c r="AH83" s="273"/>
    </row>
    <row r="84" spans="1:34" ht="11.1" customHeight="1" x14ac:dyDescent="0.2">
      <c r="A84" s="425"/>
      <c r="B84" s="426"/>
      <c r="C84" s="426"/>
      <c r="D84" s="426"/>
      <c r="E84" s="426"/>
      <c r="F84" s="426"/>
      <c r="G84" s="426"/>
      <c r="H84" s="426"/>
      <c r="I84" s="426"/>
      <c r="J84" s="426"/>
      <c r="K84" s="426"/>
      <c r="L84" s="426"/>
      <c r="M84" s="426"/>
      <c r="N84" s="426"/>
      <c r="O84" s="427"/>
      <c r="W84" s="279"/>
      <c r="X84" s="245" t="s">
        <v>145</v>
      </c>
      <c r="Y84" s="245" t="s">
        <v>146</v>
      </c>
      <c r="Z84" s="245" t="s">
        <v>146</v>
      </c>
      <c r="AA84" s="283" t="s">
        <v>209</v>
      </c>
      <c r="AB84" s="245" t="s">
        <v>210</v>
      </c>
      <c r="AC84" s="273"/>
      <c r="AD84" s="273"/>
      <c r="AE84" s="273"/>
      <c r="AF84" s="273"/>
      <c r="AG84" s="273"/>
      <c r="AH84" s="273"/>
    </row>
    <row r="85" spans="1:34" ht="11.1" customHeight="1" x14ac:dyDescent="0.2">
      <c r="A85" s="425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6"/>
      <c r="O85" s="427"/>
      <c r="W85" s="273"/>
      <c r="X85" s="245">
        <v>1450</v>
      </c>
      <c r="Y85" s="284" t="e">
        <f>+#REF!</f>
        <v>#REF!</v>
      </c>
      <c r="Z85" s="284" t="str">
        <f>+A139</f>
        <v>A: masa en el aire de la muestra seca:</v>
      </c>
      <c r="AA85" s="285">
        <f>+X85*0.9</f>
        <v>1305</v>
      </c>
      <c r="AB85" s="285">
        <f>+X85*1.25</f>
        <v>1812.5</v>
      </c>
      <c r="AC85" s="273"/>
      <c r="AD85" s="273"/>
      <c r="AE85" s="273"/>
      <c r="AF85" s="273"/>
      <c r="AG85" s="273"/>
      <c r="AH85" s="273"/>
    </row>
    <row r="86" spans="1:34" ht="11.1" customHeight="1" x14ac:dyDescent="0.2">
      <c r="A86" s="425"/>
      <c r="B86" s="426"/>
      <c r="C86" s="426"/>
      <c r="D86" s="426"/>
      <c r="E86" s="426"/>
      <c r="F86" s="426"/>
      <c r="G86" s="426"/>
      <c r="H86" s="426"/>
      <c r="I86" s="426"/>
      <c r="J86" s="426"/>
      <c r="K86" s="426"/>
      <c r="L86" s="426"/>
      <c r="M86" s="426"/>
      <c r="N86" s="426"/>
      <c r="O86" s="427"/>
      <c r="W86" s="279"/>
      <c r="X86" s="286"/>
      <c r="Y86" s="287"/>
      <c r="Z86" s="287"/>
      <c r="AA86" s="288"/>
      <c r="AB86" s="289"/>
      <c r="AC86" s="273"/>
      <c r="AD86" s="273"/>
      <c r="AE86" s="273"/>
      <c r="AF86" s="273"/>
      <c r="AG86" s="273"/>
      <c r="AH86" s="273"/>
    </row>
    <row r="87" spans="1:34" ht="11.1" customHeight="1" x14ac:dyDescent="0.2">
      <c r="A87" s="425"/>
      <c r="B87" s="426"/>
      <c r="C87" s="426"/>
      <c r="D87" s="426"/>
      <c r="E87" s="426"/>
      <c r="F87" s="426"/>
      <c r="G87" s="426"/>
      <c r="H87" s="426"/>
      <c r="I87" s="426"/>
      <c r="J87" s="426"/>
      <c r="K87" s="426"/>
      <c r="L87" s="426"/>
      <c r="M87" s="426"/>
      <c r="N87" s="426"/>
      <c r="O87" s="427"/>
      <c r="W87" s="279"/>
      <c r="X87" s="286" t="s">
        <v>147</v>
      </c>
      <c r="Y87" s="287"/>
      <c r="Z87" s="287"/>
      <c r="AA87" s="288"/>
      <c r="AB87" s="290"/>
      <c r="AC87" s="273"/>
      <c r="AD87" s="273"/>
      <c r="AE87" s="273"/>
      <c r="AF87" s="273"/>
      <c r="AG87" s="273"/>
      <c r="AH87" s="273"/>
    </row>
    <row r="88" spans="1:34" ht="11.1" customHeight="1" x14ac:dyDescent="0.2">
      <c r="A88" s="425"/>
      <c r="B88" s="426"/>
      <c r="C88" s="426"/>
      <c r="D88" s="426"/>
      <c r="E88" s="426"/>
      <c r="F88" s="426"/>
      <c r="G88" s="426"/>
      <c r="H88" s="426"/>
      <c r="I88" s="426"/>
      <c r="J88" s="426"/>
      <c r="K88" s="426"/>
      <c r="L88" s="426"/>
      <c r="M88" s="426"/>
      <c r="N88" s="426"/>
      <c r="O88" s="427"/>
      <c r="W88" s="279"/>
      <c r="X88" s="686" t="s">
        <v>148</v>
      </c>
      <c r="Y88" s="687"/>
      <c r="Z88" s="687"/>
      <c r="AA88" s="687"/>
      <c r="AB88" s="688"/>
      <c r="AC88" s="273"/>
      <c r="AD88" s="273"/>
      <c r="AE88" s="273"/>
      <c r="AF88" s="273"/>
      <c r="AG88" s="273"/>
      <c r="AH88" s="273"/>
    </row>
    <row r="89" spans="1:34" s="273" customFormat="1" ht="11.1" customHeight="1" x14ac:dyDescent="0.2">
      <c r="A89" s="425"/>
      <c r="B89" s="426"/>
      <c r="C89" s="426"/>
      <c r="D89" s="426"/>
      <c r="E89" s="426"/>
      <c r="F89" s="426"/>
      <c r="G89" s="426"/>
      <c r="H89" s="426"/>
      <c r="I89" s="426"/>
      <c r="J89" s="426"/>
      <c r="K89" s="426"/>
      <c r="L89" s="426"/>
      <c r="M89" s="426"/>
      <c r="N89" s="426"/>
      <c r="O89" s="427"/>
      <c r="P89" s="270"/>
      <c r="Q89" s="271"/>
      <c r="R89" s="270"/>
      <c r="S89" s="261"/>
      <c r="T89" s="261"/>
      <c r="U89" s="261"/>
      <c r="V89" s="261"/>
      <c r="W89" s="279"/>
      <c r="X89" s="686"/>
      <c r="Y89" s="687"/>
      <c r="Z89" s="687"/>
      <c r="AA89" s="687"/>
      <c r="AB89" s="688"/>
      <c r="AH89" s="297"/>
    </row>
    <row r="90" spans="1:34" s="273" customFormat="1" ht="11.1" customHeight="1" x14ac:dyDescent="0.2">
      <c r="A90" s="425"/>
      <c r="B90" s="426"/>
      <c r="C90" s="426"/>
      <c r="D90" s="426"/>
      <c r="E90" s="426"/>
      <c r="F90" s="426"/>
      <c r="G90" s="426"/>
      <c r="H90" s="426"/>
      <c r="I90" s="426"/>
      <c r="J90" s="426"/>
      <c r="K90" s="426"/>
      <c r="L90" s="426"/>
      <c r="M90" s="426"/>
      <c r="N90" s="426"/>
      <c r="O90" s="427"/>
      <c r="P90" s="270"/>
      <c r="Q90" s="271"/>
      <c r="R90" s="270"/>
      <c r="S90" s="261"/>
      <c r="T90" s="261"/>
      <c r="U90" s="261"/>
      <c r="V90" s="261"/>
      <c r="W90" s="279"/>
      <c r="X90" s="805" t="s">
        <v>149</v>
      </c>
      <c r="Y90" s="806"/>
      <c r="Z90" s="806"/>
      <c r="AA90" s="806"/>
      <c r="AB90" s="807"/>
      <c r="AF90" s="296"/>
      <c r="AG90" s="296"/>
      <c r="AH90" s="297"/>
    </row>
    <row r="91" spans="1:34" s="273" customFormat="1" ht="11.1" customHeight="1" x14ac:dyDescent="0.2">
      <c r="A91" s="425"/>
      <c r="B91" s="426"/>
      <c r="C91" s="426"/>
      <c r="D91" s="426"/>
      <c r="E91" s="426"/>
      <c r="F91" s="426"/>
      <c r="G91" s="426"/>
      <c r="H91" s="426"/>
      <c r="I91" s="426"/>
      <c r="J91" s="426"/>
      <c r="K91" s="426"/>
      <c r="L91" s="426"/>
      <c r="M91" s="426"/>
      <c r="N91" s="426"/>
      <c r="O91" s="427"/>
      <c r="S91" s="261"/>
      <c r="T91" s="261"/>
      <c r="U91" s="261"/>
      <c r="V91" s="261"/>
      <c r="W91" s="279"/>
      <c r="X91" s="808" t="s">
        <v>254</v>
      </c>
      <c r="Y91" s="809"/>
      <c r="Z91" s="810"/>
      <c r="AA91" s="291">
        <f>+X85*0.8</f>
        <v>1160</v>
      </c>
      <c r="AB91" s="291"/>
      <c r="AF91" s="296"/>
      <c r="AG91" s="296"/>
    </row>
    <row r="92" spans="1:34" s="273" customFormat="1" ht="11.1" customHeight="1" x14ac:dyDescent="0.2">
      <c r="A92" s="425"/>
      <c r="B92" s="426"/>
      <c r="C92" s="426"/>
      <c r="D92" s="426"/>
      <c r="E92" s="426"/>
      <c r="F92" s="426"/>
      <c r="G92" s="426"/>
      <c r="H92" s="426"/>
      <c r="I92" s="426"/>
      <c r="J92" s="426"/>
      <c r="K92" s="426"/>
      <c r="L92" s="426"/>
      <c r="M92" s="426"/>
      <c r="N92" s="426"/>
      <c r="O92" s="427"/>
      <c r="S92" s="272"/>
      <c r="T92" s="272"/>
      <c r="U92" s="272"/>
      <c r="V92" s="272"/>
      <c r="W92" s="279"/>
      <c r="X92" s="292" t="s">
        <v>255</v>
      </c>
      <c r="Y92" s="293"/>
      <c r="Z92" s="293"/>
      <c r="AA92" s="294"/>
      <c r="AB92" s="295" t="e">
        <f>+((N121*(N123-N122))/(N122*N123))*100</f>
        <v>#VALUE!</v>
      </c>
      <c r="AD92" s="296"/>
      <c r="AE92" s="296"/>
    </row>
    <row r="93" spans="1:34" s="273" customFormat="1" ht="11.1" customHeight="1" x14ac:dyDescent="0.2">
      <c r="A93" s="905"/>
      <c r="B93" s="906"/>
      <c r="C93" s="906"/>
      <c r="D93" s="906"/>
      <c r="E93" s="906"/>
      <c r="F93" s="906"/>
      <c r="G93" s="906"/>
      <c r="H93" s="906"/>
      <c r="I93" s="906"/>
      <c r="J93" s="906"/>
      <c r="K93" s="906"/>
      <c r="L93" s="906"/>
      <c r="M93" s="906"/>
      <c r="N93" s="906"/>
      <c r="O93" s="907"/>
      <c r="P93" s="272"/>
      <c r="Q93" s="272"/>
      <c r="R93" s="272"/>
      <c r="S93" s="272"/>
      <c r="T93" s="272"/>
      <c r="U93" s="272"/>
      <c r="V93" s="272"/>
      <c r="W93" s="279"/>
      <c r="X93" s="298" t="s">
        <v>155</v>
      </c>
      <c r="Y93" s="299"/>
      <c r="Z93" s="299"/>
      <c r="AA93" s="300"/>
      <c r="AB93" s="301" t="str">
        <f>IF(M54="","",+M54-((AB92*(100-M54))/100))</f>
        <v/>
      </c>
      <c r="AD93" s="296"/>
      <c r="AE93" s="296"/>
    </row>
    <row r="94" spans="1:34" s="273" customFormat="1" ht="11.1" customHeight="1" x14ac:dyDescent="0.15">
      <c r="A94" s="921" t="s">
        <v>287</v>
      </c>
      <c r="B94" s="922"/>
      <c r="C94" s="922"/>
      <c r="D94" s="922"/>
      <c r="E94" s="922"/>
      <c r="F94" s="922"/>
      <c r="G94" s="922"/>
      <c r="H94" s="922"/>
      <c r="I94" s="922"/>
      <c r="J94" s="922"/>
      <c r="K94" s="922"/>
      <c r="L94" s="922"/>
      <c r="M94" s="922"/>
      <c r="N94" s="922"/>
      <c r="O94" s="923"/>
      <c r="P94" s="274"/>
      <c r="Q94" s="275"/>
      <c r="R94" s="275"/>
      <c r="W94" s="279"/>
      <c r="X94" s="302" t="s">
        <v>150</v>
      </c>
      <c r="Y94" s="303"/>
      <c r="Z94" s="303"/>
      <c r="AA94" s="303"/>
      <c r="AB94" s="304"/>
    </row>
    <row r="95" spans="1:34" s="273" customFormat="1" ht="11.1" customHeight="1" x14ac:dyDescent="0.15">
      <c r="A95" s="251"/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3"/>
      <c r="P95" s="279"/>
      <c r="Q95" s="280"/>
      <c r="R95" s="281"/>
      <c r="W95" s="279"/>
      <c r="X95" s="796" t="s">
        <v>167</v>
      </c>
      <c r="Y95" s="797"/>
      <c r="Z95" s="798"/>
      <c r="AA95" s="283" t="s">
        <v>211</v>
      </c>
      <c r="AB95" s="245" t="s">
        <v>212</v>
      </c>
    </row>
    <row r="96" spans="1:34" s="273" customFormat="1" ht="18" customHeight="1" x14ac:dyDescent="0.15">
      <c r="A96" s="1059" t="s">
        <v>286</v>
      </c>
      <c r="B96" s="1059"/>
      <c r="C96" s="1059"/>
      <c r="D96" s="1059"/>
      <c r="E96" s="1059"/>
      <c r="F96" s="1059"/>
      <c r="G96" s="1059"/>
      <c r="H96" s="1059"/>
      <c r="I96" s="1059"/>
      <c r="J96" s="1059"/>
      <c r="K96" s="1059"/>
      <c r="L96" s="1059"/>
      <c r="M96" s="1059"/>
      <c r="N96" s="1059"/>
      <c r="O96" s="1059"/>
      <c r="P96" s="279"/>
      <c r="Q96" s="280"/>
      <c r="R96" s="281"/>
      <c r="S96" s="272"/>
      <c r="T96" s="272"/>
      <c r="U96" s="272"/>
      <c r="V96" s="272"/>
      <c r="W96" s="279"/>
      <c r="X96" s="305" t="s">
        <v>151</v>
      </c>
      <c r="Y96" s="246">
        <v>3.4</v>
      </c>
      <c r="Z96" s="246">
        <v>3.4</v>
      </c>
      <c r="AA96" s="246">
        <f>+Z96*0.8</f>
        <v>2.72</v>
      </c>
      <c r="AB96" s="246">
        <f>+Z96*1.2</f>
        <v>4.08</v>
      </c>
    </row>
    <row r="97" spans="1:38" s="273" customFormat="1" ht="27.95" customHeight="1" thickBot="1" x14ac:dyDescent="0.25">
      <c r="A97" s="917" t="s">
        <v>156</v>
      </c>
      <c r="B97" s="917"/>
      <c r="C97" s="917"/>
      <c r="D97" s="917"/>
      <c r="E97" s="917"/>
      <c r="F97" s="917"/>
      <c r="G97" s="917"/>
      <c r="H97" s="917"/>
      <c r="I97" s="917"/>
      <c r="J97" s="917"/>
      <c r="K97" s="917"/>
      <c r="L97" s="917"/>
      <c r="M97" s="917"/>
      <c r="N97" s="917"/>
      <c r="O97" s="917"/>
      <c r="P97" s="279"/>
      <c r="Q97" s="280"/>
      <c r="R97" s="281"/>
      <c r="S97" s="241" t="s">
        <v>140</v>
      </c>
      <c r="T97" s="241" t="s">
        <v>141</v>
      </c>
      <c r="U97" s="241" t="s">
        <v>141</v>
      </c>
      <c r="V97" s="274"/>
      <c r="W97" s="279"/>
      <c r="X97" s="306" t="s">
        <v>152</v>
      </c>
      <c r="Y97" s="307" t="e">
        <f>+#REF!</f>
        <v>#REF!</v>
      </c>
      <c r="Z97" s="307" t="str">
        <f>+A141</f>
        <v>E; masa del  picnómetro con la  tapa,  el  agua y  la muestra a 25°:</v>
      </c>
      <c r="AA97" s="308"/>
      <c r="AB97" s="309"/>
    </row>
    <row r="98" spans="1:38" s="273" customFormat="1" ht="9.75" customHeight="1" thickTop="1" thickBot="1" x14ac:dyDescent="0.25">
      <c r="A98" s="428"/>
      <c r="B98" s="428"/>
      <c r="C98" s="428"/>
      <c r="D98" s="428"/>
      <c r="E98" s="428"/>
      <c r="F98" s="428"/>
      <c r="G98" s="428"/>
      <c r="H98" s="428"/>
      <c r="I98" s="428"/>
      <c r="J98" s="428"/>
      <c r="K98" s="428"/>
      <c r="L98" s="428"/>
      <c r="M98" s="428"/>
      <c r="N98" s="428"/>
      <c r="O98" s="428"/>
      <c r="P98" s="279"/>
      <c r="Q98" s="280"/>
      <c r="R98" s="281"/>
      <c r="S98" s="247">
        <v>60.3</v>
      </c>
      <c r="T98" s="248">
        <v>1.0900000000000001</v>
      </c>
      <c r="U98" s="248">
        <v>1.0900000000000001</v>
      </c>
      <c r="V98" s="282"/>
      <c r="W98" s="279"/>
      <c r="X98" s="310" t="s">
        <v>153</v>
      </c>
      <c r="Y98" s="311"/>
      <c r="Z98" s="311"/>
      <c r="AA98" s="311"/>
      <c r="AB98" s="312"/>
      <c r="AH98" s="460"/>
    </row>
    <row r="99" spans="1:38" s="273" customFormat="1" ht="14.1" customHeight="1" thickTop="1" x14ac:dyDescent="0.2">
      <c r="A99" s="429"/>
      <c r="B99" s="430"/>
      <c r="C99" s="430"/>
      <c r="D99" s="877" t="s">
        <v>139</v>
      </c>
      <c r="E99" s="878"/>
      <c r="F99" s="878"/>
      <c r="G99" s="878"/>
      <c r="H99" s="878"/>
      <c r="I99" s="878"/>
      <c r="J99" s="878"/>
      <c r="K99" s="878"/>
      <c r="L99" s="878"/>
      <c r="M99" s="878"/>
      <c r="N99" s="878"/>
      <c r="O99" s="879"/>
      <c r="P99" s="279"/>
      <c r="Q99" s="280"/>
      <c r="R99" s="281"/>
      <c r="S99" s="243">
        <v>60.4</v>
      </c>
      <c r="T99" s="244">
        <f t="shared" ref="T99:U113" si="10">+$U$98+((R100-$S$98)*(($U$114-$U$98)/($S$114-$S$98)))</f>
        <v>2.9743750000000002</v>
      </c>
      <c r="U99" s="244">
        <f t="shared" si="10"/>
        <v>1.08375</v>
      </c>
      <c r="W99" s="279"/>
      <c r="X99" s="315" t="s">
        <v>154</v>
      </c>
      <c r="Y99" s="316"/>
      <c r="Z99" s="316"/>
      <c r="AA99" s="316"/>
      <c r="AB99" s="317"/>
      <c r="AF99" s="460"/>
      <c r="AG99" s="460"/>
      <c r="AH99" s="319"/>
    </row>
    <row r="100" spans="1:38" s="273" customFormat="1" ht="14.1" customHeight="1" thickBot="1" x14ac:dyDescent="0.25">
      <c r="A100" s="431"/>
      <c r="B100" s="432"/>
      <c r="C100" s="432"/>
      <c r="D100" s="880" t="s">
        <v>372</v>
      </c>
      <c r="E100" s="881"/>
      <c r="F100" s="881"/>
      <c r="G100" s="881"/>
      <c r="H100" s="881"/>
      <c r="I100" s="881"/>
      <c r="J100" s="881"/>
      <c r="K100" s="881"/>
      <c r="L100" s="881"/>
      <c r="M100" s="881"/>
      <c r="N100" s="881"/>
      <c r="O100" s="882"/>
      <c r="P100" s="279"/>
      <c r="Q100" s="280"/>
      <c r="R100" s="281"/>
      <c r="S100" s="243">
        <v>60.5</v>
      </c>
      <c r="T100" s="244">
        <f t="shared" si="10"/>
        <v>2.9743750000000002</v>
      </c>
      <c r="U100" s="244">
        <f t="shared" si="10"/>
        <v>1.0806249999999999</v>
      </c>
      <c r="V100" s="282"/>
      <c r="W100" s="279"/>
      <c r="X100" s="315" t="s">
        <v>213</v>
      </c>
      <c r="Y100" s="316"/>
      <c r="Z100" s="316"/>
      <c r="AA100" s="316">
        <v>101.96</v>
      </c>
      <c r="AB100" s="317"/>
      <c r="AF100" s="319"/>
      <c r="AG100" s="319"/>
      <c r="AH100" s="322"/>
    </row>
    <row r="101" spans="1:38" s="273" customFormat="1" ht="14.1" customHeight="1" thickTop="1" x14ac:dyDescent="0.2">
      <c r="A101" s="431"/>
      <c r="B101" s="432"/>
      <c r="C101" s="432"/>
      <c r="D101" s="883" t="s">
        <v>158</v>
      </c>
      <c r="E101" s="884"/>
      <c r="F101" s="884"/>
      <c r="G101" s="884"/>
      <c r="H101" s="884"/>
      <c r="I101" s="884"/>
      <c r="J101" s="884"/>
      <c r="K101" s="884"/>
      <c r="L101" s="884"/>
      <c r="M101" s="884"/>
      <c r="N101" s="884"/>
      <c r="O101" s="885"/>
      <c r="P101" s="279"/>
      <c r="Q101" s="280"/>
      <c r="R101" s="281"/>
      <c r="S101" s="243">
        <v>60.6</v>
      </c>
      <c r="T101" s="244">
        <f t="shared" si="10"/>
        <v>2.9743750000000002</v>
      </c>
      <c r="U101" s="244">
        <f t="shared" si="10"/>
        <v>1.0774999999999999</v>
      </c>
      <c r="V101" s="282"/>
      <c r="W101" s="279"/>
      <c r="X101" s="459" t="s">
        <v>176</v>
      </c>
      <c r="Y101" s="460"/>
      <c r="Z101" s="460"/>
      <c r="AA101" s="460"/>
      <c r="AB101" s="460"/>
      <c r="AC101" s="460"/>
      <c r="AD101" s="460"/>
      <c r="AE101" s="460"/>
      <c r="AF101" s="322" t="s">
        <v>180</v>
      </c>
      <c r="AG101" s="322"/>
      <c r="AH101" s="325" t="str">
        <f>+AB93</f>
        <v/>
      </c>
    </row>
    <row r="102" spans="1:38" s="273" customFormat="1" ht="12" customHeight="1" x14ac:dyDescent="0.2">
      <c r="A102" s="431"/>
      <c r="B102" s="432"/>
      <c r="C102" s="432"/>
      <c r="D102" s="752" t="s">
        <v>165</v>
      </c>
      <c r="E102" s="753"/>
      <c r="F102" s="753"/>
      <c r="G102" s="753"/>
      <c r="H102" s="753"/>
      <c r="I102" s="753"/>
      <c r="J102" s="753"/>
      <c r="K102" s="753"/>
      <c r="L102" s="754"/>
      <c r="M102" s="752" t="s">
        <v>381</v>
      </c>
      <c r="N102" s="753"/>
      <c r="O102" s="754"/>
      <c r="P102" s="279"/>
      <c r="Q102" s="280"/>
      <c r="R102" s="281"/>
      <c r="S102" s="243">
        <v>60.7</v>
      </c>
      <c r="T102" s="244">
        <f t="shared" si="10"/>
        <v>2.9743750000000002</v>
      </c>
      <c r="U102" s="244">
        <f t="shared" si="10"/>
        <v>1.0743750000000001</v>
      </c>
      <c r="V102" s="282"/>
      <c r="W102" s="279"/>
      <c r="X102" s="318"/>
      <c r="Y102" s="319"/>
      <c r="Z102" s="319"/>
      <c r="AA102" s="319"/>
      <c r="AB102" s="319"/>
      <c r="AC102" s="319"/>
      <c r="AD102" s="319" t="s">
        <v>177</v>
      </c>
      <c r="AE102" s="319" t="s">
        <v>177</v>
      </c>
      <c r="AF102" s="853" t="s">
        <v>170</v>
      </c>
      <c r="AG102" s="853"/>
      <c r="AH102" s="328" t="str">
        <f>+M54</f>
        <v/>
      </c>
    </row>
    <row r="103" spans="1:38" s="273" customFormat="1" ht="12" customHeight="1" x14ac:dyDescent="0.2">
      <c r="A103" s="433"/>
      <c r="B103" s="434"/>
      <c r="C103" s="434"/>
      <c r="D103" s="752" t="s">
        <v>382</v>
      </c>
      <c r="E103" s="753"/>
      <c r="F103" s="753"/>
      <c r="G103" s="753"/>
      <c r="H103" s="753"/>
      <c r="I103" s="753"/>
      <c r="J103" s="753"/>
      <c r="K103" s="753"/>
      <c r="L103" s="753"/>
      <c r="M103" s="753"/>
      <c r="N103" s="753"/>
      <c r="O103" s="754"/>
      <c r="P103" s="279"/>
      <c r="Q103" s="280"/>
      <c r="R103" s="281"/>
      <c r="S103" s="243">
        <v>60.8</v>
      </c>
      <c r="T103" s="244">
        <f t="shared" si="10"/>
        <v>2.9743750000000002</v>
      </c>
      <c r="U103" s="244">
        <f t="shared" si="10"/>
        <v>1.07125</v>
      </c>
      <c r="V103" s="282"/>
      <c r="W103" s="279"/>
      <c r="X103" s="318"/>
      <c r="Y103" s="320" t="s">
        <v>178</v>
      </c>
      <c r="Z103" s="320" t="s">
        <v>178</v>
      </c>
      <c r="AA103" s="319"/>
      <c r="AB103" s="319"/>
      <c r="AC103" s="320" t="s">
        <v>179</v>
      </c>
      <c r="AD103" s="593">
        <v>2</v>
      </c>
      <c r="AE103" s="321">
        <v>2</v>
      </c>
      <c r="AF103" s="853" t="s">
        <v>171</v>
      </c>
      <c r="AG103" s="853"/>
      <c r="AH103" s="330" t="str">
        <f>+N122</f>
        <v/>
      </c>
    </row>
    <row r="104" spans="1:38" s="273" customFormat="1" ht="14.1" customHeight="1" x14ac:dyDescent="0.2">
      <c r="A104" s="764" t="s">
        <v>193</v>
      </c>
      <c r="B104" s="765"/>
      <c r="C104" s="765"/>
      <c r="D104" s="765"/>
      <c r="E104" s="901" t="str">
        <f>IF(E43="","",+E43)</f>
        <v/>
      </c>
      <c r="F104" s="901"/>
      <c r="G104" s="901"/>
      <c r="H104" s="901"/>
      <c r="I104" s="901"/>
      <c r="J104" s="901"/>
      <c r="K104" s="920" t="s">
        <v>216</v>
      </c>
      <c r="L104" s="920"/>
      <c r="M104" s="920"/>
      <c r="N104" s="937" t="str">
        <f>IF(N43="","",+N43)</f>
        <v/>
      </c>
      <c r="O104" s="938"/>
      <c r="P104" s="279"/>
      <c r="Q104" s="280"/>
      <c r="R104" s="281"/>
      <c r="S104" s="243">
        <v>60.9</v>
      </c>
      <c r="T104" s="244">
        <f t="shared" si="10"/>
        <v>2.9743750000000002</v>
      </c>
      <c r="U104" s="244">
        <f t="shared" si="10"/>
        <v>1.068125</v>
      </c>
      <c r="V104" s="282"/>
      <c r="W104" s="279"/>
      <c r="X104" s="318"/>
      <c r="Y104" s="323">
        <v>4.75</v>
      </c>
      <c r="Z104" s="323">
        <v>4.75</v>
      </c>
      <c r="AA104" s="323">
        <v>0</v>
      </c>
      <c r="AB104" s="319"/>
      <c r="AC104" s="324"/>
      <c r="AD104" s="593"/>
      <c r="AE104" s="321"/>
      <c r="AF104" s="853" t="s">
        <v>172</v>
      </c>
      <c r="AG104" s="853"/>
      <c r="AH104" s="325" t="str">
        <f>+N121</f>
        <v/>
      </c>
    </row>
    <row r="105" spans="1:38" s="273" customFormat="1" ht="14.1" customHeight="1" x14ac:dyDescent="0.2">
      <c r="A105" s="758" t="s">
        <v>194</v>
      </c>
      <c r="B105" s="759"/>
      <c r="C105" s="759"/>
      <c r="D105" s="759"/>
      <c r="E105" s="908" t="str">
        <f>IF(E44="","",+E44)</f>
        <v/>
      </c>
      <c r="F105" s="908"/>
      <c r="G105" s="908"/>
      <c r="H105" s="908"/>
      <c r="I105" s="908"/>
      <c r="J105" s="908"/>
      <c r="K105" s="858" t="s">
        <v>199</v>
      </c>
      <c r="L105" s="858"/>
      <c r="M105" s="858"/>
      <c r="N105" s="875" t="str">
        <f>IF(N44="","",+N44)</f>
        <v/>
      </c>
      <c r="O105" s="876"/>
      <c r="P105" s="279"/>
      <c r="Q105" s="280"/>
      <c r="R105" s="281"/>
      <c r="S105" s="243">
        <v>61</v>
      </c>
      <c r="T105" s="244">
        <f t="shared" si="10"/>
        <v>2.9743750000000002</v>
      </c>
      <c r="U105" s="244">
        <f t="shared" si="10"/>
        <v>1.0649999999999999</v>
      </c>
      <c r="V105" s="282"/>
      <c r="W105" s="279"/>
      <c r="X105" s="318"/>
      <c r="Y105" s="326">
        <v>4.75</v>
      </c>
      <c r="Z105" s="326">
        <v>4.75</v>
      </c>
      <c r="AA105" s="326">
        <v>100</v>
      </c>
      <c r="AB105" s="319" t="s">
        <v>181</v>
      </c>
      <c r="AC105" s="327" t="str">
        <f>+I71</f>
        <v/>
      </c>
      <c r="AD105" s="593">
        <v>0.02</v>
      </c>
      <c r="AE105" s="321">
        <v>0.02</v>
      </c>
      <c r="AF105" s="853" t="s">
        <v>173</v>
      </c>
      <c r="AG105" s="853"/>
      <c r="AH105" s="325" t="e">
        <f>($AE$103+$AC$105*$AE$105+$AC$107*$AE$107+$AC$109*$AE$109+$AC$111*$AE$111+$AC$113*$AE$113+$AC$115*$AE$115+$AC$117*$AE$117)*$AE$119</f>
        <v>#VALUE!</v>
      </c>
    </row>
    <row r="106" spans="1:38" s="273" customFormat="1" ht="14.1" customHeight="1" x14ac:dyDescent="0.2">
      <c r="A106" s="758" t="s">
        <v>208</v>
      </c>
      <c r="B106" s="759"/>
      <c r="C106" s="759"/>
      <c r="D106" s="759"/>
      <c r="E106" s="908" t="str">
        <f>IF(E45="","",+E45)</f>
        <v/>
      </c>
      <c r="F106" s="908"/>
      <c r="G106" s="908"/>
      <c r="H106" s="908"/>
      <c r="I106" s="908"/>
      <c r="J106" s="908"/>
      <c r="K106" s="858" t="s">
        <v>217</v>
      </c>
      <c r="L106" s="858"/>
      <c r="M106" s="858"/>
      <c r="N106" s="762" t="str">
        <f>IF(N45="","",+N45)</f>
        <v/>
      </c>
      <c r="O106" s="763"/>
      <c r="P106" s="279"/>
      <c r="Q106" s="280"/>
      <c r="R106" s="281"/>
      <c r="S106" s="243">
        <v>61.1</v>
      </c>
      <c r="T106" s="244">
        <f t="shared" si="10"/>
        <v>2.9743750000000002</v>
      </c>
      <c r="U106" s="244">
        <f t="shared" si="10"/>
        <v>1.0618749999999999</v>
      </c>
      <c r="V106" s="282"/>
      <c r="W106" s="279"/>
      <c r="X106" s="318"/>
      <c r="Y106" s="329">
        <v>2.36</v>
      </c>
      <c r="Z106" s="329">
        <v>2.36</v>
      </c>
      <c r="AA106" s="329">
        <v>0</v>
      </c>
      <c r="AB106" s="319"/>
      <c r="AC106" s="324"/>
      <c r="AD106" s="593"/>
      <c r="AE106" s="321"/>
      <c r="AF106" s="853" t="s">
        <v>174</v>
      </c>
      <c r="AG106" s="853"/>
      <c r="AH106" s="328" t="str">
        <f>IF(AH101="","",(+AH101/(100-AH102))*(AH103/(2.65*AH105))*(10^3/AH104))</f>
        <v/>
      </c>
    </row>
    <row r="107" spans="1:38" s="273" customFormat="1" ht="14.1" customHeight="1" x14ac:dyDescent="0.2">
      <c r="A107" s="760" t="s">
        <v>266</v>
      </c>
      <c r="B107" s="761"/>
      <c r="C107" s="761"/>
      <c r="D107" s="761"/>
      <c r="E107" s="908" t="str">
        <f>IF(E46="","",+E46)</f>
        <v/>
      </c>
      <c r="F107" s="908"/>
      <c r="G107" s="908"/>
      <c r="H107" s="908"/>
      <c r="I107" s="908"/>
      <c r="J107" s="908"/>
      <c r="K107" s="858" t="s">
        <v>218</v>
      </c>
      <c r="L107" s="858"/>
      <c r="M107" s="858"/>
      <c r="N107" s="762" t="str">
        <f>IF(N46="","",+N46)</f>
        <v/>
      </c>
      <c r="O107" s="763"/>
      <c r="P107" s="279"/>
      <c r="Q107" s="280"/>
      <c r="R107" s="281"/>
      <c r="S107" s="243">
        <v>61.2</v>
      </c>
      <c r="T107" s="244">
        <f t="shared" si="10"/>
        <v>2.9743750000000002</v>
      </c>
      <c r="U107" s="244">
        <f t="shared" si="10"/>
        <v>1.0587500000000001</v>
      </c>
      <c r="V107" s="282"/>
      <c r="W107" s="279"/>
      <c r="X107" s="318"/>
      <c r="Y107" s="331">
        <v>2.36</v>
      </c>
      <c r="Z107" s="331">
        <v>2.36</v>
      </c>
      <c r="AA107" s="331">
        <v>100</v>
      </c>
      <c r="AB107" s="319" t="s">
        <v>182</v>
      </c>
      <c r="AC107" s="324">
        <v>45</v>
      </c>
      <c r="AD107" s="593">
        <v>0.04</v>
      </c>
      <c r="AE107" s="321">
        <v>0.04</v>
      </c>
      <c r="AF107" s="853" t="s">
        <v>175</v>
      </c>
      <c r="AG107" s="853"/>
      <c r="AH107" s="335"/>
    </row>
    <row r="108" spans="1:38" s="273" customFormat="1" ht="24.6" customHeight="1" x14ac:dyDescent="0.2">
      <c r="A108" s="760" t="s">
        <v>265</v>
      </c>
      <c r="B108" s="761"/>
      <c r="C108" s="761"/>
      <c r="D108" s="761"/>
      <c r="E108" s="902" t="str">
        <f>IF(E47="","",+E47)</f>
        <v/>
      </c>
      <c r="F108" s="902"/>
      <c r="G108" s="902"/>
      <c r="H108" s="902"/>
      <c r="I108" s="902"/>
      <c r="J108" s="902"/>
      <c r="K108" s="855" t="s">
        <v>205</v>
      </c>
      <c r="L108" s="855"/>
      <c r="M108" s="855"/>
      <c r="N108" s="762" t="str">
        <f>IF(N47="","",+N47)</f>
        <v/>
      </c>
      <c r="O108" s="763"/>
      <c r="P108" s="279"/>
      <c r="Q108" s="280"/>
      <c r="R108" s="281"/>
      <c r="S108" s="243">
        <v>61.3</v>
      </c>
      <c r="T108" s="244">
        <f t="shared" si="10"/>
        <v>2.9743750000000002</v>
      </c>
      <c r="U108" s="244">
        <f t="shared" si="10"/>
        <v>1.055625</v>
      </c>
      <c r="V108" s="282"/>
      <c r="W108" s="279"/>
      <c r="X108" s="318"/>
      <c r="Y108" s="332">
        <v>1.18</v>
      </c>
      <c r="Z108" s="332">
        <v>1.18</v>
      </c>
      <c r="AA108" s="332">
        <v>0</v>
      </c>
      <c r="AB108" s="319"/>
      <c r="AC108" s="324"/>
      <c r="AD108" s="593"/>
      <c r="AE108" s="321"/>
      <c r="AF108" s="334" t="s">
        <v>184</v>
      </c>
      <c r="AG108" s="335"/>
      <c r="AH108" s="319"/>
    </row>
    <row r="109" spans="1:38" s="273" customFormat="1" ht="23.25" customHeight="1" x14ac:dyDescent="0.2">
      <c r="A109" s="816" t="s">
        <v>369</v>
      </c>
      <c r="B109" s="817"/>
      <c r="C109" s="817"/>
      <c r="D109" s="817"/>
      <c r="E109" s="817"/>
      <c r="F109" s="817"/>
      <c r="G109" s="817"/>
      <c r="H109" s="817"/>
      <c r="I109" s="817"/>
      <c r="J109" s="817"/>
      <c r="K109" s="817"/>
      <c r="L109" s="817"/>
      <c r="M109" s="817"/>
      <c r="N109" s="817"/>
      <c r="O109" s="818"/>
      <c r="P109" s="279"/>
      <c r="Q109" s="280"/>
      <c r="R109" s="281"/>
      <c r="S109" s="243">
        <v>61.4</v>
      </c>
      <c r="T109" s="244">
        <f t="shared" si="10"/>
        <v>2.9743750000000002</v>
      </c>
      <c r="U109" s="244">
        <f t="shared" si="10"/>
        <v>1.0525</v>
      </c>
      <c r="V109" s="282"/>
      <c r="W109" s="279"/>
      <c r="X109" s="318"/>
      <c r="Y109" s="332">
        <v>1.18</v>
      </c>
      <c r="Z109" s="332">
        <v>1.18</v>
      </c>
      <c r="AA109" s="332">
        <v>100</v>
      </c>
      <c r="AB109" s="319" t="s">
        <v>183</v>
      </c>
      <c r="AC109" s="324">
        <v>32</v>
      </c>
      <c r="AD109" s="593">
        <v>0.08</v>
      </c>
      <c r="AE109" s="321">
        <v>0.08</v>
      </c>
      <c r="AF109" s="319"/>
      <c r="AG109" s="319"/>
      <c r="AH109" s="319"/>
    </row>
    <row r="110" spans="1:38" s="273" customFormat="1" ht="15" customHeight="1" x14ac:dyDescent="0.2">
      <c r="A110" s="1060" t="s">
        <v>373</v>
      </c>
      <c r="B110" s="1061"/>
      <c r="C110" s="1061"/>
      <c r="D110" s="1061"/>
      <c r="E110" s="522"/>
      <c r="F110" s="522"/>
      <c r="G110" s="523"/>
      <c r="H110" s="864" t="s">
        <v>19</v>
      </c>
      <c r="I110" s="864"/>
      <c r="J110" s="314">
        <v>1</v>
      </c>
      <c r="K110" s="314">
        <v>2</v>
      </c>
      <c r="L110" s="314">
        <v>3</v>
      </c>
      <c r="M110" s="314">
        <v>4</v>
      </c>
      <c r="N110" s="819"/>
      <c r="O110" s="820"/>
      <c r="P110" s="279"/>
      <c r="Q110" s="280"/>
      <c r="R110" s="281"/>
      <c r="S110" s="243">
        <v>61.5</v>
      </c>
      <c r="T110" s="244">
        <f t="shared" si="10"/>
        <v>2.9743750000000002</v>
      </c>
      <c r="U110" s="244">
        <f t="shared" si="10"/>
        <v>1.0493749999999999</v>
      </c>
      <c r="V110" s="282"/>
      <c r="W110" s="279"/>
      <c r="X110" s="318"/>
      <c r="Y110" s="333">
        <v>0.6</v>
      </c>
      <c r="Z110" s="333">
        <v>0.6</v>
      </c>
      <c r="AA110" s="333">
        <v>0</v>
      </c>
      <c r="AB110" s="319"/>
      <c r="AC110" s="324"/>
      <c r="AD110" s="593"/>
      <c r="AE110" s="321"/>
      <c r="AF110" s="319"/>
      <c r="AG110" s="319"/>
      <c r="AH110" s="319"/>
    </row>
    <row r="111" spans="1:38" s="273" customFormat="1" ht="15" customHeight="1" x14ac:dyDescent="0.2">
      <c r="A111" s="886" t="s">
        <v>374</v>
      </c>
      <c r="B111" s="903"/>
      <c r="C111" s="903"/>
      <c r="D111" s="903"/>
      <c r="E111" s="903"/>
      <c r="F111" s="903"/>
      <c r="G111" s="903"/>
      <c r="H111" s="815" t="s">
        <v>92</v>
      </c>
      <c r="I111" s="815"/>
      <c r="J111" s="254"/>
      <c r="K111" s="254"/>
      <c r="L111" s="254"/>
      <c r="M111" s="254"/>
      <c r="N111" s="819"/>
      <c r="O111" s="820"/>
      <c r="P111" s="279"/>
      <c r="Q111" s="280"/>
      <c r="R111" s="281"/>
      <c r="S111" s="243">
        <v>61.6</v>
      </c>
      <c r="T111" s="244">
        <f t="shared" si="10"/>
        <v>2.9743750000000002</v>
      </c>
      <c r="U111" s="244">
        <f t="shared" si="10"/>
        <v>1.0462499999999999</v>
      </c>
      <c r="V111" s="282"/>
      <c r="W111" s="279"/>
      <c r="X111" s="318"/>
      <c r="Y111" s="333">
        <v>0.6</v>
      </c>
      <c r="Z111" s="333">
        <v>0.6</v>
      </c>
      <c r="AA111" s="333">
        <v>100</v>
      </c>
      <c r="AB111" s="319" t="s">
        <v>185</v>
      </c>
      <c r="AC111" s="324">
        <v>23</v>
      </c>
      <c r="AD111" s="593">
        <v>0.14000000000000001</v>
      </c>
      <c r="AE111" s="321">
        <v>0.14000000000000001</v>
      </c>
      <c r="AF111" s="319"/>
      <c r="AG111" s="319"/>
      <c r="AH111" s="319"/>
    </row>
    <row r="112" spans="1:38" s="273" customFormat="1" ht="15" customHeight="1" x14ac:dyDescent="0.2">
      <c r="A112" s="904" t="s">
        <v>235</v>
      </c>
      <c r="B112" s="903"/>
      <c r="C112" s="903"/>
      <c r="D112" s="903"/>
      <c r="E112" s="903"/>
      <c r="F112" s="903"/>
      <c r="G112" s="903"/>
      <c r="H112" s="815" t="s">
        <v>192</v>
      </c>
      <c r="I112" s="815"/>
      <c r="J112" s="255"/>
      <c r="K112" s="255"/>
      <c r="L112" s="255"/>
      <c r="M112" s="255"/>
      <c r="N112" s="819"/>
      <c r="O112" s="820"/>
      <c r="P112" s="279"/>
      <c r="Q112" s="280"/>
      <c r="R112" s="281"/>
      <c r="S112" s="243">
        <v>61.7</v>
      </c>
      <c r="T112" s="244">
        <f t="shared" si="10"/>
        <v>2.9743750000000002</v>
      </c>
      <c r="U112" s="244">
        <f t="shared" si="10"/>
        <v>1.0431250000000001</v>
      </c>
      <c r="V112" s="282"/>
      <c r="W112" s="279"/>
      <c r="X112" s="318"/>
      <c r="Y112" s="337">
        <v>0.3</v>
      </c>
      <c r="Z112" s="337">
        <v>0.3</v>
      </c>
      <c r="AA112" s="337">
        <v>0</v>
      </c>
      <c r="AB112" s="319"/>
      <c r="AC112" s="324"/>
      <c r="AD112" s="593"/>
      <c r="AE112" s="321"/>
      <c r="AF112" s="319"/>
      <c r="AG112" s="319"/>
      <c r="AH112" s="319"/>
      <c r="AI112" s="551"/>
      <c r="AJ112" s="551"/>
      <c r="AK112" s="551"/>
      <c r="AL112" s="551"/>
    </row>
    <row r="113" spans="1:40" s="273" customFormat="1" ht="15" customHeight="1" x14ac:dyDescent="0.2">
      <c r="A113" s="904" t="s">
        <v>375</v>
      </c>
      <c r="B113" s="903"/>
      <c r="C113" s="903"/>
      <c r="D113" s="903"/>
      <c r="E113" s="903"/>
      <c r="F113" s="903"/>
      <c r="G113" s="903"/>
      <c r="H113" s="815" t="s">
        <v>191</v>
      </c>
      <c r="I113" s="815"/>
      <c r="J113" s="254"/>
      <c r="K113" s="254"/>
      <c r="L113" s="254"/>
      <c r="M113" s="254"/>
      <c r="N113" s="819"/>
      <c r="O113" s="820"/>
      <c r="P113" s="279"/>
      <c r="Q113" s="280"/>
      <c r="R113" s="281"/>
      <c r="S113" s="243">
        <v>61.8</v>
      </c>
      <c r="T113" s="244">
        <f t="shared" si="10"/>
        <v>2.9743750000000002</v>
      </c>
      <c r="U113" s="244">
        <f t="shared" si="10"/>
        <v>1.04</v>
      </c>
      <c r="V113" s="282"/>
      <c r="W113" s="279"/>
      <c r="X113" s="318"/>
      <c r="Y113" s="337">
        <v>0.3</v>
      </c>
      <c r="Z113" s="337">
        <v>0.3</v>
      </c>
      <c r="AA113" s="337">
        <v>100</v>
      </c>
      <c r="AB113" s="319" t="s">
        <v>186</v>
      </c>
      <c r="AC113" s="324">
        <v>17</v>
      </c>
      <c r="AD113" s="593">
        <v>0.3</v>
      </c>
      <c r="AE113" s="321">
        <v>0.3</v>
      </c>
      <c r="AF113" s="319"/>
      <c r="AG113" s="319"/>
      <c r="AH113" s="319"/>
      <c r="AI113" s="552"/>
      <c r="AJ113" s="552"/>
      <c r="AK113" s="552"/>
      <c r="AL113" s="552"/>
    </row>
    <row r="114" spans="1:40" s="273" customFormat="1" ht="15" customHeight="1" x14ac:dyDescent="0.2">
      <c r="A114" s="904" t="s">
        <v>376</v>
      </c>
      <c r="B114" s="903"/>
      <c r="C114" s="903"/>
      <c r="D114" s="903"/>
      <c r="E114" s="903"/>
      <c r="F114" s="903"/>
      <c r="G114" s="903"/>
      <c r="H114" s="815" t="s">
        <v>191</v>
      </c>
      <c r="I114" s="815"/>
      <c r="J114" s="254"/>
      <c r="K114" s="254"/>
      <c r="L114" s="254"/>
      <c r="M114" s="254"/>
      <c r="N114" s="819"/>
      <c r="O114" s="820"/>
      <c r="P114" s="279"/>
      <c r="Q114" s="280"/>
      <c r="R114" s="281"/>
      <c r="S114" s="247">
        <v>61.9</v>
      </c>
      <c r="T114" s="249">
        <v>1.04</v>
      </c>
      <c r="U114" s="249">
        <v>1.04</v>
      </c>
      <c r="V114" s="282"/>
      <c r="W114" s="338"/>
      <c r="X114" s="318"/>
      <c r="Y114" s="341">
        <v>0.15</v>
      </c>
      <c r="Z114" s="341">
        <v>0.15</v>
      </c>
      <c r="AA114" s="341">
        <v>0</v>
      </c>
      <c r="AB114" s="319"/>
      <c r="AC114" s="324"/>
      <c r="AD114" s="593"/>
      <c r="AE114" s="321"/>
      <c r="AF114" s="319"/>
      <c r="AG114" s="319"/>
      <c r="AH114" s="319"/>
      <c r="AI114" s="552"/>
      <c r="AJ114" s="552"/>
      <c r="AK114" s="552"/>
      <c r="AL114" s="552"/>
    </row>
    <row r="115" spans="1:40" s="273" customFormat="1" ht="20.100000000000001" customHeight="1" x14ac:dyDescent="0.2">
      <c r="A115" s="886" t="s">
        <v>377</v>
      </c>
      <c r="B115" s="887"/>
      <c r="C115" s="887"/>
      <c r="D115" s="887"/>
      <c r="E115" s="887"/>
      <c r="F115" s="887"/>
      <c r="G115" s="887"/>
      <c r="H115" s="815" t="s">
        <v>191</v>
      </c>
      <c r="I115" s="815"/>
      <c r="J115" s="254"/>
      <c r="K115" s="254"/>
      <c r="L115" s="254"/>
      <c r="M115" s="254"/>
      <c r="N115" s="819"/>
      <c r="O115" s="820"/>
      <c r="P115" s="279"/>
      <c r="Q115" s="280"/>
      <c r="R115" s="281"/>
      <c r="S115" s="243">
        <v>62</v>
      </c>
      <c r="T115" s="244">
        <f t="shared" ref="T115:U129" si="11">+$U$114+((R115-$S$114)*(($U$130-$U$114)/($S$130-$S$114)))</f>
        <v>2.5875000000000004</v>
      </c>
      <c r="U115" s="244">
        <f t="shared" si="11"/>
        <v>1.0375000000000001</v>
      </c>
      <c r="V115" s="282"/>
      <c r="W115" s="338"/>
      <c r="X115" s="318"/>
      <c r="Y115" s="341">
        <v>0.15</v>
      </c>
      <c r="Z115" s="341">
        <v>0.15</v>
      </c>
      <c r="AA115" s="341">
        <v>100</v>
      </c>
      <c r="AB115" s="319" t="s">
        <v>187</v>
      </c>
      <c r="AC115" s="324">
        <v>11</v>
      </c>
      <c r="AD115" s="593">
        <v>0.6</v>
      </c>
      <c r="AE115" s="321">
        <v>0.6</v>
      </c>
      <c r="AF115" s="319"/>
      <c r="AG115" s="319"/>
      <c r="AH115" s="319"/>
      <c r="AI115" s="552"/>
      <c r="AJ115" s="552"/>
      <c r="AK115" s="552"/>
      <c r="AL115" s="552"/>
    </row>
    <row r="116" spans="1:40" s="273" customFormat="1" ht="20.100000000000001" customHeight="1" thickBot="1" x14ac:dyDescent="0.25">
      <c r="A116" s="886" t="s">
        <v>307</v>
      </c>
      <c r="B116" s="887"/>
      <c r="C116" s="887"/>
      <c r="D116" s="887"/>
      <c r="E116" s="887"/>
      <c r="F116" s="887"/>
      <c r="G116" s="887"/>
      <c r="H116" s="815" t="s">
        <v>191</v>
      </c>
      <c r="I116" s="815"/>
      <c r="J116" s="436" t="str">
        <f>IF(J115="","",+J115-J114)</f>
        <v/>
      </c>
      <c r="K116" s="436" t="str">
        <f>IF(K115="","",+K115-K114)</f>
        <v/>
      </c>
      <c r="L116" s="436" t="str">
        <f>IF(L115="","",+L115-L114)</f>
        <v/>
      </c>
      <c r="M116" s="436" t="str">
        <f>IF(M115="","",+M115-M114)</f>
        <v/>
      </c>
      <c r="N116" s="842" t="s">
        <v>13</v>
      </c>
      <c r="O116" s="843"/>
      <c r="P116" s="279"/>
      <c r="Q116" s="280"/>
      <c r="R116" s="281"/>
      <c r="S116" s="243">
        <v>62.1</v>
      </c>
      <c r="T116" s="244">
        <f t="shared" si="11"/>
        <v>2.5875000000000004</v>
      </c>
      <c r="U116" s="244">
        <f t="shared" si="11"/>
        <v>1.0349999999999999</v>
      </c>
      <c r="V116" s="282"/>
      <c r="W116" s="338"/>
      <c r="X116" s="318"/>
      <c r="Y116" s="344">
        <v>7.4999999999999997E-2</v>
      </c>
      <c r="Z116" s="344">
        <v>7.4999999999999997E-2</v>
      </c>
      <c r="AA116" s="344">
        <v>0</v>
      </c>
      <c r="AB116" s="319"/>
      <c r="AC116" s="324"/>
      <c r="AD116" s="593"/>
      <c r="AE116" s="321"/>
      <c r="AF116" s="319"/>
      <c r="AG116" s="319"/>
      <c r="AH116" s="347"/>
      <c r="AI116" s="552"/>
      <c r="AJ116" s="552"/>
      <c r="AK116" s="552"/>
      <c r="AL116" s="552"/>
    </row>
    <row r="117" spans="1:40" s="273" customFormat="1" ht="15" customHeight="1" thickTop="1" thickBot="1" x14ac:dyDescent="0.25">
      <c r="A117" s="825" t="s">
        <v>339</v>
      </c>
      <c r="B117" s="826"/>
      <c r="C117" s="826"/>
      <c r="D117" s="826"/>
      <c r="E117" s="826"/>
      <c r="F117" s="826"/>
      <c r="G117" s="826"/>
      <c r="H117" s="859"/>
      <c r="I117" s="859"/>
      <c r="J117" s="437" t="str">
        <f>IF(J113="","",+J113/J116)</f>
        <v/>
      </c>
      <c r="K117" s="437" t="str">
        <f>IF(K113="","",+K113/K116)</f>
        <v/>
      </c>
      <c r="L117" s="437" t="str">
        <f>IF(L113="","",+L113/L116)</f>
        <v/>
      </c>
      <c r="M117" s="437" t="str">
        <f>IF(M113="","",+M113/M116)</f>
        <v/>
      </c>
      <c r="N117" s="832" t="str">
        <f>IF(J117="","",+AVERAGE(G117:M117))</f>
        <v/>
      </c>
      <c r="O117" s="833"/>
      <c r="P117" s="279"/>
      <c r="Q117" s="280"/>
      <c r="R117" s="281"/>
      <c r="S117" s="243">
        <v>62.2</v>
      </c>
      <c r="T117" s="244">
        <f t="shared" si="11"/>
        <v>2.5875000000000004</v>
      </c>
      <c r="U117" s="244">
        <f t="shared" si="11"/>
        <v>1.0325</v>
      </c>
      <c r="V117" s="282"/>
      <c r="W117" s="338"/>
      <c r="X117" s="318"/>
      <c r="Y117" s="344">
        <v>7.4999999999999997E-2</v>
      </c>
      <c r="Z117" s="344">
        <v>7.4999999999999997E-2</v>
      </c>
      <c r="AA117" s="344">
        <v>100</v>
      </c>
      <c r="AB117" s="319" t="s">
        <v>188</v>
      </c>
      <c r="AC117" s="328" t="str">
        <f>+M71</f>
        <v/>
      </c>
      <c r="AD117" s="593">
        <v>1.6</v>
      </c>
      <c r="AE117" s="321">
        <v>1.6</v>
      </c>
      <c r="AF117" s="347"/>
      <c r="AG117" s="347"/>
      <c r="AH117" s="338"/>
      <c r="AI117" s="552"/>
      <c r="AJ117" s="552"/>
      <c r="AK117" s="552"/>
      <c r="AL117" s="552"/>
    </row>
    <row r="118" spans="1:40" s="273" customFormat="1" ht="15" customHeight="1" thickTop="1" x14ac:dyDescent="0.2">
      <c r="A118" s="904" t="s">
        <v>338</v>
      </c>
      <c r="B118" s="903"/>
      <c r="C118" s="903"/>
      <c r="D118" s="903"/>
      <c r="E118" s="903"/>
      <c r="F118" s="903"/>
      <c r="G118" s="903"/>
      <c r="H118" s="815" t="s">
        <v>311</v>
      </c>
      <c r="I118" s="815"/>
      <c r="J118" s="438" t="str">
        <f>IF(J117="","",+J117*997)</f>
        <v/>
      </c>
      <c r="K118" s="438" t="str">
        <f>IF(K117="","",+K117*997)</f>
        <v/>
      </c>
      <c r="L118" s="438" t="str">
        <f>IF(L117="","",+L117*997)</f>
        <v/>
      </c>
      <c r="M118" s="438" t="str">
        <f>IF(M117="","",+M117*997)</f>
        <v/>
      </c>
      <c r="N118" s="834" t="str">
        <f>IF(J118="","",+AVERAGE(G118:M118))</f>
        <v/>
      </c>
      <c r="O118" s="835"/>
      <c r="P118" s="279"/>
      <c r="Q118" s="280"/>
      <c r="R118" s="281"/>
      <c r="S118" s="243">
        <v>62.3</v>
      </c>
      <c r="T118" s="244">
        <f t="shared" si="11"/>
        <v>2.5875000000000004</v>
      </c>
      <c r="U118" s="244">
        <f t="shared" si="11"/>
        <v>1.03</v>
      </c>
      <c r="V118" s="282"/>
      <c r="W118" s="338"/>
      <c r="X118" s="318"/>
      <c r="Y118" s="319"/>
      <c r="Z118" s="319"/>
      <c r="AA118" s="319"/>
      <c r="AB118" s="319"/>
      <c r="AC118" s="319"/>
      <c r="AD118" s="593"/>
      <c r="AE118" s="321"/>
      <c r="AF118" s="338"/>
      <c r="AG118" s="338"/>
      <c r="AH118" s="313"/>
      <c r="AI118" s="552"/>
      <c r="AJ118" s="552"/>
      <c r="AK118" s="552"/>
      <c r="AL118" s="552"/>
    </row>
    <row r="119" spans="1:40" s="273" customFormat="1" ht="15" customHeight="1" thickBot="1" x14ac:dyDescent="0.25">
      <c r="A119" s="1057" t="s">
        <v>340</v>
      </c>
      <c r="B119" s="1058"/>
      <c r="C119" s="1058"/>
      <c r="D119" s="1058"/>
      <c r="E119" s="1058"/>
      <c r="F119" s="1058"/>
      <c r="G119" s="1058"/>
      <c r="H119" s="854" t="s">
        <v>190</v>
      </c>
      <c r="I119" s="854"/>
      <c r="J119" s="439" t="str">
        <f>IF(J115="","",+(J115-J113)/(J115-J114)*100)</f>
        <v/>
      </c>
      <c r="K119" s="439" t="str">
        <f>IF(K114="","",+(K115-K113)/(K115-K114)*100)</f>
        <v/>
      </c>
      <c r="L119" s="439" t="str">
        <f>IF(L115="","",+(L115-L113)/(L115-L114)*100)</f>
        <v/>
      </c>
      <c r="M119" s="439" t="str">
        <f>IF(M115="","",+(M115-M113)/(M115-M114)*100)</f>
        <v/>
      </c>
      <c r="N119" s="856" t="str">
        <f>IF(J119="","",+AVERAGE(G119:M119))</f>
        <v/>
      </c>
      <c r="O119" s="857"/>
      <c r="P119" s="279"/>
      <c r="Q119" s="280"/>
      <c r="R119" s="281"/>
      <c r="S119" s="243">
        <v>62.4</v>
      </c>
      <c r="T119" s="244">
        <f t="shared" si="11"/>
        <v>2.5875000000000004</v>
      </c>
      <c r="U119" s="244">
        <f t="shared" si="11"/>
        <v>1.0275000000000001</v>
      </c>
      <c r="V119" s="282"/>
      <c r="W119" s="338"/>
      <c r="X119" s="346"/>
      <c r="Y119" s="347"/>
      <c r="Z119" s="347"/>
      <c r="AA119" s="347"/>
      <c r="AB119" s="347"/>
      <c r="AC119" s="347"/>
      <c r="AD119" s="348">
        <v>0.20408200000000001</v>
      </c>
      <c r="AE119" s="348">
        <v>0.20408200000000001</v>
      </c>
      <c r="AF119" s="313"/>
      <c r="AG119" s="313"/>
      <c r="AH119" s="261"/>
      <c r="AI119" s="552"/>
      <c r="AJ119" s="552"/>
      <c r="AK119" s="552"/>
      <c r="AL119" s="552"/>
    </row>
    <row r="120" spans="1:40" s="273" customFormat="1" ht="14.1" customHeight="1" thickTop="1" x14ac:dyDescent="0.2">
      <c r="A120" s="836" t="s">
        <v>268</v>
      </c>
      <c r="B120" s="837"/>
      <c r="C120" s="837"/>
      <c r="D120" s="837"/>
      <c r="E120" s="837"/>
      <c r="F120" s="837"/>
      <c r="G120" s="837"/>
      <c r="H120" s="837"/>
      <c r="I120" s="837"/>
      <c r="J120" s="837"/>
      <c r="K120" s="837"/>
      <c r="L120" s="837"/>
      <c r="M120" s="837"/>
      <c r="N120" s="837"/>
      <c r="O120" s="838"/>
      <c r="P120" s="279" t="s">
        <v>280</v>
      </c>
      <c r="Q120" s="280"/>
      <c r="R120" s="281"/>
      <c r="S120" s="243">
        <v>62.5</v>
      </c>
      <c r="T120" s="244">
        <f t="shared" si="11"/>
        <v>2.5875000000000004</v>
      </c>
      <c r="U120" s="244">
        <f t="shared" si="11"/>
        <v>1.0249999999999999</v>
      </c>
      <c r="V120" s="282"/>
      <c r="W120" s="338"/>
      <c r="X120" s="349" t="str">
        <f>IF(AB93="","",+(100-M54)*AB93/(F123*100))</f>
        <v/>
      </c>
      <c r="Y120" s="596"/>
      <c r="Z120" s="860" t="s">
        <v>252</v>
      </c>
      <c r="AA120" s="861"/>
      <c r="AB120" s="338"/>
      <c r="AC120" s="338"/>
      <c r="AD120" s="338"/>
      <c r="AE120" s="338"/>
      <c r="AF120" s="261"/>
      <c r="AG120" s="261"/>
      <c r="AH120" s="261"/>
      <c r="AI120" s="552"/>
      <c r="AJ120" s="552"/>
      <c r="AK120" s="552"/>
      <c r="AL120" s="552"/>
    </row>
    <row r="121" spans="1:40" s="273" customFormat="1" ht="14.1" customHeight="1" x14ac:dyDescent="0.2">
      <c r="A121" s="440" t="s">
        <v>314</v>
      </c>
      <c r="B121" s="831" t="s">
        <v>293</v>
      </c>
      <c r="C121" s="831"/>
      <c r="D121" s="441" t="str">
        <f>IF(E67="","",(SUM(E67:I67)/M61)*100)</f>
        <v/>
      </c>
      <c r="E121" s="442" t="s">
        <v>190</v>
      </c>
      <c r="F121" s="849" t="str">
        <f>+IF(E8="","",HLOOKUP($E$8,$W$123:$AC$128,W124,0))</f>
        <v/>
      </c>
      <c r="G121" s="849"/>
      <c r="H121" s="447" t="s">
        <v>231</v>
      </c>
      <c r="I121" s="850" t="s">
        <v>234</v>
      </c>
      <c r="J121" s="850"/>
      <c r="K121" s="850"/>
      <c r="L121" s="850"/>
      <c r="M121" s="850"/>
      <c r="N121" s="827" t="str">
        <f>+IF(E8="","",HLOOKUP($E$8,$W$123:$AC$128,W127,0))</f>
        <v/>
      </c>
      <c r="O121" s="828"/>
      <c r="P121" s="279"/>
      <c r="Q121" s="280"/>
      <c r="R121" s="281"/>
      <c r="S121" s="243">
        <v>62.6</v>
      </c>
      <c r="T121" s="244">
        <f t="shared" si="11"/>
        <v>2.5875000000000004</v>
      </c>
      <c r="U121" s="244">
        <f t="shared" si="11"/>
        <v>1.0225</v>
      </c>
      <c r="V121" s="282"/>
      <c r="W121" s="313"/>
      <c r="X121" s="349" t="e">
        <f>+AB93/N121</f>
        <v>#VALUE!</v>
      </c>
      <c r="Y121" s="596"/>
      <c r="Z121" s="862" t="s">
        <v>253</v>
      </c>
      <c r="AA121" s="863"/>
      <c r="AB121" s="313"/>
      <c r="AC121" s="313"/>
      <c r="AD121" s="313"/>
      <c r="AE121" s="313"/>
      <c r="AF121" s="261"/>
      <c r="AG121" s="261"/>
      <c r="AH121" s="261"/>
      <c r="AI121" s="552"/>
      <c r="AJ121" s="552"/>
      <c r="AK121" s="552"/>
      <c r="AL121" s="552"/>
    </row>
    <row r="122" spans="1:40" s="273" customFormat="1" ht="14.1" customHeight="1" x14ac:dyDescent="0.2">
      <c r="A122" s="440" t="s">
        <v>315</v>
      </c>
      <c r="B122" s="831" t="s">
        <v>294</v>
      </c>
      <c r="C122" s="831"/>
      <c r="D122" s="443" t="str">
        <f>IF(J67="","",((SUM(J67:M67)/M61)*100))</f>
        <v/>
      </c>
      <c r="E122" s="442" t="s">
        <v>190</v>
      </c>
      <c r="F122" s="844" t="str">
        <f>+IF(E8="","",HLOOKUP($E$8,$W$123:$AC$128,W125,0))</f>
        <v/>
      </c>
      <c r="G122" s="844"/>
      <c r="H122" s="448" t="s">
        <v>230</v>
      </c>
      <c r="I122" s="794" t="s">
        <v>233</v>
      </c>
      <c r="J122" s="794"/>
      <c r="K122" s="794"/>
      <c r="L122" s="794"/>
      <c r="M122" s="435"/>
      <c r="N122" s="827" t="str">
        <f>+IF(D121="","",((D121*F121)+(D122*F122)+(D123*F123))/100)</f>
        <v/>
      </c>
      <c r="O122" s="828"/>
      <c r="P122" s="242" t="e">
        <f>D121+D122+D123</f>
        <v>#VALUE!</v>
      </c>
      <c r="Q122" s="280"/>
      <c r="R122" s="281"/>
      <c r="S122" s="243">
        <v>62.7</v>
      </c>
      <c r="T122" s="244">
        <f t="shared" si="11"/>
        <v>2.5875000000000004</v>
      </c>
      <c r="U122" s="244">
        <f t="shared" si="11"/>
        <v>1.02</v>
      </c>
      <c r="V122" s="282"/>
      <c r="W122" s="261"/>
      <c r="X122" s="54"/>
      <c r="Y122" s="54"/>
      <c r="Z122" s="54"/>
      <c r="AA122" s="54"/>
      <c r="AB122" s="261"/>
      <c r="AC122" s="261"/>
      <c r="AD122" s="261"/>
      <c r="AE122" s="261"/>
      <c r="AF122" s="261"/>
      <c r="AG122" s="261"/>
      <c r="AH122" s="261"/>
      <c r="AI122" s="319"/>
      <c r="AJ122" s="319"/>
      <c r="AK122" s="319"/>
      <c r="AL122" s="319"/>
    </row>
    <row r="123" spans="1:40" s="273" customFormat="1" ht="14.1" customHeight="1" x14ac:dyDescent="0.2">
      <c r="A123" s="444" t="s">
        <v>316</v>
      </c>
      <c r="B123" s="1063" t="s">
        <v>295</v>
      </c>
      <c r="C123" s="1063"/>
      <c r="D123" s="445" t="str">
        <f>IF(O67="","",((O67+Q67)/M61)*100)</f>
        <v/>
      </c>
      <c r="E123" s="446" t="s">
        <v>190</v>
      </c>
      <c r="F123" s="848" t="str">
        <f>+IF(E8="","",HLOOKUP($E$8,$W$123:$AC$128,W126,0))</f>
        <v/>
      </c>
      <c r="G123" s="848"/>
      <c r="H123" s="449" t="s">
        <v>229</v>
      </c>
      <c r="I123" s="450" t="s">
        <v>232</v>
      </c>
      <c r="J123" s="451"/>
      <c r="K123" s="451"/>
      <c r="L123" s="451"/>
      <c r="M123" s="451"/>
      <c r="N123" s="829" t="str">
        <f>IF(N121="","",+(100-M54)/((100/G142)-(M54/N121)))</f>
        <v/>
      </c>
      <c r="O123" s="830"/>
      <c r="P123" s="336"/>
      <c r="S123" s="243">
        <v>62.8</v>
      </c>
      <c r="T123" s="244">
        <f t="shared" si="11"/>
        <v>2.5875000000000004</v>
      </c>
      <c r="U123" s="244">
        <f t="shared" si="11"/>
        <v>1.0175000000000001</v>
      </c>
      <c r="V123" s="282"/>
      <c r="W123" s="543">
        <v>1</v>
      </c>
      <c r="X123" s="542" t="s">
        <v>317</v>
      </c>
      <c r="Y123" s="541" t="s">
        <v>169</v>
      </c>
      <c r="Z123" s="541" t="s">
        <v>169</v>
      </c>
      <c r="AA123" s="541" t="s">
        <v>378</v>
      </c>
      <c r="AB123" s="541" t="s">
        <v>383</v>
      </c>
      <c r="AC123" s="541" t="s">
        <v>319</v>
      </c>
      <c r="AD123" s="261"/>
      <c r="AE123" s="261"/>
      <c r="AF123" s="261"/>
      <c r="AG123" s="261"/>
      <c r="AH123" s="261"/>
      <c r="AI123" s="261"/>
      <c r="AJ123" s="261"/>
      <c r="AK123" s="261"/>
      <c r="AL123" s="319"/>
      <c r="AM123" s="319"/>
      <c r="AN123" s="319"/>
    </row>
    <row r="124" spans="1:40" s="273" customFormat="1" ht="15" customHeight="1" x14ac:dyDescent="0.2">
      <c r="A124" s="845" t="s">
        <v>367</v>
      </c>
      <c r="B124" s="846"/>
      <c r="C124" s="846"/>
      <c r="D124" s="846"/>
      <c r="E124" s="846"/>
      <c r="F124" s="846"/>
      <c r="G124" s="846"/>
      <c r="H124" s="846"/>
      <c r="I124" s="846"/>
      <c r="J124" s="846"/>
      <c r="K124" s="846"/>
      <c r="L124" s="846"/>
      <c r="M124" s="846"/>
      <c r="N124" s="846"/>
      <c r="O124" s="847"/>
      <c r="P124" s="279"/>
      <c r="Q124" s="280"/>
      <c r="R124" s="281"/>
      <c r="S124" s="243">
        <v>62.9</v>
      </c>
      <c r="T124" s="244">
        <f t="shared" si="11"/>
        <v>2.5875000000000004</v>
      </c>
      <c r="U124" s="244">
        <f t="shared" si="11"/>
        <v>1.0150000000000001</v>
      </c>
      <c r="V124" s="549" t="s">
        <v>293</v>
      </c>
      <c r="W124" s="544">
        <v>2</v>
      </c>
      <c r="X124" s="50">
        <v>2.5099999999999998</v>
      </c>
      <c r="Y124" s="591">
        <v>2.5099999999999998</v>
      </c>
      <c r="Z124" s="50">
        <v>2.5099999999999998</v>
      </c>
      <c r="AA124" s="589">
        <v>2.5099999999999998</v>
      </c>
      <c r="AB124" s="597">
        <v>2.5</v>
      </c>
      <c r="AC124" s="540">
        <v>2.54</v>
      </c>
      <c r="AD124" s="261"/>
      <c r="AE124" s="261"/>
      <c r="AF124" s="261"/>
      <c r="AG124" s="261"/>
      <c r="AH124" s="261"/>
      <c r="AI124" s="261"/>
      <c r="AJ124" s="261"/>
      <c r="AK124" s="261"/>
      <c r="AL124" s="319"/>
      <c r="AM124" s="319"/>
      <c r="AN124" s="319"/>
    </row>
    <row r="125" spans="1:40" s="338" customFormat="1" ht="15" customHeight="1" x14ac:dyDescent="0.2">
      <c r="A125" s="840" t="s">
        <v>289</v>
      </c>
      <c r="B125" s="841"/>
      <c r="C125" s="841"/>
      <c r="D125" s="841"/>
      <c r="E125" s="841"/>
      <c r="F125" s="841"/>
      <c r="G125" s="841"/>
      <c r="H125" s="839" t="s">
        <v>19</v>
      </c>
      <c r="I125" s="839"/>
      <c r="J125" s="521">
        <v>1</v>
      </c>
      <c r="K125" s="521">
        <v>2</v>
      </c>
      <c r="L125" s="521">
        <v>3</v>
      </c>
      <c r="M125" s="521">
        <v>4</v>
      </c>
      <c r="N125" s="535"/>
      <c r="O125" s="536"/>
      <c r="Q125" s="339"/>
      <c r="R125" s="340"/>
      <c r="S125" s="243">
        <v>63</v>
      </c>
      <c r="T125" s="244">
        <f t="shared" si="11"/>
        <v>2.5875000000000004</v>
      </c>
      <c r="U125" s="244">
        <f t="shared" si="11"/>
        <v>1.0125</v>
      </c>
      <c r="V125" s="549" t="s">
        <v>294</v>
      </c>
      <c r="W125" s="544">
        <v>3</v>
      </c>
      <c r="X125" s="50">
        <v>2.5299999999999998</v>
      </c>
      <c r="Y125" s="591">
        <v>2.5499999999999998</v>
      </c>
      <c r="Z125" s="50">
        <v>2.5499999999999998</v>
      </c>
      <c r="AA125" s="589">
        <v>2.5499999999999998</v>
      </c>
      <c r="AB125" s="591">
        <v>2.5710000000000002</v>
      </c>
      <c r="AC125" s="540">
        <v>2.41</v>
      </c>
      <c r="AD125" s="261"/>
      <c r="AE125" s="261"/>
      <c r="AF125" s="261"/>
      <c r="AG125" s="261"/>
      <c r="AH125" s="261"/>
      <c r="AI125" s="261"/>
      <c r="AJ125" s="261"/>
      <c r="AK125" s="261"/>
      <c r="AL125" s="319"/>
      <c r="AM125" s="319"/>
      <c r="AN125" s="319"/>
    </row>
    <row r="126" spans="1:40" s="338" customFormat="1" ht="15" customHeight="1" x14ac:dyDescent="0.2">
      <c r="A126" s="720" t="s">
        <v>240</v>
      </c>
      <c r="B126" s="717"/>
      <c r="C126" s="717"/>
      <c r="D126" s="717"/>
      <c r="E126" s="717"/>
      <c r="F126" s="717"/>
      <c r="G126" s="717"/>
      <c r="H126" s="703" t="s">
        <v>192</v>
      </c>
      <c r="I126" s="703"/>
      <c r="J126" s="258"/>
      <c r="K126" s="258"/>
      <c r="L126" s="258"/>
      <c r="M126" s="258"/>
      <c r="N126" s="537"/>
      <c r="O126" s="538"/>
      <c r="Q126" s="342"/>
      <c r="R126" s="342"/>
      <c r="S126" s="243">
        <v>63.1</v>
      </c>
      <c r="T126" s="244">
        <f t="shared" si="11"/>
        <v>2.5875000000000004</v>
      </c>
      <c r="U126" s="244">
        <f t="shared" si="11"/>
        <v>1.01</v>
      </c>
      <c r="V126" s="549" t="s">
        <v>295</v>
      </c>
      <c r="W126" s="544">
        <v>4</v>
      </c>
      <c r="X126" s="50">
        <v>2.67</v>
      </c>
      <c r="Y126" s="591">
        <v>2.67</v>
      </c>
      <c r="Z126" s="50">
        <v>2.67</v>
      </c>
      <c r="AA126" s="589">
        <v>2.67</v>
      </c>
      <c r="AB126" s="591">
        <v>2.66</v>
      </c>
      <c r="AC126" s="540">
        <v>2.67</v>
      </c>
      <c r="AD126" s="261"/>
      <c r="AE126" s="261"/>
      <c r="AF126" s="261"/>
      <c r="AG126" s="261"/>
      <c r="AH126" s="261"/>
      <c r="AI126" s="261"/>
      <c r="AJ126" s="261"/>
      <c r="AK126" s="261"/>
      <c r="AL126" s="319"/>
      <c r="AM126" s="319"/>
      <c r="AN126" s="319"/>
    </row>
    <row r="127" spans="1:40" s="338" customFormat="1" ht="15" customHeight="1" x14ac:dyDescent="0.2">
      <c r="A127" s="720" t="s">
        <v>221</v>
      </c>
      <c r="B127" s="717"/>
      <c r="C127" s="717"/>
      <c r="D127" s="717"/>
      <c r="E127" s="717"/>
      <c r="F127" s="717"/>
      <c r="G127" s="717"/>
      <c r="H127" s="703" t="s">
        <v>222</v>
      </c>
      <c r="I127" s="703"/>
      <c r="J127" s="259"/>
      <c r="K127" s="259"/>
      <c r="L127" s="259"/>
      <c r="M127" s="259"/>
      <c r="N127" s="537"/>
      <c r="O127" s="538"/>
      <c r="Q127" s="339"/>
      <c r="R127" s="343"/>
      <c r="S127" s="243">
        <v>63.2</v>
      </c>
      <c r="T127" s="244">
        <f t="shared" si="11"/>
        <v>2.5875000000000004</v>
      </c>
      <c r="U127" s="244">
        <f t="shared" si="11"/>
        <v>1.0074999999999998</v>
      </c>
      <c r="V127" s="549" t="s">
        <v>234</v>
      </c>
      <c r="W127" s="544">
        <v>5</v>
      </c>
      <c r="X127" s="50">
        <v>1.0229999999999999</v>
      </c>
      <c r="Y127" s="591">
        <v>1.0229999999999999</v>
      </c>
      <c r="Z127" s="50">
        <v>1.0229999999999999</v>
      </c>
      <c r="AA127" s="589">
        <v>1.0229999999999999</v>
      </c>
      <c r="AB127" s="591">
        <v>1.02</v>
      </c>
      <c r="AC127" s="540">
        <v>1.0229999999999999</v>
      </c>
      <c r="AD127" s="261"/>
      <c r="AE127" s="261"/>
      <c r="AF127" s="261"/>
      <c r="AG127" s="261"/>
      <c r="AH127" s="261"/>
      <c r="AI127" s="261"/>
      <c r="AJ127" s="261"/>
      <c r="AK127" s="261"/>
      <c r="AL127" s="319"/>
      <c r="AM127" s="319"/>
      <c r="AN127" s="319"/>
    </row>
    <row r="128" spans="1:40" s="338" customFormat="1" ht="15" customHeight="1" x14ac:dyDescent="0.2">
      <c r="A128" s="720" t="s">
        <v>223</v>
      </c>
      <c r="B128" s="717"/>
      <c r="C128" s="717"/>
      <c r="D128" s="717"/>
      <c r="E128" s="717"/>
      <c r="F128" s="717"/>
      <c r="G128" s="717"/>
      <c r="H128" s="703" t="s">
        <v>244</v>
      </c>
      <c r="I128" s="703"/>
      <c r="J128" s="260"/>
      <c r="K128" s="260"/>
      <c r="L128" s="260"/>
      <c r="M128" s="260"/>
      <c r="N128" s="537"/>
      <c r="O128" s="538"/>
      <c r="Q128" s="339"/>
      <c r="R128" s="343"/>
      <c r="S128" s="243">
        <v>63.3</v>
      </c>
      <c r="T128" s="244">
        <f t="shared" si="11"/>
        <v>2.5875000000000004</v>
      </c>
      <c r="U128" s="244">
        <f t="shared" si="11"/>
        <v>1.0050000000000001</v>
      </c>
      <c r="V128" s="340"/>
      <c r="W128" s="545">
        <v>6</v>
      </c>
      <c r="X128" s="533">
        <v>2.532</v>
      </c>
      <c r="Y128" s="590">
        <v>2.5379999999999998</v>
      </c>
      <c r="Z128" s="533">
        <v>2.5379999999999998</v>
      </c>
      <c r="AA128" s="588">
        <v>2.5379999999999998</v>
      </c>
      <c r="AB128" s="590">
        <v>2.5449999999999999</v>
      </c>
      <c r="AC128" s="534">
        <v>2.488</v>
      </c>
      <c r="AD128" s="261"/>
      <c r="AE128" s="261"/>
      <c r="AF128" s="261"/>
      <c r="AG128" s="261"/>
      <c r="AH128" s="261"/>
      <c r="AI128" s="261"/>
      <c r="AJ128" s="261"/>
      <c r="AK128" s="261"/>
      <c r="AL128" s="319"/>
      <c r="AM128" s="319"/>
      <c r="AN128" s="319"/>
    </row>
    <row r="129" spans="1:38" s="338" customFormat="1" ht="15" customHeight="1" x14ac:dyDescent="0.2">
      <c r="A129" s="720" t="s">
        <v>312</v>
      </c>
      <c r="B129" s="717"/>
      <c r="C129" s="717"/>
      <c r="D129" s="717"/>
      <c r="E129" s="717"/>
      <c r="F129" s="717"/>
      <c r="G129" s="717"/>
      <c r="H129" s="1053"/>
      <c r="I129" s="1053"/>
      <c r="J129" s="452" t="str">
        <f>IF(J111="","",VLOOKUP(J111,S98:U162,2))</f>
        <v/>
      </c>
      <c r="K129" s="452" t="str">
        <f>IF(K111="","",VLOOKUP(K111,S98:U162,2))</f>
        <v/>
      </c>
      <c r="L129" s="452" t="str">
        <f>IF(L111="","",VLOOKUP(L111,S98:U162,2))</f>
        <v/>
      </c>
      <c r="M129" s="452" t="str">
        <f>IF(M111="","",VLOOKUP(M111,$S$98:$U$162,2))</f>
        <v/>
      </c>
      <c r="N129" s="842" t="s">
        <v>13</v>
      </c>
      <c r="O129" s="843"/>
      <c r="Q129" s="339"/>
      <c r="R129" s="345"/>
      <c r="S129" s="243">
        <v>63.4</v>
      </c>
      <c r="T129" s="244">
        <f t="shared" si="11"/>
        <v>2.5875000000000004</v>
      </c>
      <c r="U129" s="244">
        <f t="shared" si="11"/>
        <v>1.0024999999999999</v>
      </c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1"/>
      <c r="AI129" s="319"/>
      <c r="AJ129" s="319"/>
      <c r="AK129" s="319"/>
      <c r="AL129" s="319"/>
    </row>
    <row r="130" spans="1:38" s="338" customFormat="1" ht="15" customHeight="1" x14ac:dyDescent="0.2">
      <c r="A130" s="720" t="s">
        <v>243</v>
      </c>
      <c r="B130" s="717"/>
      <c r="C130" s="717"/>
      <c r="D130" s="717"/>
      <c r="E130" s="717"/>
      <c r="F130" s="717"/>
      <c r="G130" s="717"/>
      <c r="H130" s="703" t="s">
        <v>244</v>
      </c>
      <c r="I130" s="703"/>
      <c r="J130" s="257" t="str">
        <f>IF(OR(J128="",J129=""),"",+J128*J129)</f>
        <v/>
      </c>
      <c r="K130" s="257" t="str">
        <f>IF(OR(K129="",K128=""),"",+K128*K129)</f>
        <v/>
      </c>
      <c r="L130" s="257" t="str">
        <f>IF(OR(L128="",L129=""),"",+L128*L129)</f>
        <v/>
      </c>
      <c r="M130" s="257" t="str">
        <f>IF(OR(M128="",M129=""),"",+M128*M129)</f>
        <v/>
      </c>
      <c r="N130" s="735" t="str">
        <f>+IF(J130="","",AVERAGE(J130:M130))</f>
        <v/>
      </c>
      <c r="O130" s="736"/>
      <c r="Q130" s="339"/>
      <c r="R130" s="345"/>
      <c r="S130" s="247">
        <v>63.5</v>
      </c>
      <c r="T130" s="249">
        <v>1</v>
      </c>
      <c r="U130" s="249">
        <v>1</v>
      </c>
      <c r="W130" s="261"/>
      <c r="X130" s="261"/>
      <c r="Y130" s="261"/>
      <c r="Z130" s="261"/>
      <c r="AA130" s="261"/>
      <c r="AB130" s="261"/>
      <c r="AC130" s="261"/>
      <c r="AD130" s="261"/>
      <c r="AE130" s="261"/>
      <c r="AF130" s="261"/>
      <c r="AG130" s="261"/>
      <c r="AH130" s="261"/>
      <c r="AI130" s="319"/>
      <c r="AJ130" s="319"/>
      <c r="AK130" s="319"/>
      <c r="AL130" s="319"/>
    </row>
    <row r="131" spans="1:38" s="338" customFormat="1" ht="15" customHeight="1" x14ac:dyDescent="0.2">
      <c r="A131" s="720" t="s">
        <v>243</v>
      </c>
      <c r="B131" s="717"/>
      <c r="C131" s="717"/>
      <c r="D131" s="717"/>
      <c r="E131" s="717"/>
      <c r="F131" s="717"/>
      <c r="G131" s="717"/>
      <c r="H131" s="703" t="s">
        <v>242</v>
      </c>
      <c r="I131" s="703"/>
      <c r="J131" s="257" t="str">
        <f>IF(J130="","",J130*101.96)</f>
        <v/>
      </c>
      <c r="K131" s="257" t="str">
        <f>IF(K130="","",K130*101.96)</f>
        <v/>
      </c>
      <c r="L131" s="257" t="str">
        <f>IF(L130="","",L130*101.96)</f>
        <v/>
      </c>
      <c r="M131" s="257" t="str">
        <f>IF(M130="","",M130*101.96)</f>
        <v/>
      </c>
      <c r="N131" s="735" t="str">
        <f>+IF(J131="","",AVERAGE(J131:M131))</f>
        <v/>
      </c>
      <c r="O131" s="736"/>
      <c r="P131" s="456">
        <f>IF(J132="cumple",0,1)</f>
        <v>1</v>
      </c>
      <c r="Q131" s="457">
        <f>IF(J133="cumple",0,1)</f>
        <v>1</v>
      </c>
      <c r="R131" s="345"/>
      <c r="S131" s="243">
        <v>63.6</v>
      </c>
      <c r="T131" s="244">
        <f t="shared" ref="T131:U145" si="12">+$U$130+((R131-$S$130)*(($U$146-$U$130)/($S$146-$S$130)))</f>
        <v>2.5875000000000075</v>
      </c>
      <c r="U131" s="244">
        <f t="shared" si="12"/>
        <v>0.99749999999999994</v>
      </c>
      <c r="W131" s="261"/>
      <c r="X131" s="261"/>
      <c r="Y131" s="261"/>
      <c r="Z131" s="261"/>
      <c r="AA131" s="261"/>
      <c r="AB131" s="261"/>
      <c r="AC131" s="261"/>
      <c r="AD131" s="261"/>
      <c r="AE131" s="261"/>
      <c r="AF131" s="261"/>
      <c r="AG131" s="261"/>
      <c r="AH131" s="261"/>
    </row>
    <row r="132" spans="1:38" s="313" customFormat="1" ht="15" customHeight="1" x14ac:dyDescent="0.2">
      <c r="A132" s="851" t="s">
        <v>308</v>
      </c>
      <c r="B132" s="852"/>
      <c r="C132" s="852"/>
      <c r="D132" s="852"/>
      <c r="E132" s="852"/>
      <c r="F132" s="852"/>
      <c r="G132" s="852"/>
      <c r="H132" s="703" t="s">
        <v>290</v>
      </c>
      <c r="I132" s="703"/>
      <c r="J132" s="453" t="str">
        <f>IF(J131="","",IF(J131&lt;(0.8*$H$19),"No Cumple","cumple"))</f>
        <v/>
      </c>
      <c r="K132" s="453" t="str">
        <f>IF(K131="","",IF(K131&lt;(0.8*$H$19),"No Cumple","cumple"))</f>
        <v/>
      </c>
      <c r="L132" s="453" t="str">
        <f>IF(L131="","",IF(L131&lt;(0.8*$H$19),"No Cumple","cumple"))</f>
        <v/>
      </c>
      <c r="M132" s="453" t="str">
        <f>IF(M131="","",IF(M131&lt;(0.8*$H$19),"No Cumple","cumple"))</f>
        <v/>
      </c>
      <c r="N132" s="735" t="str">
        <f>IF(J132="","",IF(OR(P136&gt;1,Q136&gt;0),"No cumple","Cumple"))</f>
        <v/>
      </c>
      <c r="O132" s="1050"/>
      <c r="P132" s="456">
        <f>IF(K132="cumple",0,1)</f>
        <v>1</v>
      </c>
      <c r="Q132" s="457">
        <f>IF(K133="cumple",0,1)</f>
        <v>1</v>
      </c>
      <c r="R132" s="345"/>
      <c r="S132" s="243">
        <v>63.7</v>
      </c>
      <c r="T132" s="244">
        <f t="shared" si="12"/>
        <v>2.5875000000000075</v>
      </c>
      <c r="U132" s="244">
        <f t="shared" si="12"/>
        <v>0.99499999999999988</v>
      </c>
      <c r="V132" s="546"/>
      <c r="W132" s="546"/>
      <c r="X132" s="261"/>
      <c r="Y132" s="261"/>
      <c r="Z132" s="261"/>
      <c r="AA132" s="261"/>
      <c r="AB132" s="261"/>
      <c r="AC132" s="261"/>
      <c r="AD132" s="261"/>
      <c r="AE132" s="261"/>
      <c r="AF132" s="261"/>
      <c r="AG132" s="261"/>
      <c r="AH132" s="261"/>
    </row>
    <row r="133" spans="1:38" ht="15" customHeight="1" x14ac:dyDescent="0.2">
      <c r="A133" s="851"/>
      <c r="B133" s="852"/>
      <c r="C133" s="852"/>
      <c r="D133" s="852"/>
      <c r="E133" s="852"/>
      <c r="F133" s="852"/>
      <c r="G133" s="852"/>
      <c r="H133" s="703" t="s">
        <v>291</v>
      </c>
      <c r="I133" s="703"/>
      <c r="J133" s="453" t="str">
        <f>IF(J131="","",IF(J131&gt;(1.25*$K$19),"No Cumple","cumple"))</f>
        <v/>
      </c>
      <c r="K133" s="453" t="str">
        <f>IF(K131="","",IF(K131&gt;(1.25*$K$19),"No Cumple","cumple"))</f>
        <v/>
      </c>
      <c r="L133" s="453" t="str">
        <f>IF(L131="","",IF(L131&gt;(1.25*$K$19),"No Cumple","cumple"))</f>
        <v/>
      </c>
      <c r="M133" s="453" t="str">
        <f>IF(M131="","",IF(M131&gt;(1.25*$K$19),"No Cumple","cumple"))</f>
        <v/>
      </c>
      <c r="N133" s="735"/>
      <c r="O133" s="1050"/>
      <c r="P133" s="456">
        <f>IF(L132="cumple",0,1)</f>
        <v>1</v>
      </c>
      <c r="Q133" s="457">
        <f>IF(L133="cumple",0,1)</f>
        <v>1</v>
      </c>
      <c r="R133" s="345"/>
      <c r="S133" s="243">
        <v>63.8</v>
      </c>
      <c r="T133" s="244">
        <f t="shared" si="12"/>
        <v>2.5875000000000075</v>
      </c>
      <c r="U133" s="244">
        <f t="shared" si="12"/>
        <v>0.99250000000000005</v>
      </c>
      <c r="V133" s="546"/>
      <c r="W133" s="546"/>
      <c r="X133" s="539"/>
      <c r="Y133" s="539"/>
      <c r="Z133" s="539"/>
    </row>
    <row r="134" spans="1:38" ht="15" customHeight="1" x14ac:dyDescent="0.2">
      <c r="A134" s="720" t="s">
        <v>197</v>
      </c>
      <c r="B134" s="717"/>
      <c r="C134" s="717"/>
      <c r="D134" s="717"/>
      <c r="E134" s="717"/>
      <c r="F134" s="717"/>
      <c r="G134" s="717"/>
      <c r="H134" s="703" t="s">
        <v>245</v>
      </c>
      <c r="I134" s="703"/>
      <c r="J134" s="260"/>
      <c r="K134" s="260"/>
      <c r="L134" s="260"/>
      <c r="M134" s="260"/>
      <c r="N134" s="733" t="str">
        <f t="shared" ref="N134:N136" si="13">+IF(J134="","",AVERAGE(J134:M134))</f>
        <v/>
      </c>
      <c r="O134" s="734"/>
      <c r="P134" s="456">
        <f>IF(M132="cumple",0,1)</f>
        <v>1</v>
      </c>
      <c r="Q134" s="457">
        <f>IF(M133="cumple",0,1)</f>
        <v>1</v>
      </c>
      <c r="R134" s="269"/>
      <c r="S134" s="243">
        <v>63.9</v>
      </c>
      <c r="T134" s="244">
        <f t="shared" si="12"/>
        <v>2.5875000000000075</v>
      </c>
      <c r="U134" s="244">
        <f t="shared" si="12"/>
        <v>0.99</v>
      </c>
      <c r="V134" s="547"/>
      <c r="W134" s="547"/>
    </row>
    <row r="135" spans="1:38" ht="15" customHeight="1" x14ac:dyDescent="0.2">
      <c r="A135" s="720" t="s">
        <v>246</v>
      </c>
      <c r="B135" s="717"/>
      <c r="C135" s="717"/>
      <c r="D135" s="717"/>
      <c r="E135" s="717"/>
      <c r="F135" s="717"/>
      <c r="G135" s="717"/>
      <c r="H135" s="703" t="s">
        <v>204</v>
      </c>
      <c r="I135" s="703"/>
      <c r="J135" s="257" t="str">
        <f>IF(J131="","",J131/J134)</f>
        <v/>
      </c>
      <c r="K135" s="257" t="str">
        <f>IF(K131="","",+K131/K134)</f>
        <v/>
      </c>
      <c r="L135" s="257" t="str">
        <f>IF(L131="","",+L131/L134)</f>
        <v/>
      </c>
      <c r="M135" s="257" t="str">
        <f>IF(M131="","",+M131/M134)</f>
        <v/>
      </c>
      <c r="N135" s="735" t="str">
        <f t="shared" si="13"/>
        <v/>
      </c>
      <c r="O135" s="736"/>
      <c r="P135" s="456"/>
      <c r="Q135" s="395"/>
      <c r="S135" s="243">
        <v>64</v>
      </c>
      <c r="T135" s="244">
        <f t="shared" si="12"/>
        <v>2.5875000000000075</v>
      </c>
      <c r="U135" s="244">
        <f t="shared" si="12"/>
        <v>0.98749999999999993</v>
      </c>
      <c r="V135" s="548"/>
      <c r="W135" s="548"/>
      <c r="X135" s="548"/>
      <c r="Y135" s="548"/>
      <c r="Z135" s="548"/>
      <c r="AA135" s="548"/>
    </row>
    <row r="136" spans="1:38" ht="15" customHeight="1" x14ac:dyDescent="0.2">
      <c r="A136" s="721" t="s">
        <v>334</v>
      </c>
      <c r="B136" s="722"/>
      <c r="C136" s="722"/>
      <c r="D136" s="722"/>
      <c r="E136" s="722"/>
      <c r="F136" s="722"/>
      <c r="G136" s="722"/>
      <c r="H136" s="719" t="s">
        <v>247</v>
      </c>
      <c r="I136" s="719"/>
      <c r="J136" s="256" t="str">
        <f>IF(OR(J117="",G142=""),"",(1-($J$117/$G$142))*100)</f>
        <v/>
      </c>
      <c r="K136" s="256" t="str">
        <f>IF(OR(K117="",G142=""),"",+(1-($K$117/$G$142))*100)</f>
        <v/>
      </c>
      <c r="L136" s="256" t="str">
        <f>IF(OR(L117="",G142=""),"",+(1-($L$117/$G$142))*100)</f>
        <v/>
      </c>
      <c r="M136" s="256" t="str">
        <f>IF(OR(M117="",G142=""),"",+(1-($M$117/$G$142))*100)</f>
        <v/>
      </c>
      <c r="N136" s="733" t="str">
        <f t="shared" si="13"/>
        <v/>
      </c>
      <c r="O136" s="734"/>
      <c r="P136" s="456">
        <f>SUM(P131:P134)</f>
        <v>4</v>
      </c>
      <c r="Q136" s="456">
        <f>SUM(Q131:Q134)</f>
        <v>4</v>
      </c>
      <c r="S136" s="243">
        <v>64.100000000000094</v>
      </c>
      <c r="T136" s="244">
        <f t="shared" si="12"/>
        <v>2.5875000000000075</v>
      </c>
      <c r="U136" s="244">
        <f t="shared" si="12"/>
        <v>0.98499999999999754</v>
      </c>
    </row>
    <row r="137" spans="1:38" ht="15" customHeight="1" x14ac:dyDescent="0.2">
      <c r="A137" s="704" t="s">
        <v>368</v>
      </c>
      <c r="B137" s="705"/>
      <c r="C137" s="705"/>
      <c r="D137" s="705"/>
      <c r="E137" s="705"/>
      <c r="F137" s="705"/>
      <c r="G137" s="705"/>
      <c r="H137" s="705"/>
      <c r="I137" s="706"/>
      <c r="J137" s="706"/>
      <c r="K137" s="706"/>
      <c r="L137" s="706"/>
      <c r="M137" s="706"/>
      <c r="N137" s="706"/>
      <c r="O137" s="707"/>
      <c r="P137" s="395"/>
      <c r="Q137" s="395"/>
      <c r="S137" s="243">
        <v>64.200000000000102</v>
      </c>
      <c r="T137" s="244">
        <f t="shared" si="12"/>
        <v>2.5875000000000075</v>
      </c>
      <c r="U137" s="244">
        <f t="shared" si="12"/>
        <v>0.98249999999999738</v>
      </c>
    </row>
    <row r="138" spans="1:38" ht="15" customHeight="1" x14ac:dyDescent="0.2">
      <c r="A138" s="715" t="s">
        <v>257</v>
      </c>
      <c r="B138" s="716"/>
      <c r="C138" s="716"/>
      <c r="D138" s="716"/>
      <c r="E138" s="716"/>
      <c r="F138" s="424"/>
      <c r="G138" s="727">
        <v>1</v>
      </c>
      <c r="H138" s="728"/>
      <c r="I138" s="714" t="s">
        <v>259</v>
      </c>
      <c r="J138" s="712"/>
      <c r="K138" s="712"/>
      <c r="L138" s="712" t="s">
        <v>260</v>
      </c>
      <c r="M138" s="712"/>
      <c r="N138" s="712"/>
      <c r="O138" s="713"/>
      <c r="P138" s="395"/>
      <c r="Q138" s="395"/>
      <c r="S138" s="243">
        <v>64.300000000000097</v>
      </c>
      <c r="T138" s="244">
        <f t="shared" si="12"/>
        <v>2.5875000000000075</v>
      </c>
      <c r="U138" s="244">
        <f t="shared" si="12"/>
        <v>0.97999999999999754</v>
      </c>
    </row>
    <row r="139" spans="1:38" ht="15" customHeight="1" x14ac:dyDescent="0.2">
      <c r="A139" s="737" t="s">
        <v>292</v>
      </c>
      <c r="B139" s="738"/>
      <c r="C139" s="738"/>
      <c r="D139" s="738"/>
      <c r="E139" s="738"/>
      <c r="F139" s="454" t="s">
        <v>191</v>
      </c>
      <c r="G139" s="723"/>
      <c r="H139" s="724"/>
      <c r="I139" s="1052" t="s">
        <v>258</v>
      </c>
      <c r="J139" s="717"/>
      <c r="K139" s="717"/>
      <c r="L139" s="717" t="s">
        <v>309</v>
      </c>
      <c r="M139" s="717"/>
      <c r="N139" s="717"/>
      <c r="O139" s="718"/>
      <c r="P139" s="1051" t="s">
        <v>283</v>
      </c>
      <c r="Q139" s="395"/>
      <c r="S139" s="243">
        <v>64.400000000000006</v>
      </c>
      <c r="T139" s="244">
        <f t="shared" si="12"/>
        <v>2.5875000000000075</v>
      </c>
      <c r="U139" s="244">
        <f t="shared" si="12"/>
        <v>0.97749999999999981</v>
      </c>
    </row>
    <row r="140" spans="1:38" ht="24" customHeight="1" x14ac:dyDescent="0.2">
      <c r="A140" s="739" t="s">
        <v>336</v>
      </c>
      <c r="B140" s="740"/>
      <c r="C140" s="740"/>
      <c r="D140" s="740"/>
      <c r="E140" s="740"/>
      <c r="F140" s="454" t="s">
        <v>191</v>
      </c>
      <c r="G140" s="723"/>
      <c r="H140" s="724"/>
      <c r="I140" s="729" t="s">
        <v>310</v>
      </c>
      <c r="J140" s="730"/>
      <c r="K140" s="730"/>
      <c r="L140" s="731"/>
      <c r="M140" s="731"/>
      <c r="N140" s="731"/>
      <c r="O140" s="732"/>
      <c r="P140" s="1051"/>
      <c r="Q140" s="395"/>
      <c r="S140" s="243">
        <v>64.5</v>
      </c>
      <c r="T140" s="244">
        <f t="shared" si="12"/>
        <v>2.5875000000000075</v>
      </c>
      <c r="U140" s="244">
        <f t="shared" si="12"/>
        <v>0.97499999999999987</v>
      </c>
    </row>
    <row r="141" spans="1:38" ht="21.95" customHeight="1" x14ac:dyDescent="0.2">
      <c r="A141" s="708" t="s">
        <v>337</v>
      </c>
      <c r="B141" s="709"/>
      <c r="C141" s="709"/>
      <c r="D141" s="709"/>
      <c r="E141" s="709"/>
      <c r="F141" s="454" t="s">
        <v>191</v>
      </c>
      <c r="G141" s="723"/>
      <c r="H141" s="724"/>
      <c r="I141" s="526"/>
      <c r="J141" s="527"/>
      <c r="K141" s="527"/>
      <c r="L141" s="527"/>
      <c r="M141" s="527"/>
      <c r="N141" s="527"/>
      <c r="O141" s="528"/>
      <c r="P141" s="1051"/>
      <c r="Q141" s="395"/>
      <c r="S141" s="243">
        <v>64.599999999999994</v>
      </c>
      <c r="T141" s="244">
        <f t="shared" si="12"/>
        <v>2.5875000000000075</v>
      </c>
      <c r="U141" s="244">
        <f t="shared" si="12"/>
        <v>0.97250000000000003</v>
      </c>
    </row>
    <row r="142" spans="1:38" ht="15" customHeight="1" thickBot="1" x14ac:dyDescent="0.25">
      <c r="A142" s="710" t="s">
        <v>341</v>
      </c>
      <c r="B142" s="711"/>
      <c r="C142" s="711"/>
      <c r="D142" s="711"/>
      <c r="E142" s="711"/>
      <c r="F142" s="455"/>
      <c r="G142" s="725" t="str">
        <f>IF(G139="","",(G139/(G139+G140-G141)))</f>
        <v/>
      </c>
      <c r="H142" s="726"/>
      <c r="I142" s="529"/>
      <c r="J142" s="530"/>
      <c r="K142" s="530"/>
      <c r="L142" s="530"/>
      <c r="M142" s="530"/>
      <c r="N142" s="530"/>
      <c r="O142" s="531"/>
      <c r="P142" s="1051"/>
      <c r="Q142" s="395"/>
      <c r="S142" s="243">
        <v>64.7</v>
      </c>
      <c r="T142" s="244">
        <f t="shared" si="12"/>
        <v>2.5875000000000075</v>
      </c>
      <c r="U142" s="244">
        <f t="shared" si="12"/>
        <v>0.96999999999999975</v>
      </c>
    </row>
    <row r="143" spans="1:38" ht="15.75" customHeight="1" thickTop="1" thickBot="1" x14ac:dyDescent="0.25">
      <c r="A143" s="700" t="s">
        <v>370</v>
      </c>
      <c r="B143" s="701"/>
      <c r="C143" s="701"/>
      <c r="D143" s="701"/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2"/>
      <c r="P143" s="1051"/>
      <c r="Q143" s="395"/>
      <c r="S143" s="243">
        <v>64.8</v>
      </c>
      <c r="T143" s="244">
        <f t="shared" si="12"/>
        <v>2.5875000000000075</v>
      </c>
      <c r="U143" s="244">
        <f t="shared" si="12"/>
        <v>0.96749999999999992</v>
      </c>
    </row>
    <row r="144" spans="1:38" ht="18" customHeight="1" thickTop="1" x14ac:dyDescent="0.2">
      <c r="A144" s="866" t="s">
        <v>159</v>
      </c>
      <c r="B144" s="866"/>
      <c r="C144" s="866"/>
      <c r="D144" s="866"/>
      <c r="E144" s="866"/>
      <c r="F144" s="866"/>
      <c r="G144" s="866"/>
      <c r="H144" s="866"/>
      <c r="I144" s="866"/>
      <c r="J144" s="866"/>
      <c r="K144" s="866"/>
      <c r="L144" s="866"/>
      <c r="M144" s="866"/>
      <c r="N144" s="866"/>
      <c r="O144" s="866"/>
      <c r="P144" s="458" t="e">
        <f>ABS(G142-H142)</f>
        <v>#VALUE!</v>
      </c>
      <c r="Q144" s="395"/>
      <c r="S144" s="243">
        <v>64.900000000000006</v>
      </c>
      <c r="T144" s="244">
        <f t="shared" si="12"/>
        <v>2.5875000000000075</v>
      </c>
      <c r="U144" s="244">
        <f t="shared" si="12"/>
        <v>0.96499999999999975</v>
      </c>
    </row>
    <row r="145" spans="1:21" ht="27.95" customHeight="1" x14ac:dyDescent="0.2">
      <c r="A145" s="865" t="s">
        <v>156</v>
      </c>
      <c r="B145" s="865"/>
      <c r="C145" s="865"/>
      <c r="D145" s="865"/>
      <c r="E145" s="865"/>
      <c r="F145" s="865"/>
      <c r="G145" s="865"/>
      <c r="H145" s="865"/>
      <c r="I145" s="865"/>
      <c r="J145" s="865"/>
      <c r="K145" s="865"/>
      <c r="L145" s="865"/>
      <c r="M145" s="865"/>
      <c r="N145" s="865"/>
      <c r="O145" s="865"/>
      <c r="P145" s="458" t="e">
        <f>IF(P144&lt;0.023,"Cumple","No cumple")</f>
        <v>#VALUE!</v>
      </c>
      <c r="Q145" s="395"/>
      <c r="S145" s="243">
        <v>65</v>
      </c>
      <c r="T145" s="244">
        <f t="shared" si="12"/>
        <v>2.5875000000000075</v>
      </c>
      <c r="U145" s="244">
        <f t="shared" si="12"/>
        <v>0.9624999999999998</v>
      </c>
    </row>
    <row r="146" spans="1:21" ht="18" customHeight="1" x14ac:dyDescent="0.2">
      <c r="S146" s="247">
        <v>65.099999999999994</v>
      </c>
      <c r="T146" s="249">
        <v>0.96</v>
      </c>
      <c r="U146" s="249">
        <v>0.96</v>
      </c>
    </row>
    <row r="147" spans="1:21" ht="27.95" customHeight="1" x14ac:dyDescent="0.2">
      <c r="A147" s="550"/>
      <c r="B147" s="550"/>
      <c r="S147" s="243">
        <v>65.2</v>
      </c>
      <c r="T147" s="244">
        <f t="shared" ref="T147:U161" si="14">+$U$146+((R147-$S$146)*(($U$162-$U$146)/($S$162-$S$146)))</f>
        <v>2.1806249999999898</v>
      </c>
      <c r="U147" s="244">
        <f t="shared" si="14"/>
        <v>0.95812499999999978</v>
      </c>
    </row>
    <row r="148" spans="1:21" ht="27.95" customHeight="1" x14ac:dyDescent="0.2">
      <c r="A148" s="684"/>
      <c r="B148" s="685"/>
      <c r="C148" s="685"/>
      <c r="D148" s="563"/>
      <c r="S148" s="243">
        <v>65.3</v>
      </c>
      <c r="T148" s="244">
        <f t="shared" si="14"/>
        <v>2.1806249999999898</v>
      </c>
      <c r="U148" s="244">
        <f t="shared" si="14"/>
        <v>0.95624999999999993</v>
      </c>
    </row>
    <row r="149" spans="1:21" ht="12.95" customHeight="1" x14ac:dyDescent="0.2">
      <c r="A149" s="684"/>
      <c r="B149" s="685"/>
      <c r="C149" s="685"/>
      <c r="D149" s="454"/>
      <c r="S149" s="243">
        <v>65.400000000000006</v>
      </c>
      <c r="T149" s="244">
        <f t="shared" si="14"/>
        <v>2.1806249999999898</v>
      </c>
      <c r="U149" s="244">
        <f t="shared" si="14"/>
        <v>0.95437499999999975</v>
      </c>
    </row>
    <row r="150" spans="1:21" ht="12" customHeight="1" x14ac:dyDescent="0.2">
      <c r="A150" s="684"/>
      <c r="B150" s="685"/>
      <c r="C150" s="685"/>
      <c r="D150" s="454"/>
      <c r="S150" s="243">
        <v>65.5</v>
      </c>
      <c r="T150" s="244">
        <f t="shared" si="14"/>
        <v>2.1806249999999898</v>
      </c>
      <c r="U150" s="244">
        <f t="shared" si="14"/>
        <v>0.9524999999999999</v>
      </c>
    </row>
    <row r="151" spans="1:21" ht="15.75" x14ac:dyDescent="0.2">
      <c r="A151" s="684"/>
      <c r="B151" s="685"/>
      <c r="C151" s="685"/>
      <c r="D151" s="454"/>
      <c r="S151" s="243">
        <v>65.599999999999994</v>
      </c>
      <c r="T151" s="244">
        <f t="shared" si="14"/>
        <v>2.1806249999999898</v>
      </c>
      <c r="U151" s="244">
        <f t="shared" si="14"/>
        <v>0.95062500000000005</v>
      </c>
    </row>
    <row r="152" spans="1:21" ht="15.75" x14ac:dyDescent="0.2">
      <c r="A152" s="684"/>
      <c r="B152" s="685"/>
      <c r="C152" s="685"/>
      <c r="D152" s="454"/>
      <c r="S152" s="243">
        <v>65.7</v>
      </c>
      <c r="T152" s="244">
        <f t="shared" si="14"/>
        <v>2.1806249999999898</v>
      </c>
      <c r="U152" s="244">
        <f t="shared" si="14"/>
        <v>0.94874999999999987</v>
      </c>
    </row>
    <row r="153" spans="1:21" ht="15.75" x14ac:dyDescent="0.2">
      <c r="A153" s="684"/>
      <c r="B153" s="685"/>
      <c r="C153" s="685"/>
      <c r="D153" s="454"/>
      <c r="S153" s="243">
        <v>65.8</v>
      </c>
      <c r="T153" s="244">
        <f t="shared" si="14"/>
        <v>2.1806249999999898</v>
      </c>
      <c r="U153" s="244">
        <f t="shared" si="14"/>
        <v>0.94687500000000002</v>
      </c>
    </row>
    <row r="154" spans="1:21" ht="15.75" x14ac:dyDescent="0.2">
      <c r="A154" s="684"/>
      <c r="B154" s="685"/>
      <c r="C154" s="685"/>
      <c r="D154" s="454"/>
      <c r="S154" s="243">
        <v>65.900000000000006</v>
      </c>
      <c r="T154" s="244">
        <f t="shared" si="14"/>
        <v>2.1806249999999898</v>
      </c>
      <c r="U154" s="244">
        <f t="shared" si="14"/>
        <v>0.94499999999999984</v>
      </c>
    </row>
    <row r="155" spans="1:21" ht="15.75" x14ac:dyDescent="0.2">
      <c r="A155" s="684"/>
      <c r="B155" s="685"/>
      <c r="C155" s="685"/>
      <c r="D155" s="454"/>
      <c r="S155" s="243">
        <v>66</v>
      </c>
      <c r="T155" s="244">
        <f t="shared" si="14"/>
        <v>2.1806249999999898</v>
      </c>
      <c r="U155" s="244">
        <f t="shared" si="14"/>
        <v>0.94312499999999999</v>
      </c>
    </row>
    <row r="156" spans="1:21" ht="15.75" x14ac:dyDescent="0.2">
      <c r="A156" s="684"/>
      <c r="B156" s="685"/>
      <c r="C156" s="685"/>
      <c r="D156" s="454"/>
      <c r="S156" s="243">
        <v>66.099999999999994</v>
      </c>
      <c r="T156" s="244">
        <f t="shared" si="14"/>
        <v>2.1806249999999898</v>
      </c>
      <c r="U156" s="244">
        <f t="shared" si="14"/>
        <v>0.94125000000000014</v>
      </c>
    </row>
    <row r="157" spans="1:21" ht="15.75" x14ac:dyDescent="0.2">
      <c r="A157" s="684"/>
      <c r="B157" s="685"/>
      <c r="C157" s="685"/>
      <c r="D157" s="454"/>
      <c r="S157" s="243">
        <v>66.2</v>
      </c>
      <c r="T157" s="244">
        <f t="shared" si="14"/>
        <v>2.1806249999999898</v>
      </c>
      <c r="U157" s="244">
        <f t="shared" si="14"/>
        <v>0.93937499999999996</v>
      </c>
    </row>
    <row r="158" spans="1:21" ht="15.75" x14ac:dyDescent="0.2">
      <c r="A158" s="684"/>
      <c r="B158" s="685"/>
      <c r="C158" s="685"/>
      <c r="D158" s="454"/>
      <c r="S158" s="243">
        <v>66.300000000000097</v>
      </c>
      <c r="T158" s="244">
        <f t="shared" si="14"/>
        <v>2.1806249999999898</v>
      </c>
      <c r="U158" s="244">
        <f t="shared" si="14"/>
        <v>0.93749999999999822</v>
      </c>
    </row>
    <row r="159" spans="1:21" ht="15.75" x14ac:dyDescent="0.2">
      <c r="A159" s="684"/>
      <c r="B159" s="685"/>
      <c r="C159" s="685"/>
      <c r="D159" s="454"/>
      <c r="S159" s="243">
        <v>66.400000000000006</v>
      </c>
      <c r="T159" s="244">
        <f t="shared" si="14"/>
        <v>2.1806249999999898</v>
      </c>
      <c r="U159" s="244">
        <f t="shared" si="14"/>
        <v>0.93562499999999993</v>
      </c>
    </row>
    <row r="160" spans="1:21" ht="15.75" x14ac:dyDescent="0.2">
      <c r="A160" s="684"/>
      <c r="B160" s="685"/>
      <c r="C160" s="685"/>
      <c r="D160" s="454"/>
      <c r="S160" s="243">
        <v>66.500000000000099</v>
      </c>
      <c r="T160" s="244">
        <f t="shared" si="14"/>
        <v>2.1806249999999898</v>
      </c>
      <c r="U160" s="244">
        <f t="shared" si="14"/>
        <v>0.93374999999999819</v>
      </c>
    </row>
    <row r="161" spans="1:21" ht="15.75" x14ac:dyDescent="0.2">
      <c r="A161" s="684"/>
      <c r="B161" s="685"/>
      <c r="C161" s="685"/>
      <c r="D161" s="454"/>
      <c r="S161" s="243">
        <v>66.600000000000094</v>
      </c>
      <c r="T161" s="244">
        <f t="shared" si="14"/>
        <v>2.1806249999999898</v>
      </c>
      <c r="U161" s="244">
        <f t="shared" si="14"/>
        <v>0.93187499999999834</v>
      </c>
    </row>
    <row r="162" spans="1:21" ht="15.75" x14ac:dyDescent="0.2">
      <c r="A162" s="684"/>
      <c r="B162" s="685"/>
      <c r="C162" s="685"/>
      <c r="D162" s="454"/>
      <c r="S162" s="247">
        <v>66.7</v>
      </c>
      <c r="T162" s="249">
        <v>0.93</v>
      </c>
      <c r="U162" s="249">
        <v>0.93</v>
      </c>
    </row>
    <row r="163" spans="1:21" ht="15.75" x14ac:dyDescent="0.2">
      <c r="A163" s="684"/>
      <c r="B163" s="685"/>
      <c r="C163" s="685"/>
      <c r="D163" s="454"/>
    </row>
    <row r="164" spans="1:21" ht="15.75" x14ac:dyDescent="0.2">
      <c r="A164" s="684"/>
      <c r="B164" s="685"/>
      <c r="C164" s="685"/>
      <c r="D164" s="454"/>
    </row>
    <row r="165" spans="1:21" ht="15.75" x14ac:dyDescent="0.2">
      <c r="A165" s="684"/>
      <c r="B165" s="685"/>
      <c r="C165" s="685"/>
      <c r="D165" s="454"/>
    </row>
    <row r="166" spans="1:21" ht="15.75" x14ac:dyDescent="0.2">
      <c r="A166" s="684"/>
      <c r="B166" s="685"/>
      <c r="C166" s="685"/>
      <c r="D166" s="454"/>
    </row>
    <row r="167" spans="1:21" ht="15.75" x14ac:dyDescent="0.2">
      <c r="A167" s="684"/>
      <c r="B167" s="685"/>
      <c r="C167" s="685"/>
      <c r="D167" s="454"/>
    </row>
    <row r="168" spans="1:21" ht="15.75" x14ac:dyDescent="0.2">
      <c r="A168" s="684"/>
      <c r="B168" s="685"/>
      <c r="C168" s="685"/>
      <c r="D168" s="454"/>
    </row>
    <row r="169" spans="1:21" ht="15.75" x14ac:dyDescent="0.2">
      <c r="A169" s="684"/>
      <c r="B169" s="685"/>
      <c r="C169" s="685"/>
      <c r="D169" s="454"/>
    </row>
    <row r="170" spans="1:21" ht="15.75" x14ac:dyDescent="0.2">
      <c r="A170" s="684"/>
      <c r="B170" s="685"/>
      <c r="C170" s="685"/>
      <c r="D170" s="454"/>
    </row>
    <row r="171" spans="1:21" ht="15.75" x14ac:dyDescent="0.2">
      <c r="A171" s="684"/>
      <c r="B171" s="685"/>
      <c r="C171" s="685"/>
      <c r="D171" s="454"/>
    </row>
  </sheetData>
  <protectedRanges>
    <protectedRange sqref="M2:N4 M39:N41 M100:N102" name="Rango1_1_1"/>
  </protectedRanges>
  <mergeCells count="376">
    <mergeCell ref="N132:O133"/>
    <mergeCell ref="P139:P143"/>
    <mergeCell ref="H135:I135"/>
    <mergeCell ref="I139:K139"/>
    <mergeCell ref="H129:I129"/>
    <mergeCell ref="H126:I126"/>
    <mergeCell ref="H127:I127"/>
    <mergeCell ref="A115:G115"/>
    <mergeCell ref="J57:L57"/>
    <mergeCell ref="B68:C70"/>
    <mergeCell ref="D58:F58"/>
    <mergeCell ref="D59:F59"/>
    <mergeCell ref="A118:G118"/>
    <mergeCell ref="A119:G119"/>
    <mergeCell ref="A96:O96"/>
    <mergeCell ref="A110:D110"/>
    <mergeCell ref="N107:O107"/>
    <mergeCell ref="A108:D108"/>
    <mergeCell ref="B57:C57"/>
    <mergeCell ref="N131:O131"/>
    <mergeCell ref="C75:D75"/>
    <mergeCell ref="B71:D71"/>
    <mergeCell ref="A72:B73"/>
    <mergeCell ref="B123:C123"/>
    <mergeCell ref="A17:G17"/>
    <mergeCell ref="A18:C18"/>
    <mergeCell ref="D18:E18"/>
    <mergeCell ref="A16:D16"/>
    <mergeCell ref="A19:D19"/>
    <mergeCell ref="F18:G18"/>
    <mergeCell ref="F16:G16"/>
    <mergeCell ref="E49:F50"/>
    <mergeCell ref="C49:D50"/>
    <mergeCell ref="A21:D21"/>
    <mergeCell ref="A24:D24"/>
    <mergeCell ref="A25:D25"/>
    <mergeCell ref="A22:D22"/>
    <mergeCell ref="A23:D23"/>
    <mergeCell ref="A28:D28"/>
    <mergeCell ref="A49:A50"/>
    <mergeCell ref="G49:H50"/>
    <mergeCell ref="H32:K32"/>
    <mergeCell ref="H16:O16"/>
    <mergeCell ref="H17:O17"/>
    <mergeCell ref="I18:J18"/>
    <mergeCell ref="N28:O28"/>
    <mergeCell ref="A31:O31"/>
    <mergeCell ref="A32:C32"/>
    <mergeCell ref="A9:D9"/>
    <mergeCell ref="E9:J9"/>
    <mergeCell ref="K9:M9"/>
    <mergeCell ref="N9:O9"/>
    <mergeCell ref="A10:D10"/>
    <mergeCell ref="E10:J10"/>
    <mergeCell ref="K10:M10"/>
    <mergeCell ref="N10:O10"/>
    <mergeCell ref="I11:J12"/>
    <mergeCell ref="H11:H12"/>
    <mergeCell ref="A11:E12"/>
    <mergeCell ref="F11:G12"/>
    <mergeCell ref="N11:O11"/>
    <mergeCell ref="A13:G13"/>
    <mergeCell ref="H13:O13"/>
    <mergeCell ref="I15:J15"/>
    <mergeCell ref="A14:D14"/>
    <mergeCell ref="F14:G14"/>
    <mergeCell ref="I14:J14"/>
    <mergeCell ref="F19:G19"/>
    <mergeCell ref="K11:M11"/>
    <mergeCell ref="A1:C5"/>
    <mergeCell ref="D1:O1"/>
    <mergeCell ref="D2:O2"/>
    <mergeCell ref="D3:O3"/>
    <mergeCell ref="D4:L4"/>
    <mergeCell ref="M4:O4"/>
    <mergeCell ref="D5:O5"/>
    <mergeCell ref="A6:D6"/>
    <mergeCell ref="E6:J6"/>
    <mergeCell ref="K6:M6"/>
    <mergeCell ref="N6:O6"/>
    <mergeCell ref="A7:D7"/>
    <mergeCell ref="E7:J7"/>
    <mergeCell ref="K7:M7"/>
    <mergeCell ref="N7:O7"/>
    <mergeCell ref="A8:D8"/>
    <mergeCell ref="E8:J8"/>
    <mergeCell ref="K8:M8"/>
    <mergeCell ref="N8:O8"/>
    <mergeCell ref="N43:O43"/>
    <mergeCell ref="I29:M29"/>
    <mergeCell ref="A36:O36"/>
    <mergeCell ref="A33:C33"/>
    <mergeCell ref="D33:G33"/>
    <mergeCell ref="H33:K33"/>
    <mergeCell ref="L33:O33"/>
    <mergeCell ref="A34:C34"/>
    <mergeCell ref="D34:G34"/>
    <mergeCell ref="H34:K34"/>
    <mergeCell ref="L34:O34"/>
    <mergeCell ref="A30:B30"/>
    <mergeCell ref="C30:O30"/>
    <mergeCell ref="N29:O29"/>
    <mergeCell ref="A35:C35"/>
    <mergeCell ref="E43:J43"/>
    <mergeCell ref="D38:O38"/>
    <mergeCell ref="D39:O39"/>
    <mergeCell ref="D40:O40"/>
    <mergeCell ref="D41:L41"/>
    <mergeCell ref="A29:E29"/>
    <mergeCell ref="I19:J19"/>
    <mergeCell ref="I21:J21"/>
    <mergeCell ref="I23:J23"/>
    <mergeCell ref="I28:J28"/>
    <mergeCell ref="F25:G25"/>
    <mergeCell ref="F28:G28"/>
    <mergeCell ref="F27:G27"/>
    <mergeCell ref="F21:G21"/>
    <mergeCell ref="F24:G24"/>
    <mergeCell ref="F22:G22"/>
    <mergeCell ref="F23:G23"/>
    <mergeCell ref="A26:G26"/>
    <mergeCell ref="D32:G32"/>
    <mergeCell ref="I20:J20"/>
    <mergeCell ref="K20:M20"/>
    <mergeCell ref="L32:O32"/>
    <mergeCell ref="A56:O56"/>
    <mergeCell ref="G55:M55"/>
    <mergeCell ref="N104:O104"/>
    <mergeCell ref="D60:F60"/>
    <mergeCell ref="G59:I59"/>
    <mergeCell ref="G60:I60"/>
    <mergeCell ref="C73:D73"/>
    <mergeCell ref="A38:C42"/>
    <mergeCell ref="N45:O45"/>
    <mergeCell ref="N44:O44"/>
    <mergeCell ref="K43:M43"/>
    <mergeCell ref="K44:M44"/>
    <mergeCell ref="K45:M45"/>
    <mergeCell ref="K46:M46"/>
    <mergeCell ref="E45:J45"/>
    <mergeCell ref="E46:J46"/>
    <mergeCell ref="A44:D44"/>
    <mergeCell ref="M41:O41"/>
    <mergeCell ref="E44:J44"/>
    <mergeCell ref="A74:B76"/>
    <mergeCell ref="E108:J108"/>
    <mergeCell ref="A111:G111"/>
    <mergeCell ref="A112:G112"/>
    <mergeCell ref="A113:G113"/>
    <mergeCell ref="A114:G114"/>
    <mergeCell ref="H114:I114"/>
    <mergeCell ref="A104:D104"/>
    <mergeCell ref="G61:I61"/>
    <mergeCell ref="A93:O93"/>
    <mergeCell ref="E106:J106"/>
    <mergeCell ref="E107:J107"/>
    <mergeCell ref="N68:O76"/>
    <mergeCell ref="C62:D62"/>
    <mergeCell ref="C76:D76"/>
    <mergeCell ref="O62:O63"/>
    <mergeCell ref="N62:N63"/>
    <mergeCell ref="D61:F61"/>
    <mergeCell ref="A97:O97"/>
    <mergeCell ref="N61:O61"/>
    <mergeCell ref="J61:L61"/>
    <mergeCell ref="C63:D63"/>
    <mergeCell ref="E105:J105"/>
    <mergeCell ref="K104:M104"/>
    <mergeCell ref="A94:O94"/>
    <mergeCell ref="J59:L59"/>
    <mergeCell ref="J60:L60"/>
    <mergeCell ref="E52:F52"/>
    <mergeCell ref="B64:C66"/>
    <mergeCell ref="B67:D67"/>
    <mergeCell ref="A62:B63"/>
    <mergeCell ref="A107:D107"/>
    <mergeCell ref="I54:J54"/>
    <mergeCell ref="E104:J104"/>
    <mergeCell ref="AF102:AG102"/>
    <mergeCell ref="AF103:AG103"/>
    <mergeCell ref="A145:O145"/>
    <mergeCell ref="A144:O144"/>
    <mergeCell ref="B59:C59"/>
    <mergeCell ref="B60:C60"/>
    <mergeCell ref="B61:C61"/>
    <mergeCell ref="A64:A67"/>
    <mergeCell ref="A68:A71"/>
    <mergeCell ref="C74:D74"/>
    <mergeCell ref="C72:D72"/>
    <mergeCell ref="A105:D105"/>
    <mergeCell ref="N105:O105"/>
    <mergeCell ref="A106:D106"/>
    <mergeCell ref="D99:O99"/>
    <mergeCell ref="D100:O100"/>
    <mergeCell ref="D101:O101"/>
    <mergeCell ref="D102:L102"/>
    <mergeCell ref="M102:O102"/>
    <mergeCell ref="N106:O106"/>
    <mergeCell ref="A116:G116"/>
    <mergeCell ref="AF104:AG104"/>
    <mergeCell ref="D103:O103"/>
    <mergeCell ref="K105:M105"/>
    <mergeCell ref="H131:I131"/>
    <mergeCell ref="H132:I132"/>
    <mergeCell ref="H134:I134"/>
    <mergeCell ref="A134:G134"/>
    <mergeCell ref="A132:G133"/>
    <mergeCell ref="A131:G131"/>
    <mergeCell ref="AF105:AG105"/>
    <mergeCell ref="AF106:AG106"/>
    <mergeCell ref="AF107:AG107"/>
    <mergeCell ref="H115:I115"/>
    <mergeCell ref="H119:I119"/>
    <mergeCell ref="K108:M108"/>
    <mergeCell ref="H112:I112"/>
    <mergeCell ref="H113:I113"/>
    <mergeCell ref="N116:O116"/>
    <mergeCell ref="N119:O119"/>
    <mergeCell ref="K106:M106"/>
    <mergeCell ref="K107:M107"/>
    <mergeCell ref="H117:I117"/>
    <mergeCell ref="Z120:AA120"/>
    <mergeCell ref="Z121:AA121"/>
    <mergeCell ref="H110:I110"/>
    <mergeCell ref="H111:I111"/>
    <mergeCell ref="H116:I116"/>
    <mergeCell ref="A129:G129"/>
    <mergeCell ref="A130:G130"/>
    <mergeCell ref="N122:O122"/>
    <mergeCell ref="N123:O123"/>
    <mergeCell ref="B122:C122"/>
    <mergeCell ref="N117:O117"/>
    <mergeCell ref="N118:O118"/>
    <mergeCell ref="A120:O120"/>
    <mergeCell ref="H130:I130"/>
    <mergeCell ref="H128:I128"/>
    <mergeCell ref="H125:I125"/>
    <mergeCell ref="A125:G125"/>
    <mergeCell ref="A126:G126"/>
    <mergeCell ref="A127:G127"/>
    <mergeCell ref="B121:C121"/>
    <mergeCell ref="N121:O121"/>
    <mergeCell ref="N129:O129"/>
    <mergeCell ref="N130:O130"/>
    <mergeCell ref="F122:G122"/>
    <mergeCell ref="A124:O124"/>
    <mergeCell ref="A128:G128"/>
    <mergeCell ref="F123:G123"/>
    <mergeCell ref="F121:G121"/>
    <mergeCell ref="I121:M121"/>
    <mergeCell ref="I122:L122"/>
    <mergeCell ref="B49:B50"/>
    <mergeCell ref="X95:Z95"/>
    <mergeCell ref="X81:AB81"/>
    <mergeCell ref="X82:AB82"/>
    <mergeCell ref="X90:AB90"/>
    <mergeCell ref="X91:Z91"/>
    <mergeCell ref="A54:B54"/>
    <mergeCell ref="C51:D51"/>
    <mergeCell ref="C52:D52"/>
    <mergeCell ref="C53:D53"/>
    <mergeCell ref="H118:I118"/>
    <mergeCell ref="N108:O108"/>
    <mergeCell ref="A109:O109"/>
    <mergeCell ref="N110:O115"/>
    <mergeCell ref="N51:O51"/>
    <mergeCell ref="N52:O52"/>
    <mergeCell ref="A55:C55"/>
    <mergeCell ref="N59:O59"/>
    <mergeCell ref="N60:O60"/>
    <mergeCell ref="G51:H51"/>
    <mergeCell ref="G52:H52"/>
    <mergeCell ref="G53:H53"/>
    <mergeCell ref="A117:G117"/>
    <mergeCell ref="A47:D47"/>
    <mergeCell ref="D57:F57"/>
    <mergeCell ref="G57:I57"/>
    <mergeCell ref="K47:M47"/>
    <mergeCell ref="G58:I58"/>
    <mergeCell ref="N49:O50"/>
    <mergeCell ref="N53:O53"/>
    <mergeCell ref="M49:M50"/>
    <mergeCell ref="K49:L49"/>
    <mergeCell ref="I49:J50"/>
    <mergeCell ref="N58:O58"/>
    <mergeCell ref="J58:L58"/>
    <mergeCell ref="D55:F55"/>
    <mergeCell ref="N55:O55"/>
    <mergeCell ref="I53:J53"/>
    <mergeCell ref="G54:H54"/>
    <mergeCell ref="I51:J51"/>
    <mergeCell ref="I52:J52"/>
    <mergeCell ref="C54:D54"/>
    <mergeCell ref="E51:F51"/>
    <mergeCell ref="AF62:AF63"/>
    <mergeCell ref="AG62:AG63"/>
    <mergeCell ref="R64:R66"/>
    <mergeCell ref="R70:R72"/>
    <mergeCell ref="R67:R69"/>
    <mergeCell ref="Q11:AA11"/>
    <mergeCell ref="AB11:AH11"/>
    <mergeCell ref="V12:Z12"/>
    <mergeCell ref="L35:O35"/>
    <mergeCell ref="D42:O42"/>
    <mergeCell ref="F29:G29"/>
    <mergeCell ref="D35:G35"/>
    <mergeCell ref="H35:K35"/>
    <mergeCell ref="A37:O37"/>
    <mergeCell ref="E53:F53"/>
    <mergeCell ref="A45:D45"/>
    <mergeCell ref="A46:D46"/>
    <mergeCell ref="N46:O46"/>
    <mergeCell ref="A43:D43"/>
    <mergeCell ref="E54:F54"/>
    <mergeCell ref="N57:O57"/>
    <mergeCell ref="B58:C58"/>
    <mergeCell ref="N47:O47"/>
    <mergeCell ref="E47:J47"/>
    <mergeCell ref="A143:O143"/>
    <mergeCell ref="H133:I133"/>
    <mergeCell ref="A137:O137"/>
    <mergeCell ref="A141:E141"/>
    <mergeCell ref="A142:E142"/>
    <mergeCell ref="L138:O138"/>
    <mergeCell ref="I138:K138"/>
    <mergeCell ref="A138:E138"/>
    <mergeCell ref="L139:O139"/>
    <mergeCell ref="H136:I136"/>
    <mergeCell ref="A135:G135"/>
    <mergeCell ref="A136:G136"/>
    <mergeCell ref="G139:H139"/>
    <mergeCell ref="G140:H140"/>
    <mergeCell ref="G141:H141"/>
    <mergeCell ref="G142:H142"/>
    <mergeCell ref="G138:H138"/>
    <mergeCell ref="I140:K140"/>
    <mergeCell ref="L140:O140"/>
    <mergeCell ref="N134:O134"/>
    <mergeCell ref="N135:O135"/>
    <mergeCell ref="N136:O136"/>
    <mergeCell ref="A139:E139"/>
    <mergeCell ref="A140:E140"/>
    <mergeCell ref="A171:C171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K12:AO12"/>
    <mergeCell ref="AF12:AJ12"/>
    <mergeCell ref="AA12:AE12"/>
    <mergeCell ref="Q12:U12"/>
    <mergeCell ref="A166:C166"/>
    <mergeCell ref="A167:C167"/>
    <mergeCell ref="A168:C168"/>
    <mergeCell ref="A169:C169"/>
    <mergeCell ref="A170:C170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X88:AB89"/>
    <mergeCell ref="N54:O54"/>
    <mergeCell ref="N18:O18"/>
    <mergeCell ref="N14:O14"/>
    <mergeCell ref="N20:O20"/>
    <mergeCell ref="A48:O48"/>
  </mergeCells>
  <dataValidations count="5">
    <dataValidation type="list" allowBlank="1" showInputMessage="1" showErrorMessage="1" sqref="D34:G34">
      <formula1>Elaboronombres</formula1>
    </dataValidation>
    <dataValidation type="list" allowBlank="1" showInputMessage="1" showErrorMessage="1" sqref="H34:K34">
      <formula1>revisonombres</formula1>
    </dataValidation>
    <dataValidation type="list" allowBlank="1" showInputMessage="1" showErrorMessage="1" sqref="L34:O34">
      <formula1>aprobonombres</formula1>
    </dataValidation>
    <dataValidation type="list" allowBlank="1" showInputMessage="1" showErrorMessage="1" sqref="D55:F55">
      <formula1>$R$49:$R$52</formula1>
    </dataValidation>
    <dataValidation type="list" allowBlank="1" showInputMessage="1" showErrorMessage="1" sqref="E8:J8">
      <formula1>$Q$5:$Q$9</formula1>
    </dataValidation>
  </dataValidations>
  <printOptions horizontalCentered="1"/>
  <pageMargins left="0.59055118110236227" right="0.19685039370078741" top="0" bottom="0" header="0" footer="0.74803149606299213"/>
  <pageSetup paperSize="9" pageOrder="overThenDown" orientation="portrait" r:id="rId1"/>
  <headerFooter scaleWithDoc="0">
    <oddFooter>&amp;L&amp;6Calle 26 No. 57-41 Torre 8 Pisos 7-8 CEMSA - CP: 1113111            
Pbx: 3779555  - Información: Línea 195     
www.umv.gov.co111311&amp;C&amp;6PRO-FM-030
Página &amp;P de 3</oddFooter>
  </headerFooter>
  <rowBreaks count="2" manualBreakCount="2">
    <brk id="37" max="14" man="1"/>
    <brk id="98" max="14" man="1"/>
  </rowBreaks>
  <ignoredErrors>
    <ignoredError sqref="O61 M61 E67:M67 M58:M60" formulaRange="1"/>
    <ignoredError sqref="C54:F54 M35:O35 G123 G121 G122" unlockedFormula="1"/>
    <ignoredError sqref="K119 K130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showGridLines="0" tabSelected="1" view="pageBreakPreview" zoomScaleNormal="100" zoomScaleSheetLayoutView="100" workbookViewId="0">
      <selection activeCell="Z10" sqref="Z10"/>
    </sheetView>
  </sheetViews>
  <sheetFormatPr baseColWidth="10" defaultColWidth="8.42578125" defaultRowHeight="12.75" x14ac:dyDescent="0.2"/>
  <cols>
    <col min="1" max="1" width="3.5703125" style="600" customWidth="1"/>
    <col min="2" max="2" width="6.7109375" style="600" customWidth="1"/>
    <col min="3" max="5" width="4.7109375" style="600" customWidth="1"/>
    <col min="6" max="6" width="3.28515625" style="600" customWidth="1"/>
    <col min="7" max="7" width="5.42578125" style="600" customWidth="1"/>
    <col min="8" max="8" width="3.28515625" style="600" customWidth="1"/>
    <col min="9" max="10" width="4.85546875" style="600" customWidth="1"/>
    <col min="11" max="11" width="3.28515625" style="600" customWidth="1"/>
    <col min="12" max="12" width="3.7109375" style="600" customWidth="1"/>
    <col min="13" max="13" width="3.28515625" style="600" customWidth="1"/>
    <col min="14" max="14" width="3.85546875" style="600" customWidth="1"/>
    <col min="15" max="15" width="3.28515625" style="600" customWidth="1"/>
    <col min="16" max="21" width="4.7109375" style="600" customWidth="1"/>
    <col min="22" max="22" width="2" style="600" customWidth="1"/>
    <col min="23" max="24" width="0" style="600" hidden="1" customWidth="1"/>
    <col min="25" max="25" width="8.42578125" style="600"/>
    <col min="26" max="26" width="25.7109375" style="600" customWidth="1"/>
    <col min="27" max="16384" width="8.42578125" style="600"/>
  </cols>
  <sheetData>
    <row r="1" spans="1:24" s="598" customFormat="1" ht="15" customHeight="1" x14ac:dyDescent="0.2">
      <c r="A1" s="1098"/>
      <c r="B1" s="1099"/>
      <c r="C1" s="1099"/>
      <c r="D1" s="1100"/>
      <c r="E1" s="1118" t="s">
        <v>416</v>
      </c>
      <c r="F1" s="1119"/>
      <c r="G1" s="1119"/>
      <c r="H1" s="1119"/>
      <c r="I1" s="1119"/>
      <c r="J1" s="1119"/>
      <c r="K1" s="1119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20"/>
    </row>
    <row r="2" spans="1:24" s="598" customFormat="1" ht="15" customHeight="1" x14ac:dyDescent="0.2">
      <c r="A2" s="1101"/>
      <c r="B2" s="1102"/>
      <c r="C2" s="1102"/>
      <c r="D2" s="1103"/>
      <c r="E2" s="1121"/>
      <c r="F2" s="1122"/>
      <c r="G2" s="1122"/>
      <c r="H2" s="1122"/>
      <c r="I2" s="1122"/>
      <c r="J2" s="1122"/>
      <c r="K2" s="1122"/>
      <c r="L2" s="1122"/>
      <c r="M2" s="1122"/>
      <c r="N2" s="1122"/>
      <c r="O2" s="1122"/>
      <c r="P2" s="1122"/>
      <c r="Q2" s="1122"/>
      <c r="R2" s="1122"/>
      <c r="S2" s="1122"/>
      <c r="T2" s="1122"/>
      <c r="U2" s="1122"/>
      <c r="V2" s="1123"/>
    </row>
    <row r="3" spans="1:24" s="598" customFormat="1" ht="15" customHeight="1" x14ac:dyDescent="0.2">
      <c r="A3" s="1101"/>
      <c r="B3" s="1102"/>
      <c r="C3" s="1102"/>
      <c r="D3" s="1103"/>
      <c r="E3" s="1124"/>
      <c r="F3" s="1125"/>
      <c r="G3" s="1125"/>
      <c r="H3" s="1125"/>
      <c r="I3" s="1125"/>
      <c r="J3" s="1125"/>
      <c r="K3" s="1125"/>
      <c r="L3" s="1125"/>
      <c r="M3" s="1125"/>
      <c r="N3" s="1125"/>
      <c r="O3" s="1125"/>
      <c r="P3" s="1125"/>
      <c r="Q3" s="1125"/>
      <c r="R3" s="1125"/>
      <c r="S3" s="1125"/>
      <c r="T3" s="1125"/>
      <c r="U3" s="1125"/>
      <c r="V3" s="1126"/>
    </row>
    <row r="4" spans="1:24" s="598" customFormat="1" ht="15" customHeight="1" x14ac:dyDescent="0.2">
      <c r="A4" s="1101"/>
      <c r="B4" s="1102"/>
      <c r="C4" s="1102"/>
      <c r="D4" s="1103"/>
      <c r="E4" s="1107" t="s">
        <v>385</v>
      </c>
      <c r="F4" s="1108"/>
      <c r="G4" s="1108"/>
      <c r="H4" s="1108"/>
      <c r="I4" s="1108"/>
      <c r="J4" s="1108"/>
      <c r="K4" s="1108"/>
      <c r="L4" s="1108"/>
      <c r="M4" s="1108"/>
      <c r="N4" s="1108"/>
      <c r="O4" s="1108"/>
      <c r="P4" s="1108"/>
      <c r="Q4" s="1108"/>
      <c r="R4" s="1109"/>
      <c r="S4" s="1112" t="s">
        <v>414</v>
      </c>
      <c r="T4" s="1113"/>
      <c r="U4" s="1113"/>
      <c r="V4" s="1114"/>
    </row>
    <row r="5" spans="1:24" s="598" customFormat="1" ht="15" customHeight="1" x14ac:dyDescent="0.2">
      <c r="A5" s="1104"/>
      <c r="B5" s="1105"/>
      <c r="C5" s="1105"/>
      <c r="D5" s="1106"/>
      <c r="E5" s="1115" t="s">
        <v>413</v>
      </c>
      <c r="F5" s="1116"/>
      <c r="G5" s="1116"/>
      <c r="H5" s="1116"/>
      <c r="I5" s="1116"/>
      <c r="J5" s="1116"/>
      <c r="K5" s="1116"/>
      <c r="L5" s="1116"/>
      <c r="M5" s="1116"/>
      <c r="N5" s="1116"/>
      <c r="O5" s="1116"/>
      <c r="P5" s="1116"/>
      <c r="Q5" s="1116"/>
      <c r="R5" s="1116"/>
      <c r="S5" s="1116"/>
      <c r="T5" s="1116"/>
      <c r="U5" s="1116"/>
      <c r="V5" s="1117"/>
    </row>
    <row r="6" spans="1:24" s="598" customFormat="1" ht="15" customHeight="1" x14ac:dyDescent="0.2">
      <c r="A6" s="654"/>
      <c r="B6" s="655"/>
      <c r="C6" s="655"/>
      <c r="D6" s="655"/>
      <c r="E6" s="655"/>
      <c r="F6" s="656"/>
      <c r="G6" s="656"/>
      <c r="H6" s="656"/>
      <c r="I6" s="656"/>
      <c r="J6" s="656"/>
      <c r="K6" s="656"/>
      <c r="L6" s="656"/>
      <c r="M6" s="656"/>
      <c r="N6" s="656"/>
      <c r="O6" s="655"/>
      <c r="P6" s="655"/>
      <c r="Q6" s="655"/>
      <c r="R6" s="655"/>
      <c r="S6" s="657"/>
      <c r="T6" s="657"/>
      <c r="U6" s="657"/>
      <c r="V6" s="658"/>
      <c r="W6" s="1152" t="s">
        <v>409</v>
      </c>
      <c r="X6" s="1153"/>
    </row>
    <row r="7" spans="1:24" s="599" customFormat="1" ht="15" customHeight="1" x14ac:dyDescent="0.2">
      <c r="A7" s="659"/>
      <c r="B7" s="660"/>
      <c r="C7" s="660"/>
      <c r="D7" s="660"/>
      <c r="E7" s="660"/>
      <c r="F7" s="661"/>
      <c r="G7" s="661"/>
      <c r="H7" s="661"/>
      <c r="I7" s="661"/>
      <c r="J7" s="661"/>
      <c r="K7" s="661"/>
      <c r="L7" s="661"/>
      <c r="M7" s="661"/>
      <c r="N7" s="661"/>
      <c r="O7" s="1160" t="s">
        <v>216</v>
      </c>
      <c r="P7" s="1160"/>
      <c r="Q7" s="1161"/>
      <c r="R7" s="1161"/>
      <c r="S7" s="1161"/>
      <c r="T7" s="1161"/>
      <c r="U7" s="662"/>
      <c r="V7" s="663"/>
      <c r="W7" s="1154" t="s">
        <v>410</v>
      </c>
      <c r="X7" s="1155"/>
    </row>
    <row r="8" spans="1:24" s="599" customFormat="1" ht="15" customHeight="1" x14ac:dyDescent="0.2">
      <c r="A8" s="659"/>
      <c r="B8" s="660"/>
      <c r="C8" s="660"/>
      <c r="D8" s="660"/>
      <c r="E8" s="660"/>
      <c r="F8" s="661"/>
      <c r="G8" s="661"/>
      <c r="H8" s="661"/>
      <c r="I8" s="661"/>
      <c r="J8" s="661"/>
      <c r="K8" s="661"/>
      <c r="L8" s="661"/>
      <c r="M8" s="661"/>
      <c r="N8" s="661"/>
      <c r="O8" s="674"/>
      <c r="P8" s="1162" t="str">
        <f>IF(Q7="",W11,CONCATENATE(W7," ",W8," ",W9," ", W10))</f>
        <v>Pagina xx de xx</v>
      </c>
      <c r="Q8" s="1162"/>
      <c r="R8" s="1162"/>
      <c r="S8" s="1162"/>
      <c r="T8" s="1162"/>
      <c r="U8" s="662"/>
      <c r="V8" s="663"/>
      <c r="W8" s="1156"/>
      <c r="X8" s="1157"/>
    </row>
    <row r="9" spans="1:24" s="599" customFormat="1" ht="15" customHeight="1" x14ac:dyDescent="0.2">
      <c r="A9" s="664"/>
      <c r="B9" s="665"/>
      <c r="C9" s="665"/>
      <c r="D9" s="665"/>
      <c r="E9" s="665"/>
      <c r="F9" s="666"/>
      <c r="G9" s="666"/>
      <c r="H9" s="666"/>
      <c r="I9" s="666"/>
      <c r="J9" s="666"/>
      <c r="K9" s="666"/>
      <c r="L9" s="666"/>
      <c r="M9" s="666"/>
      <c r="N9" s="666"/>
      <c r="O9" s="667"/>
      <c r="P9" s="667"/>
      <c r="Q9" s="667"/>
      <c r="R9" s="667"/>
      <c r="S9" s="668"/>
      <c r="T9" s="668"/>
      <c r="U9" s="668"/>
      <c r="V9" s="669"/>
      <c r="W9" s="1158" t="s">
        <v>411</v>
      </c>
      <c r="X9" s="1159"/>
    </row>
    <row r="10" spans="1:24" ht="15" customHeight="1" x14ac:dyDescent="0.2">
      <c r="A10" s="1068"/>
      <c r="B10" s="1069"/>
      <c r="C10" s="611"/>
      <c r="D10" s="611"/>
      <c r="E10" s="611"/>
      <c r="F10" s="613"/>
      <c r="G10" s="613"/>
      <c r="H10" s="612"/>
      <c r="I10" s="612"/>
      <c r="J10" s="612"/>
      <c r="K10" s="612"/>
      <c r="L10" s="612"/>
      <c r="M10" s="612"/>
      <c r="N10" s="612"/>
      <c r="O10" s="610"/>
      <c r="P10" s="610"/>
      <c r="Q10" s="610"/>
      <c r="R10" s="610"/>
      <c r="S10" s="610"/>
      <c r="T10" s="614"/>
      <c r="U10" s="614"/>
      <c r="V10" s="615"/>
      <c r="W10" s="670"/>
      <c r="X10" s="671"/>
    </row>
    <row r="11" spans="1:24" ht="15" customHeight="1" x14ac:dyDescent="0.2">
      <c r="A11" s="607"/>
      <c r="B11" s="1133" t="s">
        <v>391</v>
      </c>
      <c r="C11" s="1127" t="s">
        <v>390</v>
      </c>
      <c r="D11" s="1128"/>
      <c r="E11" s="1128"/>
      <c r="F11" s="1128"/>
      <c r="G11" s="1129"/>
      <c r="H11" s="612"/>
      <c r="I11" s="612"/>
      <c r="J11" s="612"/>
      <c r="K11" s="612"/>
      <c r="L11" s="612"/>
      <c r="M11" s="612"/>
      <c r="N11" s="612"/>
      <c r="O11" s="610"/>
      <c r="P11" s="610"/>
      <c r="Q11" s="610"/>
      <c r="R11" s="610"/>
      <c r="S11" s="610"/>
      <c r="T11" s="614"/>
      <c r="U11" s="614"/>
      <c r="V11" s="615"/>
      <c r="W11" s="672" t="s">
        <v>412</v>
      </c>
      <c r="X11" s="673"/>
    </row>
    <row r="12" spans="1:24" ht="15" customHeight="1" x14ac:dyDescent="0.2">
      <c r="A12" s="607"/>
      <c r="B12" s="1134"/>
      <c r="C12" s="1130" t="s">
        <v>392</v>
      </c>
      <c r="D12" s="1131"/>
      <c r="E12" s="1132"/>
      <c r="F12" s="1092" t="s">
        <v>13</v>
      </c>
      <c r="G12" s="1093"/>
      <c r="H12" s="612"/>
      <c r="I12" s="612"/>
      <c r="J12" s="612"/>
      <c r="K12" s="612"/>
      <c r="L12" s="612"/>
      <c r="M12" s="612"/>
      <c r="N12" s="612"/>
      <c r="O12" s="610"/>
      <c r="P12" s="610"/>
      <c r="Q12" s="610"/>
      <c r="R12" s="610"/>
      <c r="S12" s="610"/>
      <c r="T12" s="614"/>
      <c r="U12" s="614"/>
      <c r="V12" s="615"/>
    </row>
    <row r="13" spans="1:24" ht="15" customHeight="1" x14ac:dyDescent="0.2">
      <c r="A13" s="607"/>
      <c r="B13" s="1135"/>
      <c r="C13" s="637">
        <v>1</v>
      </c>
      <c r="D13" s="637">
        <v>2</v>
      </c>
      <c r="E13" s="637">
        <v>3</v>
      </c>
      <c r="F13" s="1094"/>
      <c r="G13" s="1095"/>
      <c r="H13" s="612"/>
      <c r="I13" s="612"/>
      <c r="J13" s="612"/>
      <c r="K13" s="612"/>
      <c r="L13" s="612"/>
      <c r="M13" s="612"/>
      <c r="N13" s="612"/>
      <c r="O13" s="610"/>
      <c r="P13" s="610"/>
      <c r="Q13" s="610"/>
      <c r="R13" s="610"/>
      <c r="S13" s="610"/>
      <c r="T13" s="614"/>
      <c r="U13" s="614"/>
      <c r="V13" s="615"/>
    </row>
    <row r="14" spans="1:24" ht="15" customHeight="1" x14ac:dyDescent="0.2">
      <c r="A14" s="607"/>
      <c r="B14" s="616">
        <v>0</v>
      </c>
      <c r="C14" s="622"/>
      <c r="D14" s="622"/>
      <c r="E14" s="623"/>
      <c r="F14" s="1088" t="str">
        <f>IF($F$6="","",AVERAGE(C14:E14))</f>
        <v/>
      </c>
      <c r="G14" s="1089"/>
      <c r="H14" s="612"/>
      <c r="I14" s="612"/>
      <c r="J14" s="612"/>
      <c r="K14" s="612"/>
      <c r="L14" s="612"/>
      <c r="M14" s="612"/>
      <c r="N14" s="612"/>
      <c r="O14" s="610"/>
      <c r="P14" s="610"/>
      <c r="Q14" s="610"/>
      <c r="R14" s="610"/>
      <c r="S14" s="610"/>
      <c r="T14" s="614"/>
      <c r="U14" s="614"/>
      <c r="V14" s="615"/>
    </row>
    <row r="15" spans="1:24" ht="15" customHeight="1" x14ac:dyDescent="0.2">
      <c r="A15" s="607"/>
      <c r="B15" s="616">
        <v>1</v>
      </c>
      <c r="C15" s="622"/>
      <c r="D15" s="622"/>
      <c r="E15" s="623"/>
      <c r="F15" s="1088" t="str">
        <f t="shared" ref="F15:F29" si="0">IF($F$6="","",AVERAGE(C15:E15))</f>
        <v/>
      </c>
      <c r="G15" s="1089"/>
      <c r="H15" s="612"/>
      <c r="I15" s="612"/>
      <c r="J15" s="612"/>
      <c r="K15" s="612"/>
      <c r="L15" s="610"/>
      <c r="M15" s="610"/>
      <c r="N15" s="610"/>
      <c r="O15" s="610"/>
      <c r="P15" s="610"/>
      <c r="Q15" s="614"/>
      <c r="R15" s="614"/>
      <c r="S15" s="614"/>
      <c r="T15" s="614"/>
      <c r="U15" s="614"/>
      <c r="V15" s="638"/>
    </row>
    <row r="16" spans="1:24" ht="15" customHeight="1" x14ac:dyDescent="0.2">
      <c r="A16" s="607"/>
      <c r="B16" s="617">
        <v>3</v>
      </c>
      <c r="C16" s="622"/>
      <c r="D16" s="622"/>
      <c r="E16" s="623"/>
      <c r="F16" s="1088" t="str">
        <f t="shared" si="0"/>
        <v/>
      </c>
      <c r="G16" s="1089"/>
      <c r="H16" s="606"/>
      <c r="I16" s="603"/>
      <c r="J16" s="603"/>
      <c r="K16" s="603"/>
      <c r="L16" s="603"/>
      <c r="M16" s="603"/>
      <c r="N16" s="603"/>
      <c r="O16" s="603"/>
      <c r="P16" s="603"/>
      <c r="Q16" s="603"/>
      <c r="R16" s="603"/>
      <c r="S16" s="603"/>
      <c r="T16" s="603"/>
      <c r="U16" s="603"/>
      <c r="V16" s="638"/>
    </row>
    <row r="17" spans="1:26" ht="15" customHeight="1" x14ac:dyDescent="0.2">
      <c r="A17" s="607"/>
      <c r="B17" s="617">
        <v>5</v>
      </c>
      <c r="C17" s="622"/>
      <c r="D17" s="622"/>
      <c r="E17" s="623"/>
      <c r="F17" s="1088" t="str">
        <f t="shared" si="0"/>
        <v/>
      </c>
      <c r="G17" s="1089"/>
      <c r="H17" s="606"/>
      <c r="I17" s="606"/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639"/>
    </row>
    <row r="18" spans="1:26" ht="15" customHeight="1" x14ac:dyDescent="0.2">
      <c r="A18" s="607"/>
      <c r="B18" s="617">
        <v>10</v>
      </c>
      <c r="C18" s="622"/>
      <c r="D18" s="622"/>
      <c r="E18" s="623"/>
      <c r="F18" s="1088" t="str">
        <f t="shared" si="0"/>
        <v/>
      </c>
      <c r="G18" s="1089"/>
      <c r="H18" s="606"/>
      <c r="I18" s="606"/>
      <c r="J18" s="603"/>
      <c r="K18" s="603"/>
      <c r="L18" s="603"/>
      <c r="M18" s="603"/>
      <c r="N18" s="603"/>
      <c r="O18" s="603"/>
      <c r="P18" s="603"/>
      <c r="Q18" s="603"/>
      <c r="R18" s="603"/>
      <c r="S18" s="603"/>
      <c r="T18" s="603"/>
      <c r="U18" s="603"/>
      <c r="V18" s="638"/>
    </row>
    <row r="19" spans="1:26" ht="15" customHeight="1" x14ac:dyDescent="0.2">
      <c r="A19" s="607"/>
      <c r="B19" s="617">
        <v>15</v>
      </c>
      <c r="C19" s="622"/>
      <c r="D19" s="622"/>
      <c r="E19" s="623"/>
      <c r="F19" s="1088" t="str">
        <f t="shared" si="0"/>
        <v/>
      </c>
      <c r="G19" s="1089"/>
      <c r="H19" s="606"/>
      <c r="I19" s="606"/>
      <c r="J19" s="603"/>
      <c r="K19" s="603"/>
      <c r="L19" s="603"/>
      <c r="M19" s="603"/>
      <c r="N19" s="603"/>
      <c r="O19" s="603"/>
      <c r="P19" s="603"/>
      <c r="Q19" s="603"/>
      <c r="R19" s="603"/>
      <c r="S19" s="603"/>
      <c r="T19" s="603"/>
      <c r="U19" s="603"/>
      <c r="V19" s="638"/>
    </row>
    <row r="20" spans="1:26" ht="15" customHeight="1" x14ac:dyDescent="0.2">
      <c r="A20" s="607"/>
      <c r="B20" s="617">
        <v>20</v>
      </c>
      <c r="C20" s="622"/>
      <c r="D20" s="622"/>
      <c r="E20" s="623"/>
      <c r="F20" s="1088" t="str">
        <f t="shared" si="0"/>
        <v/>
      </c>
      <c r="G20" s="1089"/>
      <c r="H20" s="606"/>
      <c r="I20" s="606"/>
      <c r="J20" s="603"/>
      <c r="K20" s="603"/>
      <c r="L20" s="603"/>
      <c r="M20" s="603"/>
      <c r="N20" s="603"/>
      <c r="O20" s="603"/>
      <c r="P20" s="603"/>
      <c r="Q20" s="603"/>
      <c r="R20" s="603"/>
      <c r="S20" s="603"/>
      <c r="T20" s="603"/>
      <c r="U20" s="603"/>
      <c r="V20" s="638"/>
      <c r="W20" s="618"/>
      <c r="X20" s="618"/>
      <c r="Y20" s="619"/>
      <c r="Z20" s="609"/>
    </row>
    <row r="21" spans="1:26" ht="15" customHeight="1" x14ac:dyDescent="0.2">
      <c r="A21" s="607"/>
      <c r="B21" s="617">
        <v>25</v>
      </c>
      <c r="C21" s="622"/>
      <c r="D21" s="622"/>
      <c r="E21" s="623"/>
      <c r="F21" s="1088" t="str">
        <f t="shared" si="0"/>
        <v/>
      </c>
      <c r="G21" s="1089"/>
      <c r="H21" s="606"/>
      <c r="I21" s="603"/>
      <c r="J21" s="603"/>
      <c r="K21" s="603"/>
      <c r="L21" s="603"/>
      <c r="M21" s="603"/>
      <c r="N21" s="603"/>
      <c r="O21" s="603"/>
      <c r="P21" s="603"/>
      <c r="Q21" s="603"/>
      <c r="R21" s="603"/>
      <c r="S21" s="603"/>
      <c r="T21" s="603"/>
      <c r="U21" s="603"/>
      <c r="V21" s="638"/>
      <c r="W21" s="606"/>
      <c r="X21" s="609"/>
      <c r="Y21" s="620"/>
      <c r="Z21" s="609"/>
    </row>
    <row r="22" spans="1:26" ht="15" customHeight="1" x14ac:dyDescent="0.2">
      <c r="A22" s="607"/>
      <c r="B22" s="617">
        <v>30</v>
      </c>
      <c r="C22" s="622"/>
      <c r="D22" s="622"/>
      <c r="E22" s="623"/>
      <c r="F22" s="1088" t="str">
        <f t="shared" si="0"/>
        <v/>
      </c>
      <c r="G22" s="1089"/>
      <c r="H22" s="606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3"/>
      <c r="U22" s="603"/>
      <c r="V22" s="638"/>
      <c r="W22" s="606"/>
      <c r="X22" s="609"/>
      <c r="Y22" s="620"/>
      <c r="Z22" s="609"/>
    </row>
    <row r="23" spans="1:26" ht="15" customHeight="1" x14ac:dyDescent="0.2">
      <c r="A23" s="607"/>
      <c r="B23" s="617">
        <v>35</v>
      </c>
      <c r="C23" s="622"/>
      <c r="D23" s="622"/>
      <c r="E23" s="623"/>
      <c r="F23" s="1088" t="str">
        <f>IF($F$6="","",AVERAGE(C23:E23))</f>
        <v/>
      </c>
      <c r="G23" s="1089"/>
      <c r="H23" s="606"/>
      <c r="I23" s="603"/>
      <c r="J23" s="603"/>
      <c r="K23" s="603"/>
      <c r="L23" s="603"/>
      <c r="M23" s="603"/>
      <c r="N23" s="603"/>
      <c r="O23" s="603"/>
      <c r="P23" s="603"/>
      <c r="Q23" s="603"/>
      <c r="R23" s="603"/>
      <c r="S23" s="603"/>
      <c r="T23" s="603"/>
      <c r="U23" s="603"/>
      <c r="V23" s="638"/>
      <c r="W23" s="606"/>
      <c r="X23" s="609"/>
      <c r="Y23" s="620"/>
      <c r="Z23" s="606"/>
    </row>
    <row r="24" spans="1:26" ht="15" customHeight="1" x14ac:dyDescent="0.2">
      <c r="A24" s="607"/>
      <c r="B24" s="617">
        <v>40</v>
      </c>
      <c r="C24" s="624"/>
      <c r="D24" s="624"/>
      <c r="E24" s="623"/>
      <c r="F24" s="1088" t="str">
        <f t="shared" si="0"/>
        <v/>
      </c>
      <c r="G24" s="1089"/>
      <c r="H24" s="606"/>
      <c r="I24" s="603"/>
      <c r="J24" s="603"/>
      <c r="K24" s="603"/>
      <c r="L24" s="603"/>
      <c r="M24" s="603"/>
      <c r="N24" s="603"/>
      <c r="O24" s="603"/>
      <c r="P24" s="603"/>
      <c r="Q24" s="603"/>
      <c r="R24" s="603"/>
      <c r="S24" s="603"/>
      <c r="T24" s="603"/>
      <c r="U24" s="603"/>
      <c r="V24" s="638"/>
      <c r="W24" s="619"/>
      <c r="X24" s="609"/>
      <c r="Y24" s="620"/>
      <c r="Z24" s="606"/>
    </row>
    <row r="25" spans="1:26" ht="15" customHeight="1" x14ac:dyDescent="0.2">
      <c r="A25" s="607"/>
      <c r="B25" s="617">
        <v>45</v>
      </c>
      <c r="C25" s="625"/>
      <c r="D25" s="625"/>
      <c r="E25" s="623"/>
      <c r="F25" s="1088" t="str">
        <f t="shared" si="0"/>
        <v/>
      </c>
      <c r="G25" s="1089"/>
      <c r="H25" s="606"/>
      <c r="I25" s="603"/>
      <c r="J25" s="603"/>
      <c r="K25" s="603"/>
      <c r="L25" s="603"/>
      <c r="M25" s="603"/>
      <c r="N25" s="603"/>
      <c r="O25" s="603"/>
      <c r="P25" s="603"/>
      <c r="Q25" s="603"/>
      <c r="R25" s="603"/>
      <c r="S25" s="603"/>
      <c r="T25" s="603"/>
      <c r="U25" s="603"/>
      <c r="V25" s="638"/>
      <c r="W25" s="619"/>
      <c r="X25" s="609"/>
      <c r="Y25" s="620"/>
      <c r="Z25" s="606"/>
    </row>
    <row r="26" spans="1:26" ht="15" customHeight="1" x14ac:dyDescent="0.2">
      <c r="A26" s="607"/>
      <c r="B26" s="617">
        <v>60</v>
      </c>
      <c r="C26" s="622"/>
      <c r="D26" s="622"/>
      <c r="E26" s="623"/>
      <c r="F26" s="1088" t="str">
        <f t="shared" si="0"/>
        <v/>
      </c>
      <c r="G26" s="1089"/>
      <c r="H26" s="606"/>
      <c r="I26" s="603"/>
      <c r="J26" s="603"/>
      <c r="K26" s="603"/>
      <c r="L26" s="603"/>
      <c r="M26" s="603"/>
      <c r="N26" s="603"/>
      <c r="O26" s="603"/>
      <c r="P26" s="603"/>
      <c r="Q26" s="603"/>
      <c r="R26" s="603"/>
      <c r="S26" s="603"/>
      <c r="T26" s="603"/>
      <c r="U26" s="603"/>
      <c r="V26" s="638"/>
      <c r="W26" s="606"/>
      <c r="X26" s="609"/>
      <c r="Y26" s="620"/>
      <c r="Z26" s="606"/>
    </row>
    <row r="27" spans="1:26" ht="15" customHeight="1" x14ac:dyDescent="0.2">
      <c r="A27" s="607"/>
      <c r="B27" s="617">
        <v>75</v>
      </c>
      <c r="C27" s="622"/>
      <c r="D27" s="622"/>
      <c r="E27" s="623"/>
      <c r="F27" s="1088" t="str">
        <f t="shared" si="0"/>
        <v/>
      </c>
      <c r="G27" s="1089"/>
      <c r="H27" s="606"/>
      <c r="I27" s="1142" t="s">
        <v>406</v>
      </c>
      <c r="J27" s="1143"/>
      <c r="K27" s="1143"/>
      <c r="L27" s="1143"/>
      <c r="M27" s="1143"/>
      <c r="N27" s="1138" t="s">
        <v>195</v>
      </c>
      <c r="O27" s="1139"/>
      <c r="P27" s="1110" t="s">
        <v>387</v>
      </c>
      <c r="Q27" s="1111"/>
      <c r="R27" s="1136" t="s">
        <v>388</v>
      </c>
      <c r="S27" s="1136"/>
      <c r="T27" s="1110" t="s">
        <v>389</v>
      </c>
      <c r="U27" s="1111"/>
      <c r="V27" s="638"/>
      <c r="W27" s="606"/>
    </row>
    <row r="28" spans="1:26" ht="15" customHeight="1" x14ac:dyDescent="0.2">
      <c r="A28" s="607"/>
      <c r="B28" s="617">
        <v>90</v>
      </c>
      <c r="C28" s="622"/>
      <c r="D28" s="622"/>
      <c r="E28" s="623"/>
      <c r="F28" s="1088" t="str">
        <f t="shared" si="0"/>
        <v/>
      </c>
      <c r="G28" s="1089"/>
      <c r="H28" s="606"/>
      <c r="I28" s="1096" t="s">
        <v>402</v>
      </c>
      <c r="J28" s="1097"/>
      <c r="K28" s="1097"/>
      <c r="L28" s="1097"/>
      <c r="M28" s="1097"/>
      <c r="N28" s="1140" t="s">
        <v>403</v>
      </c>
      <c r="O28" s="1141"/>
      <c r="P28" s="1090" t="str">
        <f>IF($F$6="","",F25)</f>
        <v/>
      </c>
      <c r="Q28" s="1091"/>
      <c r="R28" s="1137" t="str">
        <f>IF($F$6="","",F28)</f>
        <v/>
      </c>
      <c r="S28" s="1137"/>
      <c r="T28" s="1090" t="str">
        <f>IF($F$6="","",F30)</f>
        <v/>
      </c>
      <c r="U28" s="1091"/>
      <c r="V28" s="640"/>
      <c r="W28" s="606"/>
    </row>
    <row r="29" spans="1:26" ht="15" customHeight="1" x14ac:dyDescent="0.2">
      <c r="A29" s="607"/>
      <c r="B29" s="617">
        <v>105</v>
      </c>
      <c r="C29" s="622"/>
      <c r="D29" s="622"/>
      <c r="E29" s="623"/>
      <c r="F29" s="1088" t="str">
        <f t="shared" si="0"/>
        <v/>
      </c>
      <c r="G29" s="1089"/>
      <c r="H29" s="606"/>
      <c r="I29" s="1096" t="s">
        <v>407</v>
      </c>
      <c r="J29" s="1097"/>
      <c r="K29" s="1097"/>
      <c r="L29" s="1097"/>
      <c r="M29" s="1097"/>
      <c r="N29" s="1140" t="s">
        <v>404</v>
      </c>
      <c r="O29" s="1141"/>
      <c r="P29" s="1086" t="str">
        <f>IF($F$6="","",(F25-F22)/(B25-B22))</f>
        <v/>
      </c>
      <c r="Q29" s="1087"/>
      <c r="R29" s="1149" t="str">
        <f>IF($F$6="","",(F28-F27)/(B28-B27))</f>
        <v/>
      </c>
      <c r="S29" s="1149"/>
      <c r="T29" s="1086" t="str">
        <f>IF($F$6="","",(F30-F29)/(B30-B29))</f>
        <v/>
      </c>
      <c r="U29" s="1087"/>
      <c r="V29" s="608"/>
      <c r="W29" s="606"/>
    </row>
    <row r="30" spans="1:26" ht="15" customHeight="1" x14ac:dyDescent="0.2">
      <c r="A30" s="607"/>
      <c r="B30" s="617">
        <v>120</v>
      </c>
      <c r="C30" s="622"/>
      <c r="D30" s="622"/>
      <c r="E30" s="623"/>
      <c r="F30" s="1088" t="str">
        <f>IF($F$6="","",AVERAGE(C30:E30))</f>
        <v/>
      </c>
      <c r="G30" s="1089"/>
      <c r="H30" s="606"/>
      <c r="I30" s="1144" t="s">
        <v>405</v>
      </c>
      <c r="J30" s="1145"/>
      <c r="K30" s="1145"/>
      <c r="L30" s="1145"/>
      <c r="M30" s="1145"/>
      <c r="N30" s="1150" t="s">
        <v>403</v>
      </c>
      <c r="O30" s="1151"/>
      <c r="P30" s="1146" t="str">
        <f>F30</f>
        <v/>
      </c>
      <c r="Q30" s="1147"/>
      <c r="R30" s="1147"/>
      <c r="S30" s="1147"/>
      <c r="T30" s="1147"/>
      <c r="U30" s="1148"/>
      <c r="V30" s="638"/>
      <c r="W30" s="606"/>
    </row>
    <row r="31" spans="1:26" ht="15" customHeight="1" x14ac:dyDescent="0.2">
      <c r="A31" s="1068"/>
      <c r="B31" s="1069"/>
      <c r="C31" s="636"/>
      <c r="D31" s="636"/>
      <c r="E31" s="636"/>
      <c r="F31" s="636"/>
      <c r="G31" s="636"/>
      <c r="H31" s="636"/>
      <c r="I31" s="636"/>
      <c r="J31" s="636"/>
      <c r="K31" s="636"/>
      <c r="L31" s="636"/>
      <c r="M31" s="636"/>
      <c r="N31" s="636"/>
      <c r="O31" s="636"/>
      <c r="P31" s="636"/>
      <c r="Q31" s="636"/>
      <c r="R31" s="636"/>
      <c r="S31" s="636"/>
      <c r="T31" s="635"/>
      <c r="U31" s="635"/>
      <c r="V31" s="638"/>
      <c r="W31" s="606"/>
      <c r="X31" s="609"/>
      <c r="Y31" s="620"/>
    </row>
    <row r="32" spans="1:26" ht="15" customHeight="1" x14ac:dyDescent="0.2">
      <c r="A32" s="607"/>
      <c r="C32" s="1070" t="s">
        <v>393</v>
      </c>
      <c r="D32" s="1071"/>
      <c r="E32" s="1071"/>
      <c r="F32" s="1071"/>
      <c r="G32" s="1071"/>
      <c r="H32" s="1071"/>
      <c r="I32" s="1071"/>
      <c r="J32" s="1071"/>
      <c r="K32" s="1071"/>
      <c r="L32" s="1071"/>
      <c r="M32" s="1071"/>
      <c r="N32" s="1071"/>
      <c r="O32" s="1071"/>
      <c r="P32" s="1071"/>
      <c r="Q32" s="1071"/>
      <c r="R32" s="1072"/>
      <c r="V32" s="638"/>
      <c r="W32" s="621"/>
      <c r="X32" s="609"/>
      <c r="Y32" s="620"/>
    </row>
    <row r="33" spans="1:27" ht="15" customHeight="1" x14ac:dyDescent="0.2">
      <c r="A33" s="607"/>
      <c r="C33" s="1079" t="s">
        <v>401</v>
      </c>
      <c r="D33" s="1080"/>
      <c r="E33" s="1080"/>
      <c r="F33" s="1080"/>
      <c r="G33" s="1080"/>
      <c r="H33" s="1080"/>
      <c r="I33" s="1080"/>
      <c r="J33" s="1080"/>
      <c r="K33" s="1080"/>
      <c r="L33" s="1080"/>
      <c r="M33" s="1080"/>
      <c r="N33" s="1081"/>
      <c r="O33" s="1073"/>
      <c r="P33" s="1074"/>
      <c r="Q33" s="1074"/>
      <c r="R33" s="1075"/>
      <c r="V33" s="638"/>
      <c r="W33" s="606"/>
      <c r="X33" s="609"/>
      <c r="Y33" s="620"/>
    </row>
    <row r="34" spans="1:27" ht="15" customHeight="1" x14ac:dyDescent="0.2">
      <c r="A34" s="607"/>
      <c r="C34" s="1082" t="s">
        <v>386</v>
      </c>
      <c r="D34" s="1083"/>
      <c r="E34" s="1083"/>
      <c r="F34" s="1083"/>
      <c r="G34" s="1083"/>
      <c r="H34" s="1083"/>
      <c r="I34" s="1083"/>
      <c r="J34" s="1083"/>
      <c r="K34" s="1083"/>
      <c r="L34" s="1083"/>
      <c r="M34" s="1083"/>
      <c r="N34" s="1084"/>
      <c r="O34" s="1076"/>
      <c r="P34" s="1077"/>
      <c r="Q34" s="1077"/>
      <c r="R34" s="1078"/>
      <c r="V34" s="638"/>
      <c r="W34" s="606"/>
      <c r="X34" s="609"/>
      <c r="Y34" s="620"/>
      <c r="Z34" s="606"/>
    </row>
    <row r="35" spans="1:27" ht="15" customHeight="1" x14ac:dyDescent="0.2">
      <c r="A35" s="1068"/>
      <c r="B35" s="1069"/>
      <c r="C35" s="1069"/>
      <c r="D35" s="1069"/>
      <c r="E35" s="606"/>
      <c r="F35" s="606"/>
      <c r="G35" s="606"/>
      <c r="H35" s="606"/>
      <c r="I35" s="606"/>
      <c r="J35" s="606"/>
      <c r="K35" s="606"/>
      <c r="L35" s="606"/>
      <c r="M35" s="606"/>
      <c r="N35" s="606"/>
      <c r="O35" s="606"/>
      <c r="P35" s="606"/>
      <c r="Q35" s="606"/>
      <c r="R35" s="606"/>
      <c r="S35" s="605"/>
      <c r="T35" s="604"/>
      <c r="U35" s="604"/>
      <c r="V35" s="641"/>
      <c r="W35" s="606"/>
      <c r="X35" s="609"/>
      <c r="Y35" s="620"/>
      <c r="Z35" s="606"/>
    </row>
    <row r="36" spans="1:27" ht="15" customHeight="1" x14ac:dyDescent="0.2">
      <c r="A36" s="645"/>
      <c r="B36" s="646"/>
      <c r="C36" s="646"/>
      <c r="D36" s="629"/>
      <c r="E36" s="629"/>
      <c r="F36" s="629"/>
      <c r="G36" s="629"/>
      <c r="H36" s="629"/>
      <c r="I36" s="629"/>
      <c r="J36" s="629"/>
      <c r="K36" s="629"/>
      <c r="L36" s="630"/>
      <c r="M36" s="630"/>
      <c r="N36" s="630"/>
      <c r="O36" s="630"/>
      <c r="P36" s="630"/>
      <c r="Q36" s="630"/>
      <c r="R36" s="630"/>
      <c r="S36" s="630"/>
      <c r="T36" s="630"/>
      <c r="U36" s="631"/>
      <c r="V36" s="632"/>
      <c r="W36" s="606"/>
      <c r="X36" s="609"/>
      <c r="Y36" s="620"/>
      <c r="Z36" s="606"/>
    </row>
    <row r="37" spans="1:27" ht="15" customHeight="1" x14ac:dyDescent="0.2">
      <c r="A37" s="651"/>
      <c r="B37" s="1064" t="s">
        <v>408</v>
      </c>
      <c r="C37" s="1064"/>
      <c r="D37" s="1064"/>
      <c r="E37" s="1064"/>
      <c r="F37" s="652"/>
      <c r="G37" s="652"/>
      <c r="H37" s="652"/>
      <c r="I37" s="652"/>
      <c r="J37" s="652"/>
      <c r="K37" s="652"/>
      <c r="L37" s="605"/>
      <c r="M37" s="605"/>
      <c r="N37" s="605"/>
      <c r="O37" s="605"/>
      <c r="P37" s="605"/>
      <c r="Q37" s="605"/>
      <c r="R37" s="605"/>
      <c r="S37" s="605"/>
      <c r="T37" s="605"/>
      <c r="U37" s="649"/>
      <c r="V37" s="650"/>
      <c r="W37" s="606"/>
      <c r="X37" s="606"/>
      <c r="Y37" s="606"/>
      <c r="Z37" s="606"/>
    </row>
    <row r="38" spans="1:27" ht="15" customHeight="1" x14ac:dyDescent="0.2">
      <c r="A38" s="643"/>
      <c r="B38" s="648"/>
      <c r="C38" s="648"/>
      <c r="D38" s="644"/>
      <c r="E38" s="644"/>
      <c r="F38" s="644"/>
      <c r="G38" s="644"/>
      <c r="H38" s="644"/>
      <c r="I38" s="644"/>
      <c r="J38" s="644"/>
      <c r="K38" s="644"/>
      <c r="L38" s="644"/>
      <c r="M38" s="644"/>
      <c r="N38" s="644"/>
      <c r="O38" s="644"/>
      <c r="P38" s="644"/>
      <c r="Q38" s="644"/>
      <c r="R38" s="644"/>
      <c r="S38" s="644"/>
      <c r="T38" s="644"/>
      <c r="U38" s="644"/>
      <c r="V38" s="634"/>
    </row>
    <row r="39" spans="1:27" ht="15" customHeight="1" x14ac:dyDescent="0.2">
      <c r="A39" s="645"/>
      <c r="B39" s="1085" t="s">
        <v>4</v>
      </c>
      <c r="C39" s="1085"/>
      <c r="D39" s="1085"/>
      <c r="E39" s="629"/>
      <c r="F39" s="629"/>
      <c r="G39" s="629"/>
      <c r="H39" s="629"/>
      <c r="I39" s="629"/>
      <c r="J39" s="629"/>
      <c r="K39" s="629"/>
      <c r="L39" s="630"/>
      <c r="M39" s="630"/>
      <c r="N39" s="630"/>
      <c r="O39" s="630"/>
      <c r="P39" s="630"/>
      <c r="Q39" s="630"/>
      <c r="R39" s="630"/>
      <c r="S39" s="630"/>
      <c r="T39" s="630"/>
      <c r="U39" s="631"/>
      <c r="V39" s="632"/>
    </row>
    <row r="40" spans="1:27" ht="15" customHeight="1" x14ac:dyDescent="0.2">
      <c r="A40" s="651"/>
      <c r="B40" s="653"/>
      <c r="C40" s="653"/>
      <c r="D40" s="652"/>
      <c r="E40" s="652"/>
      <c r="F40" s="652"/>
      <c r="G40" s="652"/>
      <c r="H40" s="652"/>
      <c r="I40" s="652"/>
      <c r="J40" s="652"/>
      <c r="K40" s="652"/>
      <c r="L40" s="605"/>
      <c r="M40" s="605"/>
      <c r="N40" s="605"/>
      <c r="O40" s="605"/>
      <c r="P40" s="605"/>
      <c r="Q40" s="605"/>
      <c r="R40" s="605"/>
      <c r="S40" s="605"/>
      <c r="T40" s="605"/>
      <c r="U40" s="649"/>
      <c r="V40" s="650"/>
    </row>
    <row r="41" spans="1:27" ht="15" customHeight="1" x14ac:dyDescent="0.2">
      <c r="A41" s="651"/>
      <c r="B41" s="653"/>
      <c r="C41" s="653"/>
      <c r="D41" s="652"/>
      <c r="E41" s="652"/>
      <c r="F41" s="652"/>
      <c r="G41" s="652"/>
      <c r="H41" s="652"/>
      <c r="I41" s="652"/>
      <c r="J41" s="652"/>
      <c r="K41" s="652"/>
      <c r="L41" s="605"/>
      <c r="M41" s="605"/>
      <c r="N41" s="605"/>
      <c r="O41" s="605"/>
      <c r="P41" s="605"/>
      <c r="Q41" s="605"/>
      <c r="R41" s="605"/>
      <c r="S41" s="605"/>
      <c r="T41" s="605"/>
      <c r="U41" s="649"/>
      <c r="V41" s="650"/>
    </row>
    <row r="42" spans="1:27" ht="15" customHeight="1" x14ac:dyDescent="0.2">
      <c r="A42" s="651"/>
      <c r="B42" s="653"/>
      <c r="C42" s="653"/>
      <c r="D42" s="652"/>
      <c r="E42" s="652"/>
      <c r="F42" s="652"/>
      <c r="G42" s="652"/>
      <c r="H42" s="652"/>
      <c r="I42" s="652"/>
      <c r="J42" s="652"/>
      <c r="K42" s="652"/>
      <c r="L42" s="605"/>
      <c r="M42" s="605"/>
      <c r="N42" s="605"/>
      <c r="O42" s="605"/>
      <c r="P42" s="605"/>
      <c r="Q42" s="605"/>
      <c r="R42" s="605"/>
      <c r="S42" s="605"/>
      <c r="T42" s="605"/>
      <c r="U42" s="649"/>
      <c r="V42" s="650"/>
    </row>
    <row r="43" spans="1:27" ht="15" customHeight="1" thickBot="1" x14ac:dyDescent="0.25">
      <c r="A43" s="647"/>
      <c r="B43" s="648"/>
      <c r="C43" s="648"/>
      <c r="D43" s="633"/>
      <c r="E43" s="633"/>
      <c r="F43" s="633"/>
      <c r="G43" s="633"/>
      <c r="H43" s="633"/>
      <c r="I43" s="633"/>
      <c r="J43" s="633"/>
      <c r="K43" s="633"/>
      <c r="L43" s="633"/>
      <c r="M43" s="633"/>
      <c r="N43" s="633"/>
      <c r="O43" s="633"/>
      <c r="P43" s="633"/>
      <c r="Q43" s="633"/>
      <c r="R43" s="633"/>
      <c r="S43" s="633"/>
      <c r="T43" s="633"/>
      <c r="U43" s="633"/>
      <c r="V43" s="634"/>
    </row>
    <row r="44" spans="1:27" ht="15" customHeight="1" thickTop="1" thickBot="1" x14ac:dyDescent="0.25">
      <c r="A44" s="1065" t="s">
        <v>384</v>
      </c>
      <c r="B44" s="1065"/>
      <c r="C44" s="1065"/>
      <c r="D44" s="1065"/>
      <c r="E44" s="1065"/>
      <c r="F44" s="1065"/>
      <c r="G44" s="1065"/>
      <c r="H44" s="1065"/>
      <c r="I44" s="1065"/>
      <c r="J44" s="1065"/>
      <c r="K44" s="1065"/>
      <c r="L44" s="1065"/>
      <c r="M44" s="1065"/>
      <c r="N44" s="1065"/>
      <c r="O44" s="1065"/>
      <c r="P44" s="1065"/>
      <c r="Q44" s="1065"/>
      <c r="R44" s="1065"/>
      <c r="S44" s="1065"/>
      <c r="T44" s="1065"/>
      <c r="U44" s="1065"/>
      <c r="V44" s="1065"/>
    </row>
    <row r="45" spans="1:27" ht="15" customHeight="1" thickTop="1" x14ac:dyDescent="0.2">
      <c r="A45" s="1066"/>
      <c r="B45" s="1066"/>
      <c r="C45" s="1066"/>
      <c r="D45" s="1066"/>
      <c r="E45" s="1066"/>
      <c r="F45" s="1066"/>
      <c r="G45" s="1066"/>
      <c r="H45" s="1066"/>
      <c r="I45" s="1066"/>
      <c r="J45" s="1066"/>
      <c r="K45" s="1066"/>
      <c r="L45" s="1066"/>
      <c r="M45" s="1066"/>
      <c r="N45" s="1066"/>
      <c r="O45" s="1066"/>
      <c r="P45" s="1066"/>
      <c r="Q45" s="1066"/>
      <c r="R45" s="1066"/>
      <c r="S45" s="1066"/>
      <c r="T45" s="1066"/>
      <c r="U45" s="1066"/>
      <c r="V45" s="1066"/>
    </row>
    <row r="46" spans="1:27" s="601" customFormat="1" ht="15" customHeight="1" x14ac:dyDescent="0.2">
      <c r="A46" s="1067" t="s">
        <v>415</v>
      </c>
      <c r="B46" s="1067"/>
      <c r="C46" s="1067"/>
      <c r="D46" s="1067"/>
      <c r="E46" s="1067"/>
      <c r="F46" s="1067"/>
      <c r="G46" s="1067"/>
      <c r="H46" s="1067"/>
      <c r="I46" s="1067"/>
      <c r="J46" s="1067"/>
      <c r="K46" s="1067"/>
      <c r="L46" s="1067"/>
      <c r="M46" s="1067"/>
      <c r="N46" s="1067"/>
      <c r="O46" s="1067"/>
      <c r="P46" s="1067"/>
      <c r="Q46" s="1067"/>
      <c r="R46" s="1067"/>
      <c r="S46" s="1067"/>
      <c r="T46" s="1067"/>
      <c r="U46" s="1067"/>
      <c r="V46" s="1067"/>
      <c r="X46" s="600"/>
      <c r="Y46" s="600"/>
      <c r="Z46" s="600"/>
      <c r="AA46" s="600"/>
    </row>
    <row r="47" spans="1:27" s="601" customFormat="1" ht="15" customHeight="1" x14ac:dyDescent="0.2">
      <c r="A47" s="1067"/>
      <c r="B47" s="1067"/>
      <c r="C47" s="1067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X47" s="600"/>
      <c r="Y47" s="600"/>
      <c r="Z47" s="600"/>
      <c r="AA47" s="600"/>
    </row>
    <row r="48" spans="1:27" s="601" customFormat="1" ht="15" customHeight="1" x14ac:dyDescent="0.2"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00"/>
      <c r="S48" s="600"/>
      <c r="T48" s="600"/>
      <c r="U48" s="600"/>
      <c r="V48" s="600"/>
      <c r="X48" s="600"/>
      <c r="Y48" s="600"/>
      <c r="Z48" s="600"/>
      <c r="AA48" s="600"/>
    </row>
    <row r="49" spans="1:27" s="601" customFormat="1" ht="15" customHeight="1" x14ac:dyDescent="0.2"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00"/>
      <c r="S49" s="600"/>
      <c r="T49" s="600"/>
      <c r="U49" s="600"/>
      <c r="V49" s="600"/>
      <c r="X49" s="600"/>
      <c r="Y49" s="600"/>
      <c r="Z49" s="600"/>
      <c r="AA49" s="600"/>
    </row>
    <row r="50" spans="1:27" s="601" customFormat="1" ht="12.95" customHeight="1" x14ac:dyDescent="0.2">
      <c r="A50" s="602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00"/>
      <c r="S50" s="600"/>
      <c r="T50" s="600"/>
      <c r="U50" s="600"/>
      <c r="V50" s="600"/>
      <c r="X50" s="600"/>
      <c r="Y50" s="600"/>
      <c r="Z50" s="600"/>
      <c r="AA50" s="600"/>
    </row>
    <row r="51" spans="1:27" s="601" customFormat="1" ht="12" customHeight="1" x14ac:dyDescent="0.2">
      <c r="A51" s="51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00"/>
      <c r="S51" s="600"/>
      <c r="T51" s="600"/>
      <c r="U51" s="600"/>
      <c r="V51" s="600"/>
      <c r="X51" s="600"/>
      <c r="Y51" s="600"/>
      <c r="Z51" s="600"/>
      <c r="AA51" s="600"/>
    </row>
    <row r="52" spans="1:27" s="602" customFormat="1" ht="18" customHeight="1" x14ac:dyDescent="0.2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00"/>
      <c r="S52" s="600"/>
      <c r="T52" s="600"/>
      <c r="U52" s="600"/>
      <c r="V52" s="600"/>
    </row>
    <row r="53" spans="1:27" s="510" customFormat="1" ht="27.95" customHeight="1" x14ac:dyDescent="0.2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00"/>
      <c r="S53" s="600"/>
      <c r="T53" s="600"/>
      <c r="U53" s="600"/>
      <c r="V53" s="600"/>
    </row>
  </sheetData>
  <sheetProtection password="B39D" sheet="1" objects="1" scenarios="1" formatCells="0" formatColumns="0" formatRows="0" insertColumns="0" insertRows="0" insertHyperlinks="0"/>
  <mergeCells count="64">
    <mergeCell ref="W6:X6"/>
    <mergeCell ref="W7:X7"/>
    <mergeCell ref="W8:X8"/>
    <mergeCell ref="W9:X9"/>
    <mergeCell ref="O7:P7"/>
    <mergeCell ref="Q7:T7"/>
    <mergeCell ref="P8:T8"/>
    <mergeCell ref="F30:G30"/>
    <mergeCell ref="F27:G27"/>
    <mergeCell ref="F26:G26"/>
    <mergeCell ref="R27:S27"/>
    <mergeCell ref="R28:S28"/>
    <mergeCell ref="P27:Q27"/>
    <mergeCell ref="N27:O27"/>
    <mergeCell ref="N28:O28"/>
    <mergeCell ref="I27:M27"/>
    <mergeCell ref="F28:G28"/>
    <mergeCell ref="I30:M30"/>
    <mergeCell ref="P30:U30"/>
    <mergeCell ref="P29:Q29"/>
    <mergeCell ref="R29:S29"/>
    <mergeCell ref="N29:O29"/>
    <mergeCell ref="N30:O30"/>
    <mergeCell ref="A1:D5"/>
    <mergeCell ref="F18:G18"/>
    <mergeCell ref="E4:R4"/>
    <mergeCell ref="T27:U27"/>
    <mergeCell ref="S4:V4"/>
    <mergeCell ref="E5:V5"/>
    <mergeCell ref="F15:G15"/>
    <mergeCell ref="E1:V3"/>
    <mergeCell ref="A10:B10"/>
    <mergeCell ref="C11:G11"/>
    <mergeCell ref="C12:E12"/>
    <mergeCell ref="B11:B13"/>
    <mergeCell ref="F14:G14"/>
    <mergeCell ref="T29:U29"/>
    <mergeCell ref="F19:G19"/>
    <mergeCell ref="P28:Q28"/>
    <mergeCell ref="F12:G13"/>
    <mergeCell ref="F23:G23"/>
    <mergeCell ref="F24:G24"/>
    <mergeCell ref="F25:G25"/>
    <mergeCell ref="I28:M28"/>
    <mergeCell ref="T28:U28"/>
    <mergeCell ref="F29:G29"/>
    <mergeCell ref="I29:M29"/>
    <mergeCell ref="F21:G21"/>
    <mergeCell ref="F22:G22"/>
    <mergeCell ref="F16:G16"/>
    <mergeCell ref="F17:G17"/>
    <mergeCell ref="F20:G20"/>
    <mergeCell ref="B37:E37"/>
    <mergeCell ref="A44:V44"/>
    <mergeCell ref="A45:V45"/>
    <mergeCell ref="A46:V47"/>
    <mergeCell ref="A31:B31"/>
    <mergeCell ref="C32:R32"/>
    <mergeCell ref="O33:R33"/>
    <mergeCell ref="O34:R34"/>
    <mergeCell ref="C33:N33"/>
    <mergeCell ref="C34:N34"/>
    <mergeCell ref="B39:D39"/>
    <mergeCell ref="A35:D35"/>
  </mergeCells>
  <printOptions horizontalCentered="1"/>
  <pageMargins left="0.59055118110236227" right="0.39370078740157483" top="0.59055118110236227" bottom="0.59055118110236227" header="0" footer="0.19685039370078741"/>
  <pageSetup orientation="portrait" r:id="rId1"/>
  <headerFooter scaleWithDoc="0">
    <oddFooter>&amp;L&amp;6Calle 26 No.69-76 Edificio Elemento Torre 1, Piso 3 – C.P. 111071
PBX: 3779555 – Información: Línea 195
Sede Operativa - Atención al Ciudadano: Calle 22D No. 120-40
www.umv.gov.co&amp;C&amp;6Página 1 de 1</oddFooter>
  </headerFooter>
  <ignoredErrors>
    <ignoredError sqref="F14:G29 F3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28" workbookViewId="0">
      <selection activeCell="E31" sqref="E31"/>
    </sheetView>
  </sheetViews>
  <sheetFormatPr baseColWidth="10" defaultRowHeight="12.75" x14ac:dyDescent="0.2"/>
  <cols>
    <col min="1" max="2" width="21.7109375" customWidth="1"/>
    <col min="3" max="3" width="22.7109375" customWidth="1"/>
  </cols>
  <sheetData>
    <row r="1" spans="1:5" x14ac:dyDescent="0.2">
      <c r="A1" s="1163" t="s">
        <v>356</v>
      </c>
      <c r="B1" s="1163"/>
      <c r="C1" s="1163"/>
    </row>
    <row r="2" spans="1:5" x14ac:dyDescent="0.2">
      <c r="A2" s="550" t="s">
        <v>344</v>
      </c>
      <c r="B2" s="550" t="s">
        <v>355</v>
      </c>
      <c r="C2" s="550" t="s">
        <v>345</v>
      </c>
    </row>
    <row r="3" spans="1:5" ht="39.950000000000003" customHeight="1" x14ac:dyDescent="0.2">
      <c r="A3" s="520" t="s">
        <v>321</v>
      </c>
      <c r="B3" s="562" t="s">
        <v>168</v>
      </c>
      <c r="C3" s="554">
        <v>2</v>
      </c>
      <c r="D3" s="520"/>
      <c r="E3" s="562"/>
    </row>
    <row r="4" spans="1:5" ht="39.950000000000003" customHeight="1" x14ac:dyDescent="0.2">
      <c r="A4" s="520" t="s">
        <v>322</v>
      </c>
      <c r="B4" s="553" t="s">
        <v>168</v>
      </c>
      <c r="C4" s="554">
        <v>3</v>
      </c>
      <c r="D4" s="520"/>
      <c r="E4" s="553"/>
    </row>
    <row r="5" spans="1:5" ht="39.950000000000003" customHeight="1" x14ac:dyDescent="0.2">
      <c r="A5" s="520" t="s">
        <v>323</v>
      </c>
      <c r="B5" s="553" t="s">
        <v>168</v>
      </c>
      <c r="C5" s="554">
        <v>7</v>
      </c>
      <c r="D5" s="520"/>
      <c r="E5" s="553"/>
    </row>
    <row r="6" spans="1:5" ht="39.950000000000003" customHeight="1" x14ac:dyDescent="0.25">
      <c r="A6" s="520" t="s">
        <v>324</v>
      </c>
      <c r="B6" s="553" t="s">
        <v>168</v>
      </c>
      <c r="C6" s="555"/>
      <c r="D6" s="520"/>
      <c r="E6" s="553"/>
    </row>
    <row r="7" spans="1:5" ht="39.950000000000003" customHeight="1" x14ac:dyDescent="0.2">
      <c r="A7" s="520" t="s">
        <v>325</v>
      </c>
      <c r="B7" s="553" t="s">
        <v>168</v>
      </c>
      <c r="C7" s="554">
        <v>6</v>
      </c>
      <c r="D7" s="520"/>
      <c r="E7" s="553"/>
    </row>
    <row r="8" spans="1:5" ht="39.950000000000003" customHeight="1" x14ac:dyDescent="0.2">
      <c r="A8" s="520" t="s">
        <v>326</v>
      </c>
      <c r="B8" s="553" t="s">
        <v>168</v>
      </c>
      <c r="C8" s="554">
        <v>4</v>
      </c>
      <c r="D8" s="520"/>
      <c r="E8" s="553"/>
    </row>
    <row r="9" spans="1:5" ht="39.950000000000003" customHeight="1" x14ac:dyDescent="0.2">
      <c r="A9" s="520" t="s">
        <v>327</v>
      </c>
      <c r="B9" s="553" t="s">
        <v>168</v>
      </c>
      <c r="C9" s="554">
        <v>8</v>
      </c>
      <c r="D9" s="520"/>
      <c r="E9" s="553"/>
    </row>
    <row r="10" spans="1:5" ht="39.950000000000003" customHeight="1" x14ac:dyDescent="0.2">
      <c r="A10" s="520" t="s">
        <v>328</v>
      </c>
      <c r="B10" s="553" t="s">
        <v>168</v>
      </c>
      <c r="C10" s="556"/>
      <c r="D10" s="520"/>
      <c r="E10" s="553"/>
    </row>
    <row r="11" spans="1:5" ht="39.950000000000003" customHeight="1" x14ac:dyDescent="0.2">
      <c r="A11" s="520" t="s">
        <v>330</v>
      </c>
      <c r="B11" s="553" t="s">
        <v>168</v>
      </c>
      <c r="C11" s="554">
        <v>9</v>
      </c>
      <c r="D11" s="520"/>
      <c r="E11" s="553"/>
    </row>
    <row r="12" spans="1:5" ht="39.950000000000003" customHeight="1" x14ac:dyDescent="0.2">
      <c r="A12" s="520" t="s">
        <v>331</v>
      </c>
      <c r="B12" s="553" t="s">
        <v>168</v>
      </c>
      <c r="C12" s="556"/>
      <c r="D12" s="520"/>
      <c r="E12" s="553"/>
    </row>
    <row r="13" spans="1:5" ht="39.950000000000003" customHeight="1" x14ac:dyDescent="0.2">
      <c r="A13" s="520" t="s">
        <v>329</v>
      </c>
      <c r="B13" s="553" t="s">
        <v>333</v>
      </c>
      <c r="C13" s="554">
        <v>1</v>
      </c>
      <c r="D13" s="520"/>
      <c r="E13" s="553"/>
    </row>
    <row r="14" spans="1:5" ht="39.950000000000003" customHeight="1" x14ac:dyDescent="0.2">
      <c r="A14" s="520" t="s">
        <v>360</v>
      </c>
      <c r="B14" s="553" t="s">
        <v>357</v>
      </c>
      <c r="C14" s="554"/>
      <c r="D14" s="520"/>
      <c r="E14" s="553"/>
    </row>
    <row r="15" spans="1:5" ht="39.950000000000003" customHeight="1" x14ac:dyDescent="0.2">
      <c r="A15" s="519" t="s">
        <v>346</v>
      </c>
      <c r="B15" s="553" t="s">
        <v>357</v>
      </c>
      <c r="C15" s="557"/>
      <c r="D15" s="519"/>
      <c r="E15" s="553"/>
    </row>
    <row r="16" spans="1:5" ht="39.950000000000003" customHeight="1" x14ac:dyDescent="0.2">
      <c r="A16" s="519" t="s">
        <v>347</v>
      </c>
      <c r="B16" s="553" t="s">
        <v>357</v>
      </c>
      <c r="C16" s="554"/>
      <c r="D16" s="519"/>
      <c r="E16" s="553"/>
    </row>
    <row r="17" spans="1:5" ht="39.950000000000003" customHeight="1" x14ac:dyDescent="0.2">
      <c r="A17" s="519" t="s">
        <v>348</v>
      </c>
      <c r="B17" s="553" t="s">
        <v>357</v>
      </c>
      <c r="C17" s="554"/>
      <c r="D17" s="519"/>
      <c r="E17" s="553"/>
    </row>
    <row r="18" spans="1:5" ht="39.950000000000003" customHeight="1" x14ac:dyDescent="0.2">
      <c r="A18" s="520" t="s">
        <v>353</v>
      </c>
      <c r="B18" s="553" t="s">
        <v>357</v>
      </c>
      <c r="C18" s="556"/>
      <c r="D18" s="520"/>
      <c r="E18" s="553"/>
    </row>
    <row r="19" spans="1:5" ht="39.950000000000003" customHeight="1" x14ac:dyDescent="0.2">
      <c r="A19" s="519" t="s">
        <v>349</v>
      </c>
      <c r="B19" s="553" t="s">
        <v>357</v>
      </c>
      <c r="C19" s="554"/>
      <c r="D19" s="519"/>
      <c r="E19" s="553"/>
    </row>
    <row r="20" spans="1:5" ht="39.950000000000003" customHeight="1" x14ac:dyDescent="0.2">
      <c r="A20" s="519" t="s">
        <v>359</v>
      </c>
      <c r="B20" s="553" t="s">
        <v>357</v>
      </c>
      <c r="C20" s="554"/>
      <c r="D20" s="519"/>
      <c r="E20" s="553"/>
    </row>
    <row r="21" spans="1:5" ht="39.950000000000003" customHeight="1" x14ac:dyDescent="0.2">
      <c r="A21" s="519" t="s">
        <v>361</v>
      </c>
      <c r="B21" s="553" t="s">
        <v>357</v>
      </c>
      <c r="C21" s="554"/>
      <c r="D21" s="519"/>
      <c r="E21" s="553"/>
    </row>
    <row r="22" spans="1:5" ht="39.950000000000003" customHeight="1" x14ac:dyDescent="0.2">
      <c r="A22" s="519" t="s">
        <v>358</v>
      </c>
      <c r="B22" s="553" t="s">
        <v>357</v>
      </c>
      <c r="C22" s="554"/>
      <c r="D22" s="519"/>
      <c r="E22" s="553"/>
    </row>
    <row r="23" spans="1:5" ht="39.950000000000003" customHeight="1" x14ac:dyDescent="0.2">
      <c r="A23" s="520" t="s">
        <v>352</v>
      </c>
      <c r="B23" s="553" t="s">
        <v>357</v>
      </c>
      <c r="C23" s="556"/>
      <c r="D23" s="520"/>
      <c r="E23" s="553"/>
    </row>
    <row r="24" spans="1:5" ht="39.950000000000003" customHeight="1" x14ac:dyDescent="0.2">
      <c r="A24" s="520" t="s">
        <v>354</v>
      </c>
      <c r="B24" s="553" t="s">
        <v>357</v>
      </c>
      <c r="C24" s="556"/>
      <c r="D24" s="520"/>
      <c r="E24" s="553"/>
    </row>
    <row r="25" spans="1:5" ht="39.950000000000003" customHeight="1" x14ac:dyDescent="0.2">
      <c r="A25" s="520" t="s">
        <v>350</v>
      </c>
      <c r="B25" s="553" t="s">
        <v>357</v>
      </c>
      <c r="C25" s="556"/>
      <c r="D25" s="520"/>
      <c r="E25" s="553"/>
    </row>
    <row r="26" spans="1:5" ht="39.950000000000003" customHeight="1" x14ac:dyDescent="0.2">
      <c r="A26" s="519" t="s">
        <v>351</v>
      </c>
      <c r="B26" s="553" t="s">
        <v>357</v>
      </c>
      <c r="C26" s="554"/>
      <c r="D26" s="519"/>
      <c r="E26" s="553"/>
    </row>
    <row r="27" spans="1:5" ht="39.950000000000003" customHeight="1" x14ac:dyDescent="0.2">
      <c r="A27" s="560" t="s">
        <v>363</v>
      </c>
      <c r="B27" s="558"/>
      <c r="C27" s="554"/>
    </row>
    <row r="28" spans="1:5" ht="39.950000000000003" customHeight="1" x14ac:dyDescent="0.2">
      <c r="A28" s="1164" t="s">
        <v>332</v>
      </c>
      <c r="B28" s="1165"/>
      <c r="C28" s="1166"/>
    </row>
    <row r="29" spans="1:5" ht="39.950000000000003" customHeight="1" x14ac:dyDescent="0.2">
      <c r="A29" s="520" t="s">
        <v>329</v>
      </c>
      <c r="B29" s="553" t="s">
        <v>398</v>
      </c>
      <c r="C29" s="554">
        <v>1</v>
      </c>
      <c r="D29" s="556"/>
    </row>
    <row r="30" spans="1:5" ht="39.950000000000003" customHeight="1" x14ac:dyDescent="0.25">
      <c r="A30" s="626" t="s">
        <v>399</v>
      </c>
      <c r="B30" s="627" t="s">
        <v>400</v>
      </c>
      <c r="C30" s="628"/>
      <c r="D30" s="556"/>
    </row>
    <row r="31" spans="1:5" ht="39.950000000000003" customHeight="1" x14ac:dyDescent="0.2">
      <c r="A31" s="642" t="s">
        <v>363</v>
      </c>
      <c r="B31" s="559"/>
      <c r="C31" s="554"/>
      <c r="D31" s="556"/>
    </row>
    <row r="32" spans="1:5" ht="39.950000000000003" customHeight="1" x14ac:dyDescent="0.2">
      <c r="A32" s="1167" t="s">
        <v>335</v>
      </c>
      <c r="B32" s="1168"/>
      <c r="C32" s="1169"/>
    </row>
    <row r="33" spans="1:3" ht="39.950000000000003" customHeight="1" x14ac:dyDescent="0.25">
      <c r="A33" s="626" t="s">
        <v>394</v>
      </c>
      <c r="B33" s="627" t="s">
        <v>395</v>
      </c>
      <c r="C33" s="628"/>
    </row>
    <row r="34" spans="1:3" ht="39.950000000000003" customHeight="1" x14ac:dyDescent="0.2">
      <c r="A34" s="520" t="s">
        <v>396</v>
      </c>
      <c r="B34" s="553" t="s">
        <v>397</v>
      </c>
      <c r="C34" s="556"/>
    </row>
    <row r="35" spans="1:3" ht="39.950000000000003" customHeight="1" x14ac:dyDescent="0.2">
      <c r="A35" s="561" t="s">
        <v>363</v>
      </c>
      <c r="B35" s="454"/>
      <c r="C35" s="556"/>
    </row>
  </sheetData>
  <mergeCells count="3">
    <mergeCell ref="A1:C1"/>
    <mergeCell ref="A28:C28"/>
    <mergeCell ref="A32:C3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" sqref="F1:F104857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indexed="50"/>
  </sheetPr>
  <dimension ref="A1:AW775"/>
  <sheetViews>
    <sheetView showGridLines="0" view="pageBreakPreview" zoomScaleNormal="75" zoomScaleSheetLayoutView="100" workbookViewId="0">
      <selection activeCell="E51" sqref="E51"/>
    </sheetView>
  </sheetViews>
  <sheetFormatPr baseColWidth="10" defaultRowHeight="12.75" x14ac:dyDescent="0.2"/>
  <cols>
    <col min="1" max="1" width="12.7109375" style="7" customWidth="1"/>
    <col min="2" max="2" width="6.140625" style="7" customWidth="1"/>
    <col min="3" max="3" width="8.5703125" style="7" customWidth="1"/>
    <col min="4" max="9" width="9.28515625" style="7" customWidth="1"/>
    <col min="10" max="10" width="13" style="7" customWidth="1"/>
    <col min="11" max="11" width="11.28515625" style="7" customWidth="1"/>
    <col min="12" max="13" width="10.5703125" style="7" customWidth="1"/>
    <col min="14" max="14" width="8" style="6" customWidth="1"/>
    <col min="15" max="15" width="12.42578125" style="11" bestFit="1" customWidth="1"/>
    <col min="16" max="16" width="12.5703125" style="11" bestFit="1" customWidth="1"/>
    <col min="17" max="18" width="10" style="11" bestFit="1" customWidth="1"/>
    <col min="19" max="19" width="11.42578125" style="11" customWidth="1"/>
    <col min="20" max="20" width="11.7109375" style="11" customWidth="1"/>
    <col min="21" max="22" width="7.42578125" style="11" customWidth="1"/>
    <col min="23" max="23" width="7.85546875" style="6" customWidth="1"/>
    <col min="24" max="24" width="9.28515625" style="6" customWidth="1"/>
    <col min="25" max="25" width="9.28515625" style="6" bestFit="1" customWidth="1"/>
    <col min="26" max="26" width="8.140625" style="6" bestFit="1" customWidth="1"/>
    <col min="27" max="29" width="6.140625" style="6" customWidth="1"/>
    <col min="30" max="30" width="11.42578125" style="7"/>
    <col min="31" max="31" width="9.28515625" style="7" customWidth="1"/>
    <col min="32" max="32" width="7.5703125" style="7" customWidth="1"/>
    <col min="33" max="33" width="7.42578125" style="7" customWidth="1"/>
    <col min="34" max="34" width="5.28515625" style="7" customWidth="1"/>
    <col min="35" max="35" width="6.28515625" style="7" customWidth="1"/>
    <col min="36" max="48" width="5.42578125" style="7" customWidth="1"/>
    <col min="49" max="16384" width="11.42578125" style="7"/>
  </cols>
  <sheetData>
    <row r="1" spans="1:38" ht="15" customHeight="1" x14ac:dyDescent="0.2">
      <c r="A1" s="1205"/>
      <c r="B1" s="1206"/>
      <c r="C1" s="1180" t="s">
        <v>124</v>
      </c>
      <c r="D1" s="1181"/>
      <c r="E1" s="1181"/>
      <c r="F1" s="1181"/>
      <c r="G1" s="1181"/>
      <c r="H1" s="1181"/>
      <c r="I1" s="1182"/>
      <c r="J1" s="3" t="s">
        <v>36</v>
      </c>
      <c r="K1" s="1201"/>
      <c r="L1" s="1202"/>
      <c r="M1" s="210"/>
      <c r="N1" s="4"/>
      <c r="O1" s="1199" t="s">
        <v>38</v>
      </c>
      <c r="P1" s="1199"/>
      <c r="Q1" s="1199" t="s">
        <v>39</v>
      </c>
      <c r="R1" s="1199"/>
      <c r="S1" s="1199" t="s">
        <v>40</v>
      </c>
      <c r="T1" s="1199"/>
      <c r="U1" s="5"/>
      <c r="V1" s="130"/>
      <c r="W1" s="113"/>
      <c r="X1" s="113"/>
      <c r="Y1" s="113"/>
      <c r="Z1" s="113"/>
      <c r="AA1" s="113" t="s">
        <v>53</v>
      </c>
      <c r="AB1" s="113" t="s">
        <v>54</v>
      </c>
    </row>
    <row r="2" spans="1:38" ht="15" customHeight="1" x14ac:dyDescent="0.2">
      <c r="A2" s="1207"/>
      <c r="B2" s="1208"/>
      <c r="C2" s="1183"/>
      <c r="D2" s="1184"/>
      <c r="E2" s="1184"/>
      <c r="F2" s="1184"/>
      <c r="G2" s="1184"/>
      <c r="H2" s="1184"/>
      <c r="I2" s="1185"/>
      <c r="J2" s="8" t="s">
        <v>51</v>
      </c>
      <c r="K2" s="1201"/>
      <c r="L2" s="1202"/>
      <c r="M2" s="210"/>
      <c r="N2" s="9"/>
      <c r="O2" s="10" t="s">
        <v>41</v>
      </c>
      <c r="P2" s="10" t="s">
        <v>42</v>
      </c>
      <c r="Q2" s="10" t="s">
        <v>41</v>
      </c>
      <c r="R2" s="10" t="s">
        <v>42</v>
      </c>
      <c r="S2" s="10" t="s">
        <v>41</v>
      </c>
      <c r="T2" s="10" t="s">
        <v>42</v>
      </c>
      <c r="V2" s="117">
        <v>0.5</v>
      </c>
      <c r="W2" s="118">
        <v>12.5</v>
      </c>
      <c r="X2" s="119">
        <f>LOG(D17)</f>
        <v>1.2787536009528289</v>
      </c>
      <c r="Y2" s="120" t="e">
        <f>D20</f>
        <v>#REF!</v>
      </c>
      <c r="Z2" s="121" t="e">
        <f>INTERCEPT(Y2:Y3,X2:X3)</f>
        <v>#REF!</v>
      </c>
      <c r="AA2" s="131"/>
      <c r="AB2" s="123"/>
    </row>
    <row r="3" spans="1:38" ht="15" customHeight="1" x14ac:dyDescent="0.2">
      <c r="A3" s="1207"/>
      <c r="B3" s="1208"/>
      <c r="C3" s="1183"/>
      <c r="D3" s="1184"/>
      <c r="E3" s="1184"/>
      <c r="F3" s="1184"/>
      <c r="G3" s="1184"/>
      <c r="H3" s="1184"/>
      <c r="I3" s="1185"/>
      <c r="J3" s="1211" t="s">
        <v>104</v>
      </c>
      <c r="K3" s="1213"/>
      <c r="L3" s="1214"/>
      <c r="M3" s="211"/>
      <c r="N3" s="9"/>
      <c r="O3" s="12">
        <f>J17</f>
        <v>0.18</v>
      </c>
      <c r="P3" s="13" t="e">
        <f>J20</f>
        <v>#REF!</v>
      </c>
      <c r="Q3" s="14">
        <f>H17</f>
        <v>2</v>
      </c>
      <c r="R3" s="13" t="e">
        <f>H20</f>
        <v>#REF!</v>
      </c>
      <c r="S3" s="13">
        <f>G17</f>
        <v>4.75</v>
      </c>
      <c r="T3" s="13" t="e">
        <f>G20</f>
        <v>#REF!</v>
      </c>
      <c r="V3" s="124"/>
      <c r="W3" s="125"/>
      <c r="X3" s="126">
        <f>LOG(E17)</f>
        <v>1.0969100130080565</v>
      </c>
      <c r="Y3" s="127" t="e">
        <f>E20</f>
        <v>#REF!</v>
      </c>
      <c r="Z3" s="128" t="e">
        <f>SLOPE(Y2:Y3,X2:X3)</f>
        <v>#REF!</v>
      </c>
      <c r="AA3" s="126" t="e">
        <f>((LOG10(W2))*Z3)+Z2</f>
        <v>#REF!</v>
      </c>
      <c r="AB3" s="129" t="e">
        <f>D20-AA3</f>
        <v>#REF!</v>
      </c>
    </row>
    <row r="4" spans="1:38" ht="15" customHeight="1" x14ac:dyDescent="0.2">
      <c r="A4" s="1209"/>
      <c r="B4" s="1210"/>
      <c r="C4" s="1186"/>
      <c r="D4" s="1187"/>
      <c r="E4" s="1187"/>
      <c r="F4" s="1187"/>
      <c r="G4" s="1187"/>
      <c r="H4" s="1187"/>
      <c r="I4" s="1188"/>
      <c r="J4" s="1212"/>
      <c r="K4" s="1215"/>
      <c r="L4" s="1216"/>
      <c r="M4" s="211"/>
      <c r="N4" s="9"/>
      <c r="O4" s="12">
        <f>K17</f>
        <v>7.4999999999999997E-2</v>
      </c>
      <c r="P4" s="13" t="e">
        <f>K20</f>
        <v>#REF!</v>
      </c>
      <c r="Q4" s="12">
        <f>I17</f>
        <v>0.42499999999999999</v>
      </c>
      <c r="R4" s="13" t="e">
        <f>I20</f>
        <v>#REF!</v>
      </c>
      <c r="S4" s="13">
        <f>H17</f>
        <v>2</v>
      </c>
      <c r="T4" s="13" t="e">
        <f>H20</f>
        <v>#REF!</v>
      </c>
      <c r="V4" s="117">
        <v>0.25</v>
      </c>
      <c r="W4" s="118">
        <v>6.35</v>
      </c>
      <c r="X4" s="119">
        <f>LOG(F17)</f>
        <v>0.97772360528884772</v>
      </c>
      <c r="Y4" s="120" t="e">
        <f>F20</f>
        <v>#REF!</v>
      </c>
      <c r="Z4" s="121" t="e">
        <f>INTERCEPT(Y4:Y5,X4:X5)</f>
        <v>#REF!</v>
      </c>
      <c r="AA4" s="131"/>
      <c r="AB4" s="123"/>
      <c r="AE4" s="6"/>
      <c r="AF4" s="6"/>
      <c r="AG4" s="6"/>
      <c r="AH4" s="6"/>
      <c r="AI4" s="6"/>
      <c r="AJ4" s="6"/>
      <c r="AK4" s="6"/>
      <c r="AL4" s="6"/>
    </row>
    <row r="5" spans="1:38" ht="18" customHeight="1" x14ac:dyDescent="0.25">
      <c r="A5" s="1193" t="s">
        <v>0</v>
      </c>
      <c r="B5" s="1193"/>
      <c r="C5" s="1" t="s">
        <v>107</v>
      </c>
      <c r="D5" s="15"/>
      <c r="E5" s="15"/>
      <c r="F5" s="15"/>
      <c r="G5" s="16"/>
      <c r="H5" s="82" t="s">
        <v>94</v>
      </c>
      <c r="I5" s="223" t="e">
        <f>VLOOKUP(L8,#REF!,7,0)</f>
        <v>#REF!</v>
      </c>
      <c r="J5" s="82" t="s">
        <v>8</v>
      </c>
      <c r="K5" s="1217"/>
      <c r="L5" s="1217"/>
      <c r="M5" s="2"/>
      <c r="N5" s="9"/>
      <c r="O5" s="19"/>
      <c r="P5" s="19" t="e">
        <f>O3-(((O3-O4)*(P3-10))/(P3-P4))</f>
        <v>#REF!</v>
      </c>
      <c r="Q5" s="19"/>
      <c r="R5" s="19" t="e">
        <f>Q3-(((Q3-Q4)*(R3-30))/(R3-R4))</f>
        <v>#REF!</v>
      </c>
      <c r="S5" s="19"/>
      <c r="T5" s="19" t="e">
        <f>S3-(((S3-S4)*(T3-60))/(T3-T4))</f>
        <v>#REF!</v>
      </c>
      <c r="V5" s="124"/>
      <c r="W5" s="125"/>
      <c r="X5" s="126">
        <f>LOG(G17)</f>
        <v>0.67669360962486658</v>
      </c>
      <c r="Y5" s="127" t="e">
        <f>G20</f>
        <v>#REF!</v>
      </c>
      <c r="Z5" s="128" t="e">
        <f>SLOPE(Y4:Y5,X4:X5)</f>
        <v>#REF!</v>
      </c>
      <c r="AA5" s="126" t="e">
        <f>((LOG10(W4))*Z5)+Z4</f>
        <v>#REF!</v>
      </c>
      <c r="AB5" s="129" t="e">
        <f>F20-AA5</f>
        <v>#REF!</v>
      </c>
    </row>
    <row r="6" spans="1:38" ht="18" customHeight="1" x14ac:dyDescent="0.25">
      <c r="A6" s="1192" t="s">
        <v>26</v>
      </c>
      <c r="B6" s="1192"/>
      <c r="C6" s="221" t="e">
        <f>VLOOKUP(L8,#REF!,4,0)</f>
        <v>#REF!</v>
      </c>
      <c r="D6" s="222"/>
      <c r="E6" s="222"/>
      <c r="F6" s="16"/>
      <c r="G6" s="16"/>
      <c r="H6" s="20" t="s">
        <v>95</v>
      </c>
      <c r="I6" s="215" t="e">
        <f>VLOOKUP(L8,#REF!,5,0)</f>
        <v>#REF!</v>
      </c>
      <c r="J6" s="16" t="s">
        <v>108</v>
      </c>
      <c r="K6" s="16"/>
      <c r="L6" s="112"/>
      <c r="M6" s="212"/>
      <c r="N6" s="9"/>
      <c r="O6" s="193">
        <f>L8</f>
        <v>1102131</v>
      </c>
      <c r="P6" s="192" t="e">
        <f>MONTH(L7)</f>
        <v>#REF!</v>
      </c>
      <c r="Q6" s="192" t="e">
        <f>DAY(L7)</f>
        <v>#REF!</v>
      </c>
      <c r="R6" s="192" t="e">
        <f>YEAR(L7)</f>
        <v>#REF!</v>
      </c>
      <c r="S6" s="19"/>
      <c r="T6" s="19"/>
      <c r="V6" s="117">
        <v>8</v>
      </c>
      <c r="W6" s="118">
        <v>2.38</v>
      </c>
      <c r="X6" s="119">
        <f>LOG(G17)</f>
        <v>0.67669360962486658</v>
      </c>
      <c r="Y6" s="120" t="e">
        <f>G20</f>
        <v>#REF!</v>
      </c>
      <c r="Z6" s="121" t="e">
        <f>INTERCEPT(Y6:Y7,X6:X7)</f>
        <v>#REF!</v>
      </c>
      <c r="AA6" s="122"/>
      <c r="AB6" s="123"/>
    </row>
    <row r="7" spans="1:38" ht="18" customHeight="1" x14ac:dyDescent="0.25">
      <c r="A7" s="1192" t="s">
        <v>9</v>
      </c>
      <c r="B7" s="1192"/>
      <c r="C7" s="74" t="s">
        <v>93</v>
      </c>
      <c r="D7" s="1"/>
      <c r="E7" s="21"/>
      <c r="F7" s="15"/>
      <c r="G7" s="1"/>
      <c r="H7" s="16"/>
      <c r="I7" s="17"/>
      <c r="J7" s="205" t="s">
        <v>109</v>
      </c>
      <c r="K7" s="16"/>
      <c r="L7" s="217" t="e">
        <f>VLOOKUP(L8,#REF!,2)</f>
        <v>#REF!</v>
      </c>
      <c r="M7" s="2"/>
      <c r="N7" s="9"/>
      <c r="O7" s="191"/>
      <c r="P7" s="19"/>
      <c r="Q7" s="19"/>
      <c r="R7" s="19"/>
      <c r="S7" s="19"/>
      <c r="T7" s="19"/>
      <c r="V7" s="124"/>
      <c r="W7" s="125"/>
      <c r="X7" s="126">
        <f>LOG(H17)</f>
        <v>0.3010299956639812</v>
      </c>
      <c r="Y7" s="127" t="e">
        <f>H20</f>
        <v>#REF!</v>
      </c>
      <c r="Z7" s="128" t="e">
        <f>SLOPE(Y6:Y7,X6:X7)</f>
        <v>#REF!</v>
      </c>
      <c r="AA7" s="126" t="e">
        <f>((LOG10(W6))*Z7)+Z6</f>
        <v>#REF!</v>
      </c>
      <c r="AB7" s="129" t="e">
        <f>G20-AA7</f>
        <v>#REF!</v>
      </c>
      <c r="AE7" s="6"/>
      <c r="AF7" s="6"/>
      <c r="AG7" s="6"/>
      <c r="AH7" s="6"/>
      <c r="AI7" s="6"/>
      <c r="AJ7" s="6"/>
      <c r="AK7" s="6"/>
      <c r="AL7" s="6"/>
    </row>
    <row r="8" spans="1:38" ht="18" customHeight="1" x14ac:dyDescent="0.25">
      <c r="A8" s="1194" t="s">
        <v>37</v>
      </c>
      <c r="B8" s="1194"/>
      <c r="C8" s="1"/>
      <c r="D8" s="1"/>
      <c r="E8" s="220"/>
      <c r="F8" s="219"/>
      <c r="G8" s="219"/>
      <c r="H8" s="23"/>
      <c r="I8" s="24"/>
      <c r="J8" s="1196" t="s">
        <v>20</v>
      </c>
      <c r="K8" s="1196"/>
      <c r="L8" s="218">
        <v>1102131</v>
      </c>
      <c r="M8" s="24"/>
      <c r="N8" s="9"/>
      <c r="O8" s="25" t="s">
        <v>43</v>
      </c>
      <c r="P8" s="26" t="e">
        <f>R5^2/(T5*P5)</f>
        <v>#REF!</v>
      </c>
      <c r="Q8" s="25"/>
      <c r="R8" s="25" t="e">
        <f>IF(P8&gt;1,IF(P8&lt;3,"si","no"),"no")</f>
        <v>#REF!</v>
      </c>
      <c r="S8" s="25"/>
      <c r="T8" s="25"/>
      <c r="V8" s="117">
        <v>16</v>
      </c>
      <c r="W8" s="118">
        <v>1.19</v>
      </c>
      <c r="X8" s="119">
        <f>LOG(H17)</f>
        <v>0.3010299956639812</v>
      </c>
      <c r="Y8" s="120" t="e">
        <f>H20</f>
        <v>#REF!</v>
      </c>
      <c r="Z8" s="121" t="e">
        <f>INTERCEPT(Y8:Y9,X8:X9)</f>
        <v>#REF!</v>
      </c>
      <c r="AA8" s="122"/>
      <c r="AB8" s="123"/>
    </row>
    <row r="9" spans="1:38" ht="14.45" customHeight="1" x14ac:dyDescent="0.25">
      <c r="A9" s="2"/>
      <c r="B9" s="2"/>
      <c r="C9" s="2"/>
      <c r="D9" s="2"/>
      <c r="E9" s="22"/>
      <c r="F9" s="219"/>
      <c r="G9" s="219"/>
      <c r="H9" s="23"/>
      <c r="I9" s="24"/>
      <c r="J9" s="24"/>
      <c r="K9" s="24"/>
      <c r="L9" s="24"/>
      <c r="M9" s="24"/>
      <c r="N9" s="9"/>
      <c r="O9" s="25" t="s">
        <v>44</v>
      </c>
      <c r="P9" s="26" t="e">
        <f>T5/P5</f>
        <v>#REF!</v>
      </c>
      <c r="Q9" s="25"/>
      <c r="R9" s="25" t="e">
        <f>IF(P9&gt;4,IF(P9&gt;6,"si","no"),"no")</f>
        <v>#REF!</v>
      </c>
      <c r="S9" s="25"/>
      <c r="T9" s="25"/>
      <c r="V9" s="124"/>
      <c r="W9" s="125"/>
      <c r="X9" s="126">
        <f>LOG(I17)</f>
        <v>-0.37161106994968846</v>
      </c>
      <c r="Y9" s="127" t="e">
        <f>I20</f>
        <v>#REF!</v>
      </c>
      <c r="Z9" s="128" t="e">
        <f>SLOPE(Y8:Y9,X8:X9)</f>
        <v>#REF!</v>
      </c>
      <c r="AA9" s="126" t="e">
        <f>((LOG10(W8))*Z9)+Z8</f>
        <v>#REF!</v>
      </c>
      <c r="AB9" s="129" t="e">
        <f>AA7-AA9</f>
        <v>#REF!</v>
      </c>
    </row>
    <row r="10" spans="1:38" ht="18" customHeight="1" x14ac:dyDescent="0.2">
      <c r="A10" s="1176" t="s">
        <v>111</v>
      </c>
      <c r="B10" s="1203"/>
      <c r="C10" s="1203"/>
      <c r="D10" s="1203"/>
      <c r="E10" s="1203"/>
      <c r="F10" s="1203"/>
      <c r="G10" s="1203"/>
      <c r="H10" s="1203"/>
      <c r="I10" s="1203"/>
      <c r="J10" s="1203"/>
      <c r="K10" s="1203"/>
      <c r="L10" s="1204"/>
      <c r="M10" s="202"/>
      <c r="N10" s="9"/>
      <c r="O10" s="19"/>
      <c r="P10" s="19"/>
      <c r="Q10" s="19" t="e">
        <f>IF(G20&gt;50,"S","G")</f>
        <v>#REF!</v>
      </c>
      <c r="R10" s="19" t="e">
        <f>IF(R9="si",IF(R8="si","W","P"),"P")</f>
        <v>#REF!</v>
      </c>
      <c r="S10" s="19"/>
      <c r="T10" s="19"/>
      <c r="V10" s="117">
        <v>30</v>
      </c>
      <c r="W10" s="118">
        <v>0.59499999999999997</v>
      </c>
      <c r="X10" s="119">
        <f>LOG(H17)</f>
        <v>0.3010299956639812</v>
      </c>
      <c r="Y10" s="120" t="e">
        <f>H20</f>
        <v>#REF!</v>
      </c>
      <c r="Z10" s="121" t="e">
        <f>INTERCEPT(Y10:Y11,X10:X11)</f>
        <v>#REF!</v>
      </c>
      <c r="AA10" s="122"/>
      <c r="AB10" s="123"/>
    </row>
    <row r="11" spans="1:38" ht="33" customHeight="1" x14ac:dyDescent="0.2">
      <c r="A11" s="1197" t="s">
        <v>120</v>
      </c>
      <c r="B11" s="1198"/>
      <c r="C11" s="60" t="e">
        <f>VLOOKUP(L8,#REF!,11)</f>
        <v>#REF!</v>
      </c>
      <c r="D11" s="1197" t="s">
        <v>114</v>
      </c>
      <c r="E11" s="1198"/>
      <c r="F11" s="224">
        <v>0</v>
      </c>
      <c r="G11" s="1197" t="s">
        <v>121</v>
      </c>
      <c r="H11" s="1198"/>
      <c r="I11" s="60" t="e">
        <f>VLOOKUP(L8,#REF!,13)</f>
        <v>#REF!</v>
      </c>
      <c r="J11" s="1197" t="s">
        <v>122</v>
      </c>
      <c r="K11" s="1198"/>
      <c r="L11" s="225">
        <v>0</v>
      </c>
      <c r="M11" s="209"/>
      <c r="N11" s="28"/>
      <c r="O11" s="19"/>
      <c r="P11" s="19"/>
      <c r="Q11" s="19" t="e">
        <f>Q10&amp;R10</f>
        <v>#REF!</v>
      </c>
      <c r="R11" s="19"/>
      <c r="S11" s="19"/>
      <c r="T11" s="19"/>
      <c r="V11" s="124"/>
      <c r="W11" s="125"/>
      <c r="X11" s="126">
        <f>LOG(I17)</f>
        <v>-0.37161106994968846</v>
      </c>
      <c r="Y11" s="127" t="e">
        <f>I20</f>
        <v>#REF!</v>
      </c>
      <c r="Z11" s="128" t="e">
        <f>SLOPE(Y10:Y11,X10:X11)</f>
        <v>#REF!</v>
      </c>
      <c r="AA11" s="126" t="e">
        <f>((LOG10(W10))*Z11)+Z10</f>
        <v>#REF!</v>
      </c>
      <c r="AB11" s="129" t="e">
        <f>AA9-AA11</f>
        <v>#REF!</v>
      </c>
      <c r="AD11" s="29"/>
    </row>
    <row r="12" spans="1:38" ht="14.25" customHeight="1" x14ac:dyDescent="0.2">
      <c r="A12" s="216" t="s">
        <v>123</v>
      </c>
      <c r="B12" s="1219" t="s">
        <v>112</v>
      </c>
      <c r="C12" s="1219"/>
      <c r="D12" s="1219"/>
      <c r="E12" s="1219"/>
      <c r="F12" s="1195" t="s">
        <v>113</v>
      </c>
      <c r="G12" s="1195"/>
      <c r="H12" s="1195"/>
      <c r="I12" s="1218" t="e">
        <f>VLOOKUP(L8,#REF!,15,)</f>
        <v>#REF!</v>
      </c>
      <c r="J12" s="1218"/>
      <c r="K12" s="1173"/>
      <c r="L12" s="1173"/>
      <c r="M12" s="209"/>
      <c r="N12" s="28"/>
      <c r="P12" s="35"/>
      <c r="Q12" s="35"/>
      <c r="R12" s="35"/>
      <c r="S12" s="35"/>
      <c r="T12" s="35"/>
      <c r="V12" s="117">
        <v>50</v>
      </c>
      <c r="W12" s="118">
        <v>0.29699999999999999</v>
      </c>
      <c r="X12" s="119">
        <f>LOG(I17)</f>
        <v>-0.37161106994968846</v>
      </c>
      <c r="Y12" s="120" t="e">
        <f>I20</f>
        <v>#REF!</v>
      </c>
      <c r="Z12" s="121" t="e">
        <f>INTERCEPT(Y12:Y13,X12:X13)</f>
        <v>#REF!</v>
      </c>
      <c r="AA12" s="122"/>
      <c r="AB12" s="123"/>
      <c r="AC12" s="7"/>
    </row>
    <row r="13" spans="1:38" ht="18" customHeight="1" x14ac:dyDescent="0.2">
      <c r="A13" s="206"/>
      <c r="B13" s="110"/>
      <c r="C13" s="206"/>
      <c r="D13" s="206"/>
      <c r="E13" s="110"/>
      <c r="F13" s="206"/>
      <c r="G13" s="206"/>
      <c r="H13" s="110"/>
      <c r="I13" s="206"/>
      <c r="J13" s="207"/>
      <c r="K13" s="208"/>
      <c r="L13" s="209"/>
      <c r="M13" s="2"/>
      <c r="N13" s="28"/>
      <c r="P13" s="38" t="s">
        <v>45</v>
      </c>
      <c r="Q13" s="39" t="e">
        <f>100-G20</f>
        <v>#REF!</v>
      </c>
      <c r="R13" s="40"/>
      <c r="S13" s="41"/>
      <c r="T13" s="35"/>
      <c r="V13" s="124"/>
      <c r="W13" s="125"/>
      <c r="X13" s="126">
        <f>LOG(J17)</f>
        <v>-0.74472749489669399</v>
      </c>
      <c r="Y13" s="127" t="e">
        <f>J20</f>
        <v>#REF!</v>
      </c>
      <c r="Z13" s="128" t="e">
        <f>SLOPE(Y12:Y13,X12:X13)</f>
        <v>#REF!</v>
      </c>
      <c r="AA13" s="126" t="e">
        <f>((LOG10(W12))*Z13)+Z12</f>
        <v>#REF!</v>
      </c>
      <c r="AB13" s="129" t="e">
        <f>AA11-AA13</f>
        <v>#REF!</v>
      </c>
      <c r="AC13" s="7"/>
    </row>
    <row r="14" spans="1:38" ht="27.95" customHeight="1" x14ac:dyDescent="0.2">
      <c r="A14" s="1173" t="s">
        <v>110</v>
      </c>
      <c r="B14" s="1173"/>
      <c r="C14" s="1173"/>
      <c r="D14" s="1173"/>
      <c r="E14" s="1173"/>
      <c r="F14" s="1173"/>
      <c r="G14" s="1173"/>
      <c r="H14" s="1173"/>
      <c r="I14" s="1173"/>
      <c r="J14" s="1173"/>
      <c r="K14" s="1173"/>
      <c r="L14" s="1173"/>
      <c r="M14" s="204"/>
      <c r="N14" s="28"/>
      <c r="P14" s="42" t="s">
        <v>46</v>
      </c>
      <c r="Q14" s="43" t="e">
        <f>G20-K20</f>
        <v>#REF!</v>
      </c>
      <c r="V14" s="117">
        <v>100</v>
      </c>
      <c r="W14" s="118">
        <v>0.14899999999999999</v>
      </c>
      <c r="X14" s="119">
        <f>LOG(J17)</f>
        <v>-0.74472749489669399</v>
      </c>
      <c r="Y14" s="120" t="e">
        <f>J20</f>
        <v>#REF!</v>
      </c>
      <c r="Z14" s="121" t="e">
        <f>INTERCEPT(Y14:Y15,X14:X15)</f>
        <v>#REF!</v>
      </c>
      <c r="AA14" s="122"/>
      <c r="AB14" s="123"/>
      <c r="AC14" s="7"/>
    </row>
    <row r="15" spans="1:38" ht="13.5" customHeight="1" x14ac:dyDescent="0.2">
      <c r="A15" s="30" t="s">
        <v>10</v>
      </c>
      <c r="B15" s="31"/>
      <c r="C15" s="32"/>
      <c r="D15" s="32"/>
      <c r="E15" s="33" t="s">
        <v>14</v>
      </c>
      <c r="F15" s="1189" t="e">
        <f>I11</f>
        <v>#REF!</v>
      </c>
      <c r="G15" s="1190"/>
      <c r="H15" s="1191"/>
      <c r="I15" s="34" t="s">
        <v>15</v>
      </c>
      <c r="J15" s="1170"/>
      <c r="K15" s="1200"/>
      <c r="L15" s="1171"/>
      <c r="M15" s="213"/>
      <c r="N15" s="44"/>
      <c r="P15" s="42" t="s">
        <v>47</v>
      </c>
      <c r="Q15" s="45" t="e">
        <f>K20</f>
        <v>#REF!</v>
      </c>
      <c r="V15" s="132"/>
      <c r="W15" s="125"/>
      <c r="X15" s="126">
        <f>LOG(K17)</f>
        <v>-1.1249387366082999</v>
      </c>
      <c r="Y15" s="127" t="e">
        <f>K20</f>
        <v>#REF!</v>
      </c>
      <c r="Z15" s="128" t="e">
        <f>SLOPE(Y14:Y15,X14:X15)</f>
        <v>#REF!</v>
      </c>
      <c r="AA15" s="126" t="e">
        <f>((LOG10(W14))*Z15)+Z14</f>
        <v>#REF!</v>
      </c>
      <c r="AB15" s="129" t="e">
        <f>AA13-AA15</f>
        <v>#REF!</v>
      </c>
      <c r="AC15" s="7"/>
    </row>
    <row r="16" spans="1:38" ht="15.75" customHeight="1" x14ac:dyDescent="0.2">
      <c r="A16" s="36" t="s">
        <v>16</v>
      </c>
      <c r="B16" s="37"/>
      <c r="C16" s="230" t="s">
        <v>1</v>
      </c>
      <c r="D16" s="230" t="s">
        <v>2</v>
      </c>
      <c r="E16" s="225" t="s">
        <v>5</v>
      </c>
      <c r="F16" s="225" t="s">
        <v>3</v>
      </c>
      <c r="G16" s="225">
        <v>4</v>
      </c>
      <c r="H16" s="225">
        <v>10</v>
      </c>
      <c r="I16" s="225">
        <v>40</v>
      </c>
      <c r="J16" s="225">
        <v>80</v>
      </c>
      <c r="K16" s="225">
        <v>200</v>
      </c>
      <c r="L16" s="226" t="s">
        <v>12</v>
      </c>
      <c r="M16" s="2"/>
      <c r="N16" s="46"/>
      <c r="P16" s="47">
        <v>100</v>
      </c>
      <c r="Q16" s="5"/>
      <c r="V16" s="133"/>
      <c r="W16" s="134"/>
      <c r="X16" s="134"/>
      <c r="Y16" s="134"/>
      <c r="Z16" s="1227"/>
      <c r="AA16" s="1227"/>
      <c r="AB16" s="1227"/>
      <c r="AC16" s="7"/>
    </row>
    <row r="17" spans="1:39" ht="15.75" customHeight="1" x14ac:dyDescent="0.2">
      <c r="A17" s="36" t="s">
        <v>17</v>
      </c>
      <c r="B17" s="37"/>
      <c r="C17" s="231">
        <v>25</v>
      </c>
      <c r="D17" s="232">
        <v>19</v>
      </c>
      <c r="E17" s="232">
        <v>12.5</v>
      </c>
      <c r="F17" s="232">
        <v>9.5</v>
      </c>
      <c r="G17" s="232">
        <v>4.75</v>
      </c>
      <c r="H17" s="232">
        <v>2</v>
      </c>
      <c r="I17" s="232">
        <v>0.42499999999999999</v>
      </c>
      <c r="J17" s="232">
        <v>0.18</v>
      </c>
      <c r="K17" s="232">
        <v>7.4999999999999997E-2</v>
      </c>
      <c r="L17" s="233"/>
      <c r="M17" s="27"/>
      <c r="N17" s="28"/>
      <c r="P17" s="47">
        <v>89.640285822551832</v>
      </c>
      <c r="Q17" s="5"/>
      <c r="V17" s="135"/>
      <c r="W17" s="136"/>
      <c r="X17" s="136"/>
      <c r="Y17" s="137"/>
      <c r="Z17" s="137"/>
      <c r="AA17" s="137"/>
      <c r="AB17" s="137"/>
      <c r="AC17" s="7"/>
    </row>
    <row r="18" spans="1:39" ht="15.75" customHeight="1" x14ac:dyDescent="0.2">
      <c r="A18" s="36" t="s">
        <v>11</v>
      </c>
      <c r="B18" s="37"/>
      <c r="C18" s="234" t="e">
        <f>VLOOKUP(L8,#REF!,18)</f>
        <v>#REF!</v>
      </c>
      <c r="D18" s="235" t="e">
        <f>VLOOKUP(L8,#REF!,20)</f>
        <v>#REF!</v>
      </c>
      <c r="E18" s="235" t="e">
        <f>VLOOKUP(L8,#REF!,22)</f>
        <v>#REF!</v>
      </c>
      <c r="F18" s="235" t="e">
        <f>VLOOKUP(L8,#REF!,24)</f>
        <v>#REF!</v>
      </c>
      <c r="G18" s="235" t="e">
        <f>VLOOKUP(L8,#REF!,26)</f>
        <v>#REF!</v>
      </c>
      <c r="H18" s="235" t="e">
        <f>VLOOKUP(L8,#REF!,28)</f>
        <v>#REF!</v>
      </c>
      <c r="I18" s="235" t="e">
        <f>VLOOKUP(L8,#REF!,30)</f>
        <v>#REF!</v>
      </c>
      <c r="J18" s="235" t="e">
        <f>VLOOKUP(L8,#REF!,32)</f>
        <v>#REF!</v>
      </c>
      <c r="K18" s="235" t="e">
        <f>VLOOKUP(L8,#REF!,34)</f>
        <v>#REF!</v>
      </c>
      <c r="L18" s="235" t="e">
        <f>VLOOKUP(L8,#REF!,36)</f>
        <v>#REF!</v>
      </c>
      <c r="M18" s="27"/>
      <c r="N18" s="28"/>
      <c r="P18" s="47">
        <v>82.142857142857139</v>
      </c>
      <c r="Q18" s="5"/>
      <c r="V18" s="138"/>
      <c r="W18" s="137"/>
      <c r="X18" s="137"/>
      <c r="Y18" s="137"/>
      <c r="Z18" s="137"/>
      <c r="AA18" s="137"/>
      <c r="AB18" s="137"/>
      <c r="AC18" s="7"/>
    </row>
    <row r="19" spans="1:39" ht="15.75" customHeight="1" thickBot="1" x14ac:dyDescent="0.25">
      <c r="A19" s="36" t="s">
        <v>7</v>
      </c>
      <c r="B19" s="37"/>
      <c r="C19" s="234" t="e">
        <f>C18/$F$15*100</f>
        <v>#REF!</v>
      </c>
      <c r="D19" s="234" t="e">
        <f t="shared" ref="D19:L19" si="0">D18/$F$15*100</f>
        <v>#REF!</v>
      </c>
      <c r="E19" s="234" t="e">
        <f t="shared" si="0"/>
        <v>#REF!</v>
      </c>
      <c r="F19" s="234" t="e">
        <f>F18/$F$15*100</f>
        <v>#REF!</v>
      </c>
      <c r="G19" s="234" t="e">
        <f t="shared" si="0"/>
        <v>#REF!</v>
      </c>
      <c r="H19" s="234" t="e">
        <f t="shared" si="0"/>
        <v>#REF!</v>
      </c>
      <c r="I19" s="234" t="e">
        <f>I18/$F$15*100</f>
        <v>#REF!</v>
      </c>
      <c r="J19" s="234" t="e">
        <f>J18/$F$15*100</f>
        <v>#REF!</v>
      </c>
      <c r="K19" s="234" t="e">
        <f t="shared" si="0"/>
        <v>#REF!</v>
      </c>
      <c r="L19" s="236" t="e">
        <f t="shared" si="0"/>
        <v>#REF!</v>
      </c>
      <c r="M19" s="109"/>
      <c r="N19" s="28"/>
      <c r="P19" s="47">
        <v>58.35390341330649</v>
      </c>
      <c r="Q19" s="5"/>
      <c r="V19" s="116"/>
      <c r="W19" s="137"/>
      <c r="X19" s="137"/>
      <c r="Y19" s="137"/>
      <c r="Z19" s="137"/>
      <c r="AA19" s="137"/>
      <c r="AB19" s="137"/>
      <c r="AC19" s="7"/>
    </row>
    <row r="20" spans="1:39" ht="15.75" customHeight="1" x14ac:dyDescent="0.2">
      <c r="A20" s="36" t="s">
        <v>18</v>
      </c>
      <c r="B20" s="37"/>
      <c r="C20" s="237" t="e">
        <f>100-(SUM($C$19))</f>
        <v>#REF!</v>
      </c>
      <c r="D20" s="237" t="e">
        <f>100-(SUM($C$19:D19))</f>
        <v>#REF!</v>
      </c>
      <c r="E20" s="237" t="e">
        <f>100-(SUM($C$19:E19))</f>
        <v>#REF!</v>
      </c>
      <c r="F20" s="237" t="e">
        <f>100-(SUM($C$19:F19))</f>
        <v>#REF!</v>
      </c>
      <c r="G20" s="237" t="e">
        <f>100-(SUM($C$19:G19))</f>
        <v>#REF!</v>
      </c>
      <c r="H20" s="237" t="e">
        <f>100-(SUM($C$19:H19))</f>
        <v>#REF!</v>
      </c>
      <c r="I20" s="237" t="e">
        <f>100-(SUM($C$19:I19))</f>
        <v>#REF!</v>
      </c>
      <c r="J20" s="237" t="e">
        <f>100-(SUM($C$19:J19))</f>
        <v>#REF!</v>
      </c>
      <c r="K20" s="237" t="e">
        <f>100-(SUM($C$19:K19))</f>
        <v>#REF!</v>
      </c>
      <c r="L20" s="238" t="e">
        <f>100-(SUM($C$19:L19))</f>
        <v>#REF!</v>
      </c>
      <c r="M20" s="2"/>
      <c r="N20" s="28"/>
      <c r="O20" s="47"/>
      <c r="P20" s="47">
        <v>32.468295975250484</v>
      </c>
      <c r="Q20" s="47"/>
      <c r="R20" s="47"/>
      <c r="S20" s="47"/>
      <c r="T20" s="47"/>
      <c r="U20" s="47"/>
      <c r="V20" s="177" t="s">
        <v>55</v>
      </c>
      <c r="W20" s="139"/>
      <c r="X20" s="140"/>
      <c r="Y20" s="141" t="e">
        <f>G20</f>
        <v>#REF!</v>
      </c>
      <c r="Z20" s="137"/>
      <c r="AA20" s="142" t="e">
        <f>Y20</f>
        <v>#REF!</v>
      </c>
      <c r="AB20" s="142">
        <f>L10</f>
        <v>0</v>
      </c>
      <c r="AC20" s="7"/>
    </row>
    <row r="21" spans="1:39" ht="15.75" customHeight="1" x14ac:dyDescent="0.2">
      <c r="A21" s="36" t="s">
        <v>99</v>
      </c>
      <c r="B21" s="37"/>
      <c r="C21" s="196">
        <v>100</v>
      </c>
      <c r="D21" s="197">
        <v>100</v>
      </c>
      <c r="E21" s="197">
        <v>80</v>
      </c>
      <c r="F21" s="197">
        <v>71</v>
      </c>
      <c r="G21" s="197">
        <v>49</v>
      </c>
      <c r="H21" s="197">
        <v>30</v>
      </c>
      <c r="I21" s="197">
        <v>14</v>
      </c>
      <c r="J21" s="197">
        <v>8</v>
      </c>
      <c r="K21" s="197">
        <v>4</v>
      </c>
      <c r="L21" s="239"/>
      <c r="M21" s="2"/>
      <c r="N21" s="28"/>
      <c r="O21" s="48">
        <f>L8</f>
        <v>1102131</v>
      </c>
      <c r="P21" s="47">
        <v>12.239585971837499</v>
      </c>
      <c r="Q21" s="47"/>
      <c r="R21" s="47">
        <f>924*2</f>
        <v>1848</v>
      </c>
      <c r="S21" s="47"/>
      <c r="T21" s="47"/>
      <c r="U21" s="47"/>
      <c r="V21" s="178" t="s">
        <v>56</v>
      </c>
      <c r="W21" s="115"/>
      <c r="X21" s="114"/>
      <c r="Y21" s="143" t="e">
        <f>AA7</f>
        <v>#REF!</v>
      </c>
      <c r="Z21" s="137"/>
      <c r="AA21" s="142" t="e">
        <f>Y21</f>
        <v>#REF!</v>
      </c>
      <c r="AB21" s="142" t="e">
        <f>Y20</f>
        <v>#REF!</v>
      </c>
      <c r="AC21" s="7"/>
    </row>
    <row r="22" spans="1:39" ht="15.75" customHeight="1" x14ac:dyDescent="0.2">
      <c r="A22" s="36" t="s">
        <v>100</v>
      </c>
      <c r="B22" s="37"/>
      <c r="C22" s="198">
        <v>100</v>
      </c>
      <c r="D22" s="199">
        <v>100</v>
      </c>
      <c r="E22" s="200">
        <v>95</v>
      </c>
      <c r="F22" s="200">
        <v>87</v>
      </c>
      <c r="G22" s="200">
        <v>65</v>
      </c>
      <c r="H22" s="199">
        <v>44</v>
      </c>
      <c r="I22" s="200">
        <v>22</v>
      </c>
      <c r="J22" s="200">
        <v>16</v>
      </c>
      <c r="K22" s="200">
        <v>9</v>
      </c>
      <c r="L22" s="240"/>
      <c r="N22" s="28"/>
      <c r="O22" s="111" t="e">
        <f>L7</f>
        <v>#REF!</v>
      </c>
      <c r="P22" s="47">
        <v>7.8122652485156152</v>
      </c>
      <c r="Q22" s="47"/>
      <c r="R22" s="47"/>
      <c r="S22" s="47"/>
      <c r="T22" s="47"/>
      <c r="U22" s="47"/>
      <c r="V22" s="178" t="s">
        <v>57</v>
      </c>
      <c r="W22" s="115"/>
      <c r="X22" s="114"/>
      <c r="Y22" s="143" t="e">
        <f>AA9</f>
        <v>#REF!</v>
      </c>
      <c r="Z22" s="137"/>
      <c r="AA22" s="142" t="e">
        <f>Y23</f>
        <v>#REF!</v>
      </c>
      <c r="AB22" s="142" t="e">
        <f>Y22</f>
        <v>#REF!</v>
      </c>
      <c r="AC22" s="7"/>
    </row>
    <row r="23" spans="1:39" ht="16.7" customHeight="1" x14ac:dyDescent="0.2">
      <c r="C23" s="95"/>
      <c r="D23" s="95">
        <v>100</v>
      </c>
      <c r="E23" s="95" t="e">
        <f>E20-4</f>
        <v>#REF!</v>
      </c>
      <c r="F23" s="95" t="e">
        <f>F20-4</f>
        <v>#REF!</v>
      </c>
      <c r="G23" s="95" t="e">
        <f>G20-3</f>
        <v>#REF!</v>
      </c>
      <c r="H23" s="95" t="e">
        <f t="shared" ref="H23:J23" si="1">H20-3</f>
        <v>#REF!</v>
      </c>
      <c r="I23" s="95" t="e">
        <f t="shared" si="1"/>
        <v>#REF!</v>
      </c>
      <c r="J23" s="95" t="e">
        <f t="shared" si="1"/>
        <v>#REF!</v>
      </c>
      <c r="K23" s="95" t="e">
        <f>K20-1</f>
        <v>#REF!</v>
      </c>
      <c r="N23" s="28"/>
      <c r="O23" s="47" t="e">
        <f>C6</f>
        <v>#REF!</v>
      </c>
      <c r="P23" s="47">
        <v>5.0209816263134215</v>
      </c>
      <c r="Q23" s="47"/>
      <c r="R23" s="47"/>
      <c r="S23" s="47"/>
      <c r="T23" s="47"/>
      <c r="U23" s="47"/>
      <c r="V23" s="178" t="s">
        <v>58</v>
      </c>
      <c r="W23" s="115"/>
      <c r="X23" s="114"/>
      <c r="Y23" s="143" t="e">
        <f>AA11</f>
        <v>#REF!</v>
      </c>
      <c r="Z23" s="137"/>
      <c r="AA23" s="142" t="e">
        <f>Y25</f>
        <v>#REF!</v>
      </c>
      <c r="AB23" s="142" t="e">
        <f>Y24</f>
        <v>#REF!</v>
      </c>
      <c r="AC23" s="7"/>
    </row>
    <row r="24" spans="1:39" ht="16.7" customHeight="1" x14ac:dyDescent="0.2">
      <c r="C24" s="95"/>
      <c r="D24" s="95">
        <v>100</v>
      </c>
      <c r="E24" s="95" t="e">
        <f>E20+4</f>
        <v>#REF!</v>
      </c>
      <c r="F24" s="95" t="e">
        <f>F20+4</f>
        <v>#REF!</v>
      </c>
      <c r="G24" s="95" t="e">
        <f>G20+3</f>
        <v>#REF!</v>
      </c>
      <c r="H24" s="95" t="e">
        <f t="shared" ref="H24:J24" si="2">H20+3</f>
        <v>#REF!</v>
      </c>
      <c r="I24" s="95" t="e">
        <f t="shared" si="2"/>
        <v>#REF!</v>
      </c>
      <c r="J24" s="95" t="e">
        <f t="shared" si="2"/>
        <v>#REF!</v>
      </c>
      <c r="K24" s="95" t="e">
        <f>K20+1</f>
        <v>#REF!</v>
      </c>
      <c r="N24" s="28"/>
      <c r="O24" s="35"/>
      <c r="P24" s="35"/>
      <c r="Q24" s="35"/>
      <c r="R24" s="35"/>
      <c r="S24" s="35"/>
      <c r="T24" s="35"/>
      <c r="U24" s="35"/>
      <c r="V24" s="178" t="s">
        <v>59</v>
      </c>
      <c r="W24" s="115"/>
      <c r="X24" s="114"/>
      <c r="Y24" s="143" t="e">
        <f>AA13</f>
        <v>#REF!</v>
      </c>
      <c r="Z24" s="137"/>
      <c r="AA24" s="137"/>
      <c r="AB24" s="137"/>
      <c r="AC24" s="7"/>
      <c r="AH24" s="49"/>
      <c r="AI24" s="49"/>
      <c r="AJ24" s="49"/>
    </row>
    <row r="25" spans="1:39" ht="10.5" customHeight="1" x14ac:dyDescent="0.2">
      <c r="M25" s="2"/>
      <c r="N25" s="28"/>
      <c r="O25" s="50"/>
      <c r="P25" s="50"/>
      <c r="Q25" s="50"/>
      <c r="R25" s="50"/>
      <c r="S25" s="50"/>
      <c r="T25" s="50"/>
      <c r="U25" s="50"/>
      <c r="V25" s="178" t="s">
        <v>60</v>
      </c>
      <c r="W25" s="115"/>
      <c r="X25" s="114"/>
      <c r="Y25" s="143" t="e">
        <f>AA15</f>
        <v>#REF!</v>
      </c>
      <c r="Z25" s="137"/>
      <c r="AA25" s="137"/>
      <c r="AB25" s="137"/>
      <c r="AC25" s="7"/>
      <c r="AH25" s="49"/>
      <c r="AI25" s="49"/>
      <c r="AJ25" s="49"/>
    </row>
    <row r="26" spans="1:39" ht="16.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8"/>
      <c r="O26" s="152">
        <v>6</v>
      </c>
      <c r="P26" s="152" t="s">
        <v>86</v>
      </c>
      <c r="Q26" s="51"/>
      <c r="R26" s="51"/>
      <c r="S26" s="51"/>
      <c r="T26" s="51"/>
      <c r="U26" s="51"/>
      <c r="V26" s="178" t="s">
        <v>61</v>
      </c>
      <c r="W26" s="115"/>
      <c r="X26" s="114"/>
      <c r="Y26" s="143" t="e">
        <f>K20</f>
        <v>#REF!</v>
      </c>
      <c r="Z26" s="137"/>
      <c r="AA26" s="137"/>
      <c r="AB26" s="137"/>
      <c r="AC26" s="7"/>
      <c r="AH26" s="52">
        <v>1</v>
      </c>
      <c r="AI26" s="7">
        <v>25.4</v>
      </c>
      <c r="AJ26" s="7">
        <v>100</v>
      </c>
      <c r="AK26" s="49"/>
      <c r="AL26" s="53"/>
      <c r="AM26" s="53"/>
    </row>
    <row r="27" spans="1:39" ht="16.7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8"/>
      <c r="O27" s="183"/>
      <c r="P27" s="1231" t="s">
        <v>88</v>
      </c>
      <c r="Q27" s="1232"/>
      <c r="R27" s="1228" t="s">
        <v>89</v>
      </c>
      <c r="S27" s="1228"/>
      <c r="T27" s="173"/>
      <c r="U27" s="54"/>
      <c r="V27" s="227" t="s">
        <v>115</v>
      </c>
      <c r="W27" s="115"/>
      <c r="X27" s="114"/>
      <c r="Y27" s="145" t="e">
        <f>(2+(0.02*Y20)+(0.04*Y21)+(0.08*Y22)+(0.14*Y23)+(0.3*Y24)+(0.6*Y25)+(1.6*Y26))*0.20482</f>
        <v>#REF!</v>
      </c>
      <c r="Z27" s="137"/>
      <c r="AA27" s="137"/>
      <c r="AB27" s="137"/>
      <c r="AC27" s="7"/>
      <c r="AH27" s="52">
        <v>1</v>
      </c>
      <c r="AI27" s="7">
        <v>25.4</v>
      </c>
      <c r="AJ27" s="7">
        <v>0</v>
      </c>
      <c r="AK27" s="49"/>
      <c r="AL27" s="53"/>
      <c r="AM27" s="53"/>
    </row>
    <row r="28" spans="1:39" ht="16.7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N28" s="28"/>
      <c r="O28" s="165" t="s">
        <v>81</v>
      </c>
      <c r="P28" s="171">
        <f>HLOOKUP($P$53,$AK$54:$AV$57,2,FALSE)</f>
        <v>0.5</v>
      </c>
      <c r="Q28" s="172">
        <f>HLOOKUP($P$53+0.01,$AK$54:$AV$57,2,FALSE)</f>
        <v>0.65</v>
      </c>
      <c r="R28" s="1230" t="e">
        <f>X68</f>
        <v>#REF!</v>
      </c>
      <c r="S28" s="1230"/>
      <c r="T28" s="174" t="e">
        <f>IF(R28&gt;P28,IF(R28&gt;Q28,"No Cumple","Si Cumple"),"No Cumple")</f>
        <v>#REF!</v>
      </c>
      <c r="U28" s="55"/>
      <c r="V28" s="144" t="s">
        <v>62</v>
      </c>
      <c r="W28" s="115"/>
      <c r="X28" s="114"/>
      <c r="Y28" s="146">
        <v>5.1559999999999997</v>
      </c>
      <c r="Z28" s="137"/>
      <c r="AA28" s="137"/>
      <c r="AB28" s="137"/>
      <c r="AC28" s="7"/>
      <c r="AH28" s="52" t="s">
        <v>2</v>
      </c>
      <c r="AI28" s="7">
        <v>19</v>
      </c>
      <c r="AJ28" s="7">
        <v>100</v>
      </c>
      <c r="AK28" s="49"/>
      <c r="AL28" s="53"/>
      <c r="AM28" s="53"/>
    </row>
    <row r="29" spans="1:39" ht="16.7" customHeight="1" x14ac:dyDescent="0.2">
      <c r="N29" s="28"/>
      <c r="O29" s="165" t="s">
        <v>83</v>
      </c>
      <c r="P29" s="171">
        <f>HLOOKUP($P$53,$AK$54:$AV$57,3,FALSE)</f>
        <v>0.35</v>
      </c>
      <c r="Q29" s="172">
        <f>HLOOKUP($P$53+0.01,$AK$54:$AV$57,3,FALSE)</f>
        <v>0.5</v>
      </c>
      <c r="R29" s="1230" t="e">
        <f>X69</f>
        <v>#REF!</v>
      </c>
      <c r="S29" s="1230"/>
      <c r="T29" s="174" t="e">
        <f>IF(R29&gt;P29,IF(R29&gt;Q29,"No Cumple","Si Cumple"),"No Cumple")</f>
        <v>#REF!</v>
      </c>
      <c r="U29" s="56"/>
      <c r="V29" s="144" t="s">
        <v>63</v>
      </c>
      <c r="W29" s="115"/>
      <c r="X29" s="114"/>
      <c r="Y29" s="146">
        <v>5.4</v>
      </c>
      <c r="Z29" s="137"/>
      <c r="AA29" s="137"/>
      <c r="AB29" s="137"/>
      <c r="AC29" s="7"/>
      <c r="AH29" s="52" t="s">
        <v>2</v>
      </c>
      <c r="AI29" s="7">
        <v>19</v>
      </c>
      <c r="AJ29" s="7">
        <v>0</v>
      </c>
      <c r="AK29" s="49"/>
      <c r="AL29" s="53"/>
      <c r="AM29" s="53"/>
    </row>
    <row r="30" spans="1:39" ht="16.7" customHeight="1" x14ac:dyDescent="0.2">
      <c r="N30" s="47"/>
      <c r="O30" s="165" t="s">
        <v>85</v>
      </c>
      <c r="P30" s="171">
        <f>HLOOKUP($P$53,$AK$54:$AV$57,4,FALSE)</f>
        <v>0.35</v>
      </c>
      <c r="Q30" s="172">
        <f>HLOOKUP($P$53+0.01,$AK$54:$AV$57,4,FALSE)</f>
        <v>0.5</v>
      </c>
      <c r="R30" s="1230" t="e">
        <f>X70</f>
        <v>#REF!</v>
      </c>
      <c r="S30" s="1230"/>
      <c r="T30" s="174" t="e">
        <f>IF(R30&gt;P30,IF(R30&gt;Q30,"No Cumple","Si Cumple"),"No Cumple")</f>
        <v>#REF!</v>
      </c>
      <c r="U30" s="47"/>
      <c r="V30" s="144" t="s">
        <v>64</v>
      </c>
      <c r="W30" s="115"/>
      <c r="X30" s="114"/>
      <c r="Y30" s="146">
        <v>1.0129999999999999</v>
      </c>
      <c r="Z30" s="137"/>
      <c r="AA30" s="137"/>
      <c r="AB30" s="137"/>
      <c r="AC30" s="7"/>
      <c r="AH30" s="52" t="s">
        <v>5</v>
      </c>
      <c r="AI30" s="7">
        <v>12.5</v>
      </c>
      <c r="AJ30" s="7">
        <v>100</v>
      </c>
      <c r="AK30" s="49"/>
      <c r="AL30" s="53"/>
      <c r="AM30" s="53"/>
    </row>
    <row r="31" spans="1:39" ht="16.7" customHeight="1" x14ac:dyDescent="0.2">
      <c r="N31" s="47"/>
      <c r="O31" s="47"/>
      <c r="P31" s="47"/>
      <c r="Q31" s="47"/>
      <c r="R31" s="47"/>
      <c r="S31" s="47"/>
      <c r="T31" s="47"/>
      <c r="U31" s="47"/>
      <c r="V31" s="144" t="s">
        <v>65</v>
      </c>
      <c r="W31" s="115"/>
      <c r="X31" s="114"/>
      <c r="Y31" s="146">
        <v>2.6520000000000001</v>
      </c>
      <c r="Z31" s="137"/>
      <c r="AA31" s="137"/>
      <c r="AB31" s="137"/>
      <c r="AC31" s="7"/>
      <c r="AH31" s="52" t="s">
        <v>5</v>
      </c>
      <c r="AI31" s="7">
        <v>12.5</v>
      </c>
      <c r="AJ31" s="7">
        <v>0</v>
      </c>
      <c r="AK31" s="49"/>
      <c r="AL31" s="53"/>
      <c r="AM31" s="53"/>
    </row>
    <row r="32" spans="1:39" ht="16.7" customHeight="1" thickBot="1" x14ac:dyDescent="0.25">
      <c r="N32" s="47"/>
      <c r="O32" s="47"/>
      <c r="P32" s="47"/>
      <c r="Q32" s="47"/>
      <c r="R32" s="47"/>
      <c r="S32" s="57"/>
      <c r="T32" s="57"/>
      <c r="U32" s="57"/>
      <c r="V32" s="147" t="s">
        <v>66</v>
      </c>
      <c r="W32" s="148"/>
      <c r="X32" s="149"/>
      <c r="Y32" s="150" t="e">
        <f>(Y28/(100-Y29))*(Y31/(2.65*Y27))*(10^3/Y30)</f>
        <v>#REF!</v>
      </c>
      <c r="Z32" s="137"/>
      <c r="AA32" s="137"/>
      <c r="AB32" s="137"/>
      <c r="AC32" s="7"/>
      <c r="AH32" s="52" t="s">
        <v>3</v>
      </c>
      <c r="AI32" s="7">
        <v>9.5</v>
      </c>
      <c r="AJ32" s="7">
        <v>100</v>
      </c>
      <c r="AK32" s="49"/>
      <c r="AL32" s="53"/>
      <c r="AM32" s="53"/>
    </row>
    <row r="33" spans="1:39" ht="16.7" customHeight="1" x14ac:dyDescent="0.2">
      <c r="N33" s="47"/>
      <c r="O33" s="47"/>
      <c r="P33" s="47"/>
      <c r="Q33" s="47"/>
      <c r="R33" s="47"/>
      <c r="S33" s="57"/>
      <c r="T33" s="57"/>
      <c r="U33" s="57"/>
      <c r="V33" s="57"/>
      <c r="W33" s="57"/>
      <c r="X33" s="57"/>
      <c r="Y33" s="57"/>
      <c r="Z33" s="7"/>
      <c r="AA33" s="7"/>
      <c r="AB33" s="7"/>
      <c r="AC33" s="7"/>
      <c r="AH33" s="52" t="s">
        <v>3</v>
      </c>
      <c r="AI33" s="7">
        <v>9.5</v>
      </c>
      <c r="AJ33" s="7">
        <v>0</v>
      </c>
      <c r="AK33" s="49"/>
      <c r="AL33" s="53"/>
      <c r="AM33" s="53"/>
    </row>
    <row r="34" spans="1:39" ht="16.7" customHeight="1" x14ac:dyDescent="0.2"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7"/>
      <c r="Z34" s="7"/>
      <c r="AA34" s="7"/>
      <c r="AB34" s="7"/>
      <c r="AC34" s="7"/>
      <c r="AH34" s="52" t="s">
        <v>6</v>
      </c>
      <c r="AI34" s="7">
        <v>4.76</v>
      </c>
      <c r="AJ34" s="7">
        <v>100</v>
      </c>
      <c r="AK34" s="49"/>
      <c r="AL34" s="53"/>
      <c r="AM34" s="53"/>
    </row>
    <row r="35" spans="1:39" ht="16.7" customHeight="1" x14ac:dyDescent="0.2"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7"/>
      <c r="Z35" s="7"/>
      <c r="AA35" s="7"/>
      <c r="AB35" s="7"/>
      <c r="AC35" s="7"/>
      <c r="AH35" s="52" t="s">
        <v>6</v>
      </c>
      <c r="AI35" s="7">
        <v>4.76</v>
      </c>
      <c r="AJ35" s="7">
        <v>0</v>
      </c>
      <c r="AK35" s="49"/>
      <c r="AL35" s="53"/>
      <c r="AM35" s="53"/>
    </row>
    <row r="36" spans="1:39" ht="16.7" customHeight="1" x14ac:dyDescent="0.2"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7"/>
      <c r="Z36" s="7"/>
      <c r="AA36" s="7"/>
      <c r="AB36" s="7"/>
      <c r="AC36" s="7"/>
      <c r="AH36" s="52">
        <v>10</v>
      </c>
      <c r="AI36" s="7">
        <v>2</v>
      </c>
      <c r="AJ36" s="7">
        <v>100</v>
      </c>
      <c r="AK36" s="49"/>
      <c r="AL36" s="53"/>
      <c r="AM36" s="53"/>
    </row>
    <row r="37" spans="1:39" x14ac:dyDescent="0.2"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7"/>
      <c r="Z37" s="7"/>
      <c r="AA37" s="7"/>
      <c r="AB37" s="7"/>
      <c r="AC37" s="7"/>
      <c r="AH37" s="52">
        <v>10</v>
      </c>
      <c r="AI37" s="7">
        <v>2</v>
      </c>
      <c r="AJ37" s="7">
        <v>0</v>
      </c>
      <c r="AK37" s="49"/>
      <c r="AL37" s="53"/>
      <c r="AM37" s="53"/>
    </row>
    <row r="38" spans="1:39" ht="16.7" customHeight="1" x14ac:dyDescent="0.2"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7"/>
      <c r="Z38" s="7"/>
      <c r="AA38" s="7"/>
      <c r="AB38" s="7"/>
      <c r="AC38" s="7"/>
      <c r="AH38" s="52">
        <v>40</v>
      </c>
      <c r="AI38" s="7">
        <v>0.42499999999999999</v>
      </c>
      <c r="AJ38" s="7">
        <v>100</v>
      </c>
      <c r="AK38" s="49"/>
      <c r="AL38" s="53"/>
      <c r="AM38" s="53"/>
    </row>
    <row r="39" spans="1:39" ht="6" customHeight="1" x14ac:dyDescent="0.2"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7"/>
      <c r="Z39" s="7"/>
      <c r="AA39" s="7"/>
      <c r="AB39" s="7"/>
      <c r="AC39" s="7"/>
      <c r="AH39" s="52">
        <v>40</v>
      </c>
      <c r="AI39" s="7">
        <v>0.42499999999999999</v>
      </c>
      <c r="AJ39" s="7">
        <v>0</v>
      </c>
      <c r="AK39" s="49"/>
      <c r="AL39" s="53"/>
      <c r="AM39" s="53"/>
    </row>
    <row r="40" spans="1:39" ht="39.75" customHeight="1" x14ac:dyDescent="0.2">
      <c r="N40" s="47"/>
      <c r="O40" s="101" t="s">
        <v>19</v>
      </c>
      <c r="P40" s="98" t="s">
        <v>48</v>
      </c>
      <c r="Q40" s="59" t="s">
        <v>22</v>
      </c>
      <c r="R40" s="59" t="s">
        <v>23</v>
      </c>
      <c r="S40" s="59" t="s">
        <v>24</v>
      </c>
      <c r="T40" s="59" t="s">
        <v>28</v>
      </c>
      <c r="U40" s="59" t="s">
        <v>29</v>
      </c>
      <c r="V40" s="59" t="s">
        <v>30</v>
      </c>
      <c r="W40" s="59" t="s">
        <v>25</v>
      </c>
      <c r="X40" s="59" t="s">
        <v>31</v>
      </c>
      <c r="AA40" s="7"/>
      <c r="AB40" s="7"/>
      <c r="AC40" s="7"/>
      <c r="AH40" s="52">
        <v>80</v>
      </c>
      <c r="AI40" s="7">
        <v>0.18</v>
      </c>
      <c r="AJ40" s="7">
        <v>100</v>
      </c>
      <c r="AK40" s="49"/>
      <c r="AL40" s="53"/>
      <c r="AM40" s="53"/>
    </row>
    <row r="41" spans="1:39" ht="13.5" customHeight="1" x14ac:dyDescent="0.2">
      <c r="N41" s="47"/>
      <c r="O41" s="96" t="e">
        <f>IF(A42=0," ",A42)</f>
        <v>#REF!</v>
      </c>
      <c r="P41" s="106" t="e">
        <f>IF(O41=" "," ",VLOOKUP(O41,#REF!,15))</f>
        <v>#REF!</v>
      </c>
      <c r="Q41" s="97" t="e">
        <f>IF(P41=" "," ",P41*0.997)</f>
        <v>#REF!</v>
      </c>
      <c r="R41" s="60" t="e">
        <f>IF(O41=" "," ",VLOOKUP(O41,#REF!,13))</f>
        <v>#REF!</v>
      </c>
      <c r="S41" s="60" t="e">
        <f>IF(O41=" "," ",VLOOKUP(O41,#REF!,14))</f>
        <v>#REF!</v>
      </c>
      <c r="T41" s="60" t="e">
        <f>IF(O41=" "," ",VLOOKUP(O41,#REF!,25))</f>
        <v>#REF!</v>
      </c>
      <c r="U41" s="60" t="e">
        <f>IF(O41=" "," ",VLOOKUP(O41,#REF!,26))</f>
        <v>#REF!</v>
      </c>
      <c r="V41" s="60" t="e">
        <f>IF(O41=" "," ",VLOOKUP(O41,#REF!,27))</f>
        <v>#REF!</v>
      </c>
      <c r="W41" s="61" t="e">
        <f>IF(O41=" "," ",VLOOKUP(O41,#REF!,29))</f>
        <v>#REF!</v>
      </c>
      <c r="X41" s="62" t="e">
        <f>IF(O41=" "," ",VLOOKUP(O41,#REF!,28))</f>
        <v>#REF!</v>
      </c>
      <c r="AA41" s="7"/>
      <c r="AB41" s="7"/>
      <c r="AC41" s="7"/>
      <c r="AH41" s="52">
        <v>80</v>
      </c>
      <c r="AI41" s="7">
        <v>0.18</v>
      </c>
      <c r="AJ41" s="7">
        <v>0</v>
      </c>
      <c r="AK41" s="49"/>
      <c r="AL41" s="53"/>
      <c r="AM41" s="53"/>
    </row>
    <row r="42" spans="1:39" x14ac:dyDescent="0.2">
      <c r="A42" s="58" t="e">
        <f>VLOOKUP(L8,#REF!,9)</f>
        <v>#REF!</v>
      </c>
      <c r="M42" s="214"/>
      <c r="N42" s="28"/>
      <c r="O42" s="96" t="e">
        <f>IF(O41=" "," ",O41+1)</f>
        <v>#REF!</v>
      </c>
      <c r="P42" s="185" t="e">
        <f>IF(O42=" "," ",VLOOKUP(O42,#REF!,15))</f>
        <v>#REF!</v>
      </c>
      <c r="Q42" s="97" t="e">
        <f>IF(P42=" "," ",P42*0.997)</f>
        <v>#REF!</v>
      </c>
      <c r="R42" s="60" t="e">
        <f>IF(O42=" "," ",VLOOKUP(O42,#REF!,13))</f>
        <v>#REF!</v>
      </c>
      <c r="S42" s="60" t="e">
        <f>IF(O42=" "," ",VLOOKUP(O42,#REF!,14))</f>
        <v>#REF!</v>
      </c>
      <c r="T42" s="60" t="e">
        <f>IF(O42=" "," ",VLOOKUP(O42,#REF!,25))</f>
        <v>#REF!</v>
      </c>
      <c r="U42" s="60" t="e">
        <f>IF(O42=" "," ",VLOOKUP(O42,#REF!,26))</f>
        <v>#REF!</v>
      </c>
      <c r="V42" s="60" t="e">
        <f>IF(O42=" "," ",VLOOKUP(O42,#REF!,27))</f>
        <v>#REF!</v>
      </c>
      <c r="W42" s="61" t="e">
        <f>IF(O42=" "," ",VLOOKUP(O42,#REF!,29))</f>
        <v>#REF!</v>
      </c>
      <c r="X42" s="62" t="e">
        <f>IF(O42=" "," ",VLOOKUP(O42,#REF!,28))</f>
        <v>#REF!</v>
      </c>
      <c r="AA42" s="7"/>
      <c r="AB42" s="7"/>
      <c r="AC42" s="7"/>
      <c r="AH42" s="52">
        <v>200</v>
      </c>
      <c r="AI42" s="7">
        <v>7.4999999999999997E-2</v>
      </c>
      <c r="AJ42" s="7">
        <v>0</v>
      </c>
      <c r="AK42" s="49"/>
      <c r="AL42" s="53"/>
      <c r="AM42" s="53"/>
    </row>
    <row r="43" spans="1:39" ht="38.25" customHeight="1" x14ac:dyDescent="0.2">
      <c r="A43" s="1176" t="s">
        <v>19</v>
      </c>
      <c r="B43" s="1177"/>
      <c r="C43" s="1178" t="s">
        <v>48</v>
      </c>
      <c r="D43" s="1179"/>
      <c r="E43" s="59" t="s">
        <v>22</v>
      </c>
      <c r="F43" s="59" t="s">
        <v>23</v>
      </c>
      <c r="G43" s="59" t="s">
        <v>24</v>
      </c>
      <c r="H43" s="59" t="s">
        <v>28</v>
      </c>
      <c r="I43" s="59" t="s">
        <v>29</v>
      </c>
      <c r="J43" s="59" t="s">
        <v>30</v>
      </c>
      <c r="K43" s="59" t="s">
        <v>25</v>
      </c>
      <c r="L43" s="59" t="s">
        <v>31</v>
      </c>
      <c r="M43" s="27"/>
      <c r="N43" s="28"/>
      <c r="O43" s="96" t="e">
        <f>IF(O42=" "," ",O42+1)</f>
        <v>#REF!</v>
      </c>
      <c r="P43" s="185" t="e">
        <f>IF(O43=" "," ",VLOOKUP(O43,#REF!,15))</f>
        <v>#REF!</v>
      </c>
      <c r="Q43" s="97" t="e">
        <f>IF(P43=" "," ",P43*0.997)</f>
        <v>#REF!</v>
      </c>
      <c r="R43" s="60" t="e">
        <f>IF(O43=" "," ",VLOOKUP(O43,#REF!,13))</f>
        <v>#REF!</v>
      </c>
      <c r="S43" s="60" t="e">
        <f>IF(O43=" "," ",VLOOKUP(O43,#REF!,14))</f>
        <v>#REF!</v>
      </c>
      <c r="T43" s="60" t="e">
        <f>IF(O43=" "," ",VLOOKUP(O43,#REF!,25))</f>
        <v>#REF!</v>
      </c>
      <c r="U43" s="60" t="e">
        <f>IF(O43=" "," ",VLOOKUP(O43,#REF!,26))</f>
        <v>#REF!</v>
      </c>
      <c r="V43" s="60" t="e">
        <f>IF(O43=" "," ",VLOOKUP(O43,#REF!,27))</f>
        <v>#REF!</v>
      </c>
      <c r="W43" s="61" t="e">
        <f>IF(O43=" "," ",VLOOKUP(O43,#REF!,29))</f>
        <v>#REF!</v>
      </c>
      <c r="X43" s="62" t="e">
        <f>IF(O43=" "," ",VLOOKUP(O43,#REF!,28))</f>
        <v>#REF!</v>
      </c>
      <c r="AA43" s="63"/>
      <c r="AB43" s="63"/>
      <c r="AC43" s="63"/>
      <c r="AD43" s="64"/>
      <c r="AH43" s="52">
        <v>200</v>
      </c>
      <c r="AI43" s="7">
        <v>7.4999999999999997E-2</v>
      </c>
      <c r="AJ43" s="7">
        <v>100</v>
      </c>
      <c r="AK43" s="49"/>
      <c r="AL43" s="53"/>
      <c r="AM43" s="53"/>
    </row>
    <row r="44" spans="1:39" ht="12.75" customHeight="1" x14ac:dyDescent="0.2">
      <c r="A44" s="1170" t="e">
        <f>O41</f>
        <v>#REF!</v>
      </c>
      <c r="B44" s="1171"/>
      <c r="C44" s="1174" t="e">
        <f>P41</f>
        <v>#REF!</v>
      </c>
      <c r="D44" s="1175"/>
      <c r="E44" s="97" t="e">
        <f>Q41</f>
        <v>#REF!</v>
      </c>
      <c r="F44" s="60" t="e">
        <f t="shared" ref="F44:L46" si="3">R41</f>
        <v>#REF!</v>
      </c>
      <c r="G44" s="60" t="e">
        <f t="shared" si="3"/>
        <v>#REF!</v>
      </c>
      <c r="H44" s="60" t="e">
        <f t="shared" si="3"/>
        <v>#REF!</v>
      </c>
      <c r="I44" s="60" t="e">
        <f t="shared" si="3"/>
        <v>#REF!</v>
      </c>
      <c r="J44" s="60" t="e">
        <f t="shared" si="3"/>
        <v>#REF!</v>
      </c>
      <c r="K44" s="60" t="e">
        <f t="shared" si="3"/>
        <v>#REF!</v>
      </c>
      <c r="L44" s="60" t="e">
        <f t="shared" si="3"/>
        <v>#REF!</v>
      </c>
      <c r="M44" s="27"/>
      <c r="N44" s="28"/>
      <c r="O44" s="184" t="e">
        <f>IF(O43=" "," ",O43+1)</f>
        <v>#REF!</v>
      </c>
      <c r="P44" s="185" t="e">
        <f>IF(O44=" "," ",VLOOKUP(O44,#REF!,15))</f>
        <v>#REF!</v>
      </c>
      <c r="Q44" s="186" t="e">
        <f>IF(P44=" "," ",P44*0.997)</f>
        <v>#REF!</v>
      </c>
      <c r="R44" s="60" t="e">
        <f>IF(O44=" "," ",VLOOKUP(O44,#REF!,13))</f>
        <v>#REF!</v>
      </c>
      <c r="S44" s="60" t="e">
        <f>IF(O44=" "," ",VLOOKUP(O44,#REF!,14))</f>
        <v>#REF!</v>
      </c>
      <c r="T44" s="60" t="e">
        <f>IF(O44=" "," ",VLOOKUP(O44,#REF!,25))</f>
        <v>#REF!</v>
      </c>
      <c r="U44" s="60" t="e">
        <f>IF(O44=" "," ",VLOOKUP(O44,#REF!,26))</f>
        <v>#REF!</v>
      </c>
      <c r="V44" s="60" t="e">
        <f>IF(O44=" "," ",VLOOKUP(O44,#REF!,27))</f>
        <v>#REF!</v>
      </c>
      <c r="W44" s="61" t="e">
        <f>IF(O44=" "," ",VLOOKUP(O44,#REF!,29))</f>
        <v>#REF!</v>
      </c>
      <c r="X44" s="62" t="e">
        <f>IF(O44=" "," ",VLOOKUP(O44,#REF!,28))</f>
        <v>#REF!</v>
      </c>
      <c r="AA44" s="63"/>
      <c r="AB44" s="63"/>
      <c r="AC44" s="63"/>
      <c r="AD44" s="64"/>
      <c r="AH44" s="52"/>
      <c r="AK44" s="49"/>
      <c r="AL44" s="53"/>
      <c r="AM44" s="53"/>
    </row>
    <row r="45" spans="1:39" ht="12.75" hidden="1" customHeight="1" x14ac:dyDescent="0.2">
      <c r="A45" s="1170" t="e">
        <f t="shared" ref="A45:A46" si="4">O42</f>
        <v>#REF!</v>
      </c>
      <c r="B45" s="1171"/>
      <c r="C45" s="1174" t="e">
        <f>P42</f>
        <v>#REF!</v>
      </c>
      <c r="D45" s="1175"/>
      <c r="E45" s="97" t="e">
        <f t="shared" ref="E45:E46" si="5">Q42</f>
        <v>#REF!</v>
      </c>
      <c r="F45" s="60" t="e">
        <f t="shared" si="3"/>
        <v>#REF!</v>
      </c>
      <c r="G45" s="60" t="e">
        <f t="shared" si="3"/>
        <v>#REF!</v>
      </c>
      <c r="H45" s="60" t="e">
        <f t="shared" si="3"/>
        <v>#REF!</v>
      </c>
      <c r="I45" s="60" t="e">
        <f t="shared" si="3"/>
        <v>#REF!</v>
      </c>
      <c r="J45" s="60" t="e">
        <f t="shared" si="3"/>
        <v>#REF!</v>
      </c>
      <c r="K45" s="60" t="e">
        <f t="shared" si="3"/>
        <v>#REF!</v>
      </c>
      <c r="L45" s="60" t="e">
        <f t="shared" si="3"/>
        <v>#REF!</v>
      </c>
      <c r="M45" s="27"/>
      <c r="N45" s="28"/>
      <c r="O45" s="96">
        <v>5</v>
      </c>
      <c r="P45" s="106"/>
      <c r="Q45" s="97"/>
      <c r="R45" s="65"/>
      <c r="S45" s="61"/>
      <c r="T45" s="66"/>
      <c r="U45" s="60" t="e">
        <f>IF(O45=" "," ",VLOOKUP(O45,#REF!,26))</f>
        <v>#REF!</v>
      </c>
      <c r="V45" s="66"/>
      <c r="W45" s="67"/>
      <c r="X45" s="62" t="e">
        <f>IF(O45=" "," ",VLOOKUP(O45,#REF!,28))</f>
        <v>#REF!</v>
      </c>
      <c r="AA45" s="63"/>
      <c r="AB45" s="63"/>
      <c r="AC45" s="63"/>
      <c r="AD45" s="64"/>
      <c r="AH45" s="52"/>
      <c r="AK45" s="49"/>
      <c r="AL45" s="53"/>
      <c r="AM45" s="53"/>
    </row>
    <row r="46" spans="1:39" ht="12.75" hidden="1" customHeight="1" x14ac:dyDescent="0.2">
      <c r="A46" s="1170" t="e">
        <f t="shared" si="4"/>
        <v>#REF!</v>
      </c>
      <c r="B46" s="1171"/>
      <c r="C46" s="1174" t="e">
        <f>P43</f>
        <v>#REF!</v>
      </c>
      <c r="D46" s="1175"/>
      <c r="E46" s="97" t="e">
        <f t="shared" si="5"/>
        <v>#REF!</v>
      </c>
      <c r="F46" s="60" t="e">
        <f t="shared" si="3"/>
        <v>#REF!</v>
      </c>
      <c r="G46" s="60" t="e">
        <f t="shared" si="3"/>
        <v>#REF!</v>
      </c>
      <c r="H46" s="60" t="e">
        <f t="shared" si="3"/>
        <v>#REF!</v>
      </c>
      <c r="I46" s="60" t="e">
        <f t="shared" si="3"/>
        <v>#REF!</v>
      </c>
      <c r="J46" s="60" t="e">
        <f t="shared" si="3"/>
        <v>#REF!</v>
      </c>
      <c r="K46" s="60" t="e">
        <f t="shared" si="3"/>
        <v>#REF!</v>
      </c>
      <c r="L46" s="60" t="e">
        <f t="shared" si="3"/>
        <v>#REF!</v>
      </c>
      <c r="M46" s="27"/>
      <c r="N46" s="28"/>
      <c r="O46" s="96">
        <v>6</v>
      </c>
      <c r="P46" s="106"/>
      <c r="Q46" s="97"/>
      <c r="R46" s="65"/>
      <c r="S46" s="61"/>
      <c r="T46" s="66"/>
      <c r="U46" s="60" t="e">
        <f>IF(O46=" "," ",VLOOKUP(O46,#REF!,26))</f>
        <v>#REF!</v>
      </c>
      <c r="V46" s="66"/>
      <c r="W46" s="67"/>
      <c r="X46" s="62" t="e">
        <f>IF(O46=" "," ",VLOOKUP(O46,#REF!,28))</f>
        <v>#REF!</v>
      </c>
      <c r="AA46" s="63"/>
      <c r="AB46" s="63"/>
      <c r="AC46" s="63"/>
      <c r="AD46" s="64"/>
      <c r="AH46" s="52"/>
      <c r="AK46" s="49"/>
      <c r="AL46" s="53"/>
      <c r="AM46" s="53"/>
    </row>
    <row r="47" spans="1:39" ht="15" customHeight="1" x14ac:dyDescent="0.2">
      <c r="A47" s="1170" t="e">
        <f>O42</f>
        <v>#REF!</v>
      </c>
      <c r="B47" s="1171"/>
      <c r="C47" s="1174" t="e">
        <f>P42</f>
        <v>#REF!</v>
      </c>
      <c r="D47" s="1175"/>
      <c r="E47" s="190" t="e">
        <f>Q42</f>
        <v>#REF!</v>
      </c>
      <c r="F47" s="60" t="e">
        <f t="shared" ref="F47:L47" si="6">R42</f>
        <v>#REF!</v>
      </c>
      <c r="G47" s="60" t="e">
        <f t="shared" si="6"/>
        <v>#REF!</v>
      </c>
      <c r="H47" s="60" t="e">
        <f t="shared" si="6"/>
        <v>#REF!</v>
      </c>
      <c r="I47" s="60" t="e">
        <f t="shared" si="6"/>
        <v>#REF!</v>
      </c>
      <c r="J47" s="60" t="e">
        <f t="shared" si="6"/>
        <v>#REF!</v>
      </c>
      <c r="K47" s="60" t="e">
        <f t="shared" si="6"/>
        <v>#REF!</v>
      </c>
      <c r="L47" s="60" t="e">
        <f t="shared" si="6"/>
        <v>#REF!</v>
      </c>
      <c r="M47" s="27"/>
      <c r="N47" s="28"/>
      <c r="O47" s="96" t="s">
        <v>13</v>
      </c>
      <c r="P47" s="108" t="e">
        <f>IF(P41=" "," ",AVERAGE(P41:P44))</f>
        <v>#REF!</v>
      </c>
      <c r="Q47" s="99" t="e">
        <f t="shared" ref="Q47:X47" si="7">IF(Q41=" "," ",AVERAGE(Q41:Q44))</f>
        <v>#REF!</v>
      </c>
      <c r="R47" s="68" t="e">
        <f t="shared" si="7"/>
        <v>#REF!</v>
      </c>
      <c r="S47" s="68" t="e">
        <f t="shared" si="7"/>
        <v>#REF!</v>
      </c>
      <c r="T47" s="68" t="e">
        <f t="shared" si="7"/>
        <v>#REF!</v>
      </c>
      <c r="U47" s="68" t="e">
        <f t="shared" si="7"/>
        <v>#REF!</v>
      </c>
      <c r="V47" s="68" t="e">
        <f t="shared" si="7"/>
        <v>#REF!</v>
      </c>
      <c r="W47" s="69" t="e">
        <f t="shared" si="7"/>
        <v>#REF!</v>
      </c>
      <c r="X47" s="70" t="e">
        <f t="shared" si="7"/>
        <v>#REF!</v>
      </c>
      <c r="AD47" s="18"/>
      <c r="AH47" s="71"/>
      <c r="AK47" s="53"/>
      <c r="AL47" s="53"/>
      <c r="AM47" s="53"/>
    </row>
    <row r="48" spans="1:39" ht="15" customHeight="1" x14ac:dyDescent="0.2">
      <c r="A48" s="1170" t="e">
        <f>O43</f>
        <v>#REF!</v>
      </c>
      <c r="B48" s="1171"/>
      <c r="C48" s="1174" t="e">
        <f>P43</f>
        <v>#REF!</v>
      </c>
      <c r="D48" s="1175"/>
      <c r="E48" s="190" t="e">
        <f>Q43</f>
        <v>#REF!</v>
      </c>
      <c r="F48" s="60" t="e">
        <f t="shared" ref="F48:L48" si="8">R43</f>
        <v>#REF!</v>
      </c>
      <c r="G48" s="60" t="e">
        <f t="shared" si="8"/>
        <v>#REF!</v>
      </c>
      <c r="H48" s="60" t="e">
        <f t="shared" si="8"/>
        <v>#REF!</v>
      </c>
      <c r="I48" s="60" t="e">
        <f t="shared" si="8"/>
        <v>#REF!</v>
      </c>
      <c r="J48" s="60" t="e">
        <f t="shared" si="8"/>
        <v>#REF!</v>
      </c>
      <c r="K48" s="60" t="e">
        <f t="shared" si="8"/>
        <v>#REF!</v>
      </c>
      <c r="L48" s="60" t="e">
        <f t="shared" si="8"/>
        <v>#REF!</v>
      </c>
      <c r="M48" s="27"/>
      <c r="N48" s="28"/>
      <c r="O48" s="96" t="s">
        <v>21</v>
      </c>
      <c r="P48" s="107" t="s">
        <v>32</v>
      </c>
      <c r="Q48" s="100" t="s">
        <v>32</v>
      </c>
      <c r="R48" s="72" t="s">
        <v>91</v>
      </c>
      <c r="S48" s="68" t="s">
        <v>90</v>
      </c>
      <c r="T48" s="201" t="s">
        <v>103</v>
      </c>
      <c r="U48" s="99" t="s">
        <v>35</v>
      </c>
      <c r="V48" s="195" t="s">
        <v>101</v>
      </c>
      <c r="W48" s="68" t="s">
        <v>102</v>
      </c>
      <c r="X48" s="68" t="s">
        <v>34</v>
      </c>
    </row>
    <row r="49" spans="1:49" ht="12.75" customHeight="1" x14ac:dyDescent="0.2">
      <c r="A49" s="1170" t="e">
        <f>O44</f>
        <v>#REF!</v>
      </c>
      <c r="B49" s="1171"/>
      <c r="C49" s="1174" t="e">
        <f>P44</f>
        <v>#REF!</v>
      </c>
      <c r="D49" s="1175"/>
      <c r="E49" s="190" t="e">
        <f>Q44</f>
        <v>#REF!</v>
      </c>
      <c r="F49" s="60" t="e">
        <f t="shared" ref="F49:L49" si="9">R44</f>
        <v>#REF!</v>
      </c>
      <c r="G49" s="60" t="e">
        <f t="shared" si="9"/>
        <v>#REF!</v>
      </c>
      <c r="H49" s="60" t="e">
        <f t="shared" si="9"/>
        <v>#REF!</v>
      </c>
      <c r="I49" s="60" t="e">
        <f t="shared" si="9"/>
        <v>#REF!</v>
      </c>
      <c r="J49" s="60" t="e">
        <f t="shared" si="9"/>
        <v>#REF!</v>
      </c>
      <c r="K49" s="60" t="e">
        <f t="shared" si="9"/>
        <v>#REF!</v>
      </c>
      <c r="L49" s="60" t="e">
        <f t="shared" si="9"/>
        <v>#REF!</v>
      </c>
      <c r="M49" s="209"/>
      <c r="N49" s="28"/>
      <c r="P49" s="57" t="e">
        <f>H55</f>
        <v>#REF!</v>
      </c>
    </row>
    <row r="50" spans="1:49" ht="18" customHeight="1" x14ac:dyDescent="0.2">
      <c r="A50" s="1170" t="str">
        <f>O47</f>
        <v>PROMEDIO</v>
      </c>
      <c r="B50" s="1171"/>
      <c r="C50" s="1172" t="e">
        <f>IF(C44=" "," ",AVERAGE(C44:D47))</f>
        <v>#REF!</v>
      </c>
      <c r="D50" s="1172"/>
      <c r="E50" s="99" t="e">
        <f t="shared" ref="E50:L50" si="10">IF(E44=" "," ",AVERAGE(E44:E47))</f>
        <v>#REF!</v>
      </c>
      <c r="F50" s="69" t="e">
        <f t="shared" si="10"/>
        <v>#REF!</v>
      </c>
      <c r="G50" s="68" t="e">
        <f t="shared" si="10"/>
        <v>#REF!</v>
      </c>
      <c r="H50" s="68" t="e">
        <f t="shared" si="10"/>
        <v>#REF!</v>
      </c>
      <c r="I50" s="68" t="e">
        <f t="shared" si="10"/>
        <v>#REF!</v>
      </c>
      <c r="J50" s="68" t="e">
        <f t="shared" si="10"/>
        <v>#REF!</v>
      </c>
      <c r="K50" s="69" t="e">
        <f t="shared" si="10"/>
        <v>#REF!</v>
      </c>
      <c r="L50" s="68" t="e">
        <f t="shared" si="10"/>
        <v>#REF!</v>
      </c>
      <c r="M50" s="209"/>
      <c r="N50" s="28"/>
      <c r="O50" s="228" t="s">
        <v>116</v>
      </c>
      <c r="P50" s="152"/>
      <c r="Q50" s="152"/>
      <c r="R50" s="152"/>
      <c r="S50" s="152"/>
      <c r="T50" s="152"/>
      <c r="U50" s="152"/>
      <c r="V50" s="152"/>
      <c r="W50" s="152"/>
      <c r="X50" s="152"/>
      <c r="Y50" s="163">
        <v>4</v>
      </c>
      <c r="Z50" s="163" t="s">
        <v>76</v>
      </c>
      <c r="AA50" s="152"/>
      <c r="AB50" s="152"/>
      <c r="AC50" s="152"/>
      <c r="AD50" s="152"/>
      <c r="AE50" s="152"/>
      <c r="AF50" s="152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</row>
    <row r="51" spans="1:49" ht="18" customHeight="1" x14ac:dyDescent="0.2">
      <c r="A51" s="1170" t="s">
        <v>21</v>
      </c>
      <c r="B51" s="1171"/>
      <c r="C51" s="1173" t="s">
        <v>32</v>
      </c>
      <c r="D51" s="1173"/>
      <c r="E51" s="100" t="s">
        <v>32</v>
      </c>
      <c r="F51" s="72" t="str">
        <f t="shared" ref="F51:L51" si="11">R48</f>
        <v>Min. 750</v>
      </c>
      <c r="G51" s="68" t="str">
        <f t="shared" si="11"/>
        <v xml:space="preserve"> 2 - 4</v>
      </c>
      <c r="H51" s="99" t="str">
        <f t="shared" si="11"/>
        <v xml:space="preserve"> 3 - 5 </v>
      </c>
      <c r="I51" s="99" t="str">
        <f t="shared" si="11"/>
        <v>Min.15</v>
      </c>
      <c r="J51" s="99" t="str">
        <f t="shared" si="11"/>
        <v>65 - 78</v>
      </c>
      <c r="K51" s="68" t="str">
        <f>W48</f>
        <v xml:space="preserve"> 300 - 500 </v>
      </c>
      <c r="L51" s="68" t="str">
        <f t="shared" si="11"/>
        <v xml:space="preserve"> 0.8 - 1.2 </v>
      </c>
      <c r="M51" s="203"/>
      <c r="N51" s="28"/>
      <c r="O51" s="151">
        <v>1</v>
      </c>
      <c r="P51" s="229" t="s">
        <v>117</v>
      </c>
      <c r="Q51" s="152"/>
      <c r="R51" s="152"/>
      <c r="S51" s="152"/>
      <c r="T51" s="152"/>
      <c r="U51" s="152"/>
      <c r="V51" s="152"/>
      <c r="W51" s="152"/>
      <c r="X51" s="152"/>
      <c r="Y51" s="163"/>
      <c r="Z51" s="152"/>
      <c r="AA51" s="152"/>
      <c r="AB51" s="152"/>
      <c r="AC51" s="152"/>
      <c r="AD51" s="152"/>
      <c r="AE51" s="152"/>
      <c r="AF51" s="152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</row>
    <row r="52" spans="1:49" ht="15.7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18"/>
      <c r="O52" s="152">
        <v>2</v>
      </c>
      <c r="P52" s="228" t="s">
        <v>118</v>
      </c>
      <c r="Q52" s="152"/>
      <c r="R52" s="152"/>
      <c r="S52" s="152"/>
      <c r="T52" s="152" t="s">
        <v>67</v>
      </c>
      <c r="U52" s="152"/>
      <c r="V52" s="152"/>
      <c r="W52" s="152"/>
      <c r="X52" s="152"/>
      <c r="Y52" s="163"/>
      <c r="Z52" s="152"/>
      <c r="AA52" s="152"/>
      <c r="AB52" s="152"/>
      <c r="AC52" s="152"/>
      <c r="AD52" s="152">
        <v>5</v>
      </c>
      <c r="AE52" s="228" t="s">
        <v>119</v>
      </c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3"/>
      <c r="AW52" s="153"/>
    </row>
    <row r="53" spans="1:49" ht="18" customHeight="1" x14ac:dyDescent="0.2">
      <c r="A53" s="23" t="s">
        <v>4</v>
      </c>
      <c r="B53" s="23"/>
      <c r="C53" s="102" t="s">
        <v>33</v>
      </c>
      <c r="D53" s="187"/>
      <c r="E53" s="102"/>
      <c r="F53" s="103"/>
      <c r="G53" s="1"/>
      <c r="H53" s="104"/>
      <c r="I53" s="105"/>
      <c r="J53" s="188"/>
      <c r="K53" s="73"/>
      <c r="L53" s="74"/>
      <c r="M53" s="2"/>
      <c r="O53" s="152"/>
      <c r="P53" s="154">
        <v>12.5</v>
      </c>
      <c r="Q53" s="154"/>
      <c r="R53" s="152"/>
      <c r="S53" s="152"/>
      <c r="T53" s="152"/>
      <c r="U53" s="152"/>
      <c r="V53" s="152"/>
      <c r="W53" s="152"/>
      <c r="X53" s="152"/>
      <c r="Y53" s="163"/>
      <c r="Z53" s="1221" t="s">
        <v>77</v>
      </c>
      <c r="AA53" s="1222" t="s">
        <v>78</v>
      </c>
      <c r="AB53" s="1221" t="s">
        <v>79</v>
      </c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3"/>
      <c r="AW53" s="153"/>
    </row>
    <row r="54" spans="1:49" x14ac:dyDescent="0.2">
      <c r="A54" s="75"/>
      <c r="B54" s="75"/>
      <c r="C54" s="189"/>
      <c r="D54" s="1"/>
      <c r="E54" s="76"/>
      <c r="F54" s="76"/>
      <c r="G54" s="1"/>
      <c r="H54" s="1"/>
      <c r="I54" s="1"/>
      <c r="J54" s="1"/>
      <c r="K54" s="1"/>
      <c r="L54" s="1"/>
      <c r="M54" s="18"/>
      <c r="O54" s="152">
        <v>3</v>
      </c>
      <c r="P54" s="152" t="s">
        <v>68</v>
      </c>
      <c r="Q54" s="152"/>
      <c r="R54" s="152"/>
      <c r="S54" s="152"/>
      <c r="T54" s="152"/>
      <c r="U54" s="152"/>
      <c r="V54" s="152"/>
      <c r="W54" s="152"/>
      <c r="X54" s="152"/>
      <c r="Y54" s="163"/>
      <c r="Z54" s="1221"/>
      <c r="AA54" s="1222"/>
      <c r="AB54" s="1221"/>
      <c r="AC54" s="152"/>
      <c r="AD54" s="152"/>
      <c r="AE54" s="152"/>
      <c r="AF54" s="152"/>
      <c r="AG54" s="152"/>
      <c r="AH54" s="152"/>
      <c r="AI54" s="152"/>
      <c r="AJ54" s="152"/>
      <c r="AK54" s="167">
        <v>37.5</v>
      </c>
      <c r="AL54" s="167">
        <v>37.51</v>
      </c>
      <c r="AM54" s="167">
        <v>25</v>
      </c>
      <c r="AN54" s="167">
        <v>25.01</v>
      </c>
      <c r="AO54" s="167">
        <v>19</v>
      </c>
      <c r="AP54" s="167">
        <v>19.010000000000002</v>
      </c>
      <c r="AQ54" s="167">
        <v>12.5</v>
      </c>
      <c r="AR54" s="167">
        <v>12.51</v>
      </c>
      <c r="AS54" s="168">
        <v>9.5</v>
      </c>
      <c r="AT54" s="168">
        <v>9.51</v>
      </c>
      <c r="AU54" s="168">
        <v>4.75</v>
      </c>
      <c r="AV54" s="169">
        <v>4.76</v>
      </c>
      <c r="AW54" s="153"/>
    </row>
    <row r="55" spans="1:49" ht="15" x14ac:dyDescent="0.25">
      <c r="A55" s="77"/>
      <c r="B55" s="78" t="e">
        <f>VLOOKUP(L8,#REF!,40)</f>
        <v>#REF!</v>
      </c>
      <c r="C55" s="79"/>
      <c r="D55" s="80"/>
      <c r="E55" s="80"/>
      <c r="F55" s="81"/>
      <c r="G55" s="194" t="s">
        <v>96</v>
      </c>
      <c r="H55" s="83" t="e">
        <f>IF(O41=" "," ",VLOOKUP(O41,#REF!,16))</f>
        <v>#REF!</v>
      </c>
      <c r="I55" s="82"/>
      <c r="J55" s="82"/>
      <c r="K55" s="82"/>
      <c r="L55" s="82"/>
      <c r="M55" s="18"/>
      <c r="O55"/>
      <c r="P55" s="1228" t="s">
        <v>69</v>
      </c>
      <c r="Q55" s="1228"/>
      <c r="R55" s="1228"/>
      <c r="S55" s="1228"/>
      <c r="T55" s="1228"/>
      <c r="U55" s="1228"/>
      <c r="V55" s="152"/>
      <c r="W55" s="152"/>
      <c r="X55" s="152"/>
      <c r="Y55" s="163"/>
      <c r="Z55" s="1221"/>
      <c r="AA55" s="1222"/>
      <c r="AB55" s="1221"/>
      <c r="AC55" s="152"/>
      <c r="AD55" s="152"/>
      <c r="AE55" s="1223" t="s">
        <v>80</v>
      </c>
      <c r="AF55" s="1224"/>
      <c r="AG55" s="1224"/>
      <c r="AH55" s="1224"/>
      <c r="AI55" s="1225"/>
      <c r="AJ55" s="170" t="s">
        <v>81</v>
      </c>
      <c r="AK55" s="171">
        <v>0.8</v>
      </c>
      <c r="AL55" s="172">
        <v>0.95</v>
      </c>
      <c r="AM55" s="171">
        <v>0.7</v>
      </c>
      <c r="AN55" s="172">
        <v>0.85</v>
      </c>
      <c r="AO55" s="171">
        <v>0.6</v>
      </c>
      <c r="AP55" s="172">
        <v>0.75</v>
      </c>
      <c r="AQ55" s="171">
        <v>0.5</v>
      </c>
      <c r="AR55" s="172">
        <v>0.65</v>
      </c>
      <c r="AS55" s="171">
        <v>0.4</v>
      </c>
      <c r="AT55" s="172">
        <v>0.55000000000000004</v>
      </c>
      <c r="AU55" s="171">
        <v>0.3</v>
      </c>
      <c r="AV55" s="172">
        <v>0.45</v>
      </c>
      <c r="AW55" s="153"/>
    </row>
    <row r="56" spans="1:49" ht="15" x14ac:dyDescent="0.25">
      <c r="A56" s="84"/>
      <c r="B56" s="84"/>
      <c r="C56" s="85"/>
      <c r="D56" s="86"/>
      <c r="E56" s="86"/>
      <c r="F56" s="87"/>
      <c r="G56" s="18"/>
      <c r="H56" s="18"/>
      <c r="I56" s="18"/>
      <c r="J56" s="18"/>
      <c r="K56" s="18"/>
      <c r="L56" s="18"/>
      <c r="O56"/>
      <c r="P56" s="1229" t="s">
        <v>70</v>
      </c>
      <c r="Q56" s="1229"/>
      <c r="R56" s="1229"/>
      <c r="S56" s="1229"/>
      <c r="T56" s="1229"/>
      <c r="U56" s="1229"/>
      <c r="V56" s="152"/>
      <c r="W56" s="152"/>
      <c r="X56" s="152"/>
      <c r="Y56" s="159"/>
      <c r="Z56" s="156" t="s">
        <v>71</v>
      </c>
      <c r="AA56" s="165">
        <f>HLOOKUP($P$53,$P$57:$U$61,2,FALSE)</f>
        <v>4.75</v>
      </c>
      <c r="AB56" s="179" t="e">
        <f>AA20</f>
        <v>#REF!</v>
      </c>
      <c r="AC56" s="152"/>
      <c r="AD56" s="152"/>
      <c r="AE56" s="1226" t="s">
        <v>82</v>
      </c>
      <c r="AF56" s="1226"/>
      <c r="AG56" s="1226"/>
      <c r="AH56" s="1226"/>
      <c r="AI56" s="1226"/>
      <c r="AJ56" s="170" t="s">
        <v>83</v>
      </c>
      <c r="AK56" s="171">
        <v>0.35</v>
      </c>
      <c r="AL56" s="172">
        <v>0.5</v>
      </c>
      <c r="AM56" s="171">
        <v>0.35</v>
      </c>
      <c r="AN56" s="172">
        <v>0.5</v>
      </c>
      <c r="AO56" s="171">
        <v>0.35</v>
      </c>
      <c r="AP56" s="172">
        <v>0.5</v>
      </c>
      <c r="AQ56" s="171">
        <v>0.35</v>
      </c>
      <c r="AR56" s="172">
        <v>0.5</v>
      </c>
      <c r="AS56" s="171">
        <v>0.35</v>
      </c>
      <c r="AT56" s="172">
        <v>0.5</v>
      </c>
      <c r="AU56" s="171">
        <v>0.35</v>
      </c>
      <c r="AV56" s="172">
        <v>0.5</v>
      </c>
      <c r="AW56" s="153"/>
    </row>
    <row r="57" spans="1:49" ht="15" x14ac:dyDescent="0.25">
      <c r="B57" s="88" t="s">
        <v>49</v>
      </c>
      <c r="C57" s="89"/>
      <c r="D57" s="89"/>
      <c r="E57" s="2"/>
      <c r="H57" s="2"/>
      <c r="I57" s="23" t="s">
        <v>50</v>
      </c>
      <c r="J57" s="89"/>
      <c r="K57" s="89"/>
      <c r="O57"/>
      <c r="P57" s="155">
        <v>37.5</v>
      </c>
      <c r="Q57" s="155">
        <v>25</v>
      </c>
      <c r="R57" s="155">
        <v>19</v>
      </c>
      <c r="S57" s="155">
        <v>12.5</v>
      </c>
      <c r="T57" s="155">
        <v>9.5</v>
      </c>
      <c r="U57" s="155">
        <v>4.75</v>
      </c>
      <c r="V57" s="152"/>
      <c r="W57" s="152"/>
      <c r="X57" s="152"/>
      <c r="Y57" s="159"/>
      <c r="Z57" s="156" t="s">
        <v>72</v>
      </c>
      <c r="AA57" s="165">
        <f>HLOOKUP($P$53,$P$57:$U$61,3,FALSE)</f>
        <v>2.36</v>
      </c>
      <c r="AB57" s="179" t="e">
        <f>AA21</f>
        <v>#REF!</v>
      </c>
      <c r="AC57" s="152"/>
      <c r="AD57" s="152"/>
      <c r="AE57" s="1226" t="s">
        <v>84</v>
      </c>
      <c r="AF57" s="1226"/>
      <c r="AG57" s="1226"/>
      <c r="AH57" s="1226"/>
      <c r="AI57" s="1226"/>
      <c r="AJ57" s="170" t="s">
        <v>85</v>
      </c>
      <c r="AK57" s="171">
        <v>0.35</v>
      </c>
      <c r="AL57" s="172">
        <v>0.5</v>
      </c>
      <c r="AM57" s="171">
        <v>0.35</v>
      </c>
      <c r="AN57" s="172">
        <v>0.5</v>
      </c>
      <c r="AO57" s="171">
        <v>0.35</v>
      </c>
      <c r="AP57" s="172">
        <v>0.5</v>
      </c>
      <c r="AQ57" s="171">
        <v>0.35</v>
      </c>
      <c r="AR57" s="172">
        <v>0.5</v>
      </c>
      <c r="AS57" s="171">
        <v>0.35</v>
      </c>
      <c r="AT57" s="172">
        <v>0.5</v>
      </c>
      <c r="AU57" s="171">
        <v>0.35</v>
      </c>
      <c r="AV57" s="172">
        <v>0.5</v>
      </c>
      <c r="AW57" s="153"/>
    </row>
    <row r="58" spans="1:49" ht="15" x14ac:dyDescent="0.25">
      <c r="B58" s="90" t="s">
        <v>105</v>
      </c>
      <c r="C58" s="91"/>
      <c r="D58" s="91"/>
      <c r="E58" s="91"/>
      <c r="H58" s="92"/>
      <c r="I58" s="91" t="s">
        <v>97</v>
      </c>
      <c r="O58" s="156" t="s">
        <v>71</v>
      </c>
      <c r="P58" s="157">
        <v>19</v>
      </c>
      <c r="Q58" s="157">
        <v>12.5</v>
      </c>
      <c r="R58" s="157">
        <v>9.5</v>
      </c>
      <c r="S58" s="158">
        <v>4.75</v>
      </c>
      <c r="T58" s="157">
        <v>4.75</v>
      </c>
      <c r="U58" s="157">
        <v>2.36</v>
      </c>
      <c r="V58" s="152"/>
      <c r="W58" s="152"/>
      <c r="X58" s="152"/>
      <c r="Y58" s="166"/>
      <c r="Z58" s="156" t="s">
        <v>73</v>
      </c>
      <c r="AA58" s="165">
        <f>HLOOKUP($P$53,$P$57:$U$61,4,FALSE)</f>
        <v>0.6</v>
      </c>
      <c r="AB58" s="179" t="e">
        <f>AA22</f>
        <v>#REF!</v>
      </c>
      <c r="AC58" s="152"/>
      <c r="AD58" s="152"/>
      <c r="AE58" s="152"/>
      <c r="AF58" s="152"/>
      <c r="AG58" s="153"/>
      <c r="AH58" s="153"/>
      <c r="AI58" s="153"/>
      <c r="AJ58" s="153"/>
      <c r="AK58" s="153"/>
      <c r="AL58" s="153"/>
      <c r="AM58" s="153"/>
      <c r="AN58" s="153"/>
      <c r="AO58" s="153"/>
      <c r="AP58" s="153"/>
    </row>
    <row r="59" spans="1:49" ht="15" x14ac:dyDescent="0.25">
      <c r="B59" s="94" t="s">
        <v>106</v>
      </c>
      <c r="C59" s="93"/>
      <c r="D59" s="93"/>
      <c r="E59" s="91"/>
      <c r="H59" s="93"/>
      <c r="I59" s="94" t="s">
        <v>98</v>
      </c>
      <c r="O59" s="156" t="s">
        <v>72</v>
      </c>
      <c r="P59" s="157">
        <v>9.5</v>
      </c>
      <c r="Q59" s="157">
        <v>4.75</v>
      </c>
      <c r="R59" s="157">
        <v>4.75</v>
      </c>
      <c r="S59" s="157">
        <v>2.36</v>
      </c>
      <c r="T59" s="157">
        <v>2.36</v>
      </c>
      <c r="U59" s="157">
        <v>1.18</v>
      </c>
      <c r="V59" s="152"/>
      <c r="W59" s="152"/>
      <c r="X59" s="152"/>
      <c r="Y59" s="152"/>
      <c r="Z59" s="156" t="s">
        <v>74</v>
      </c>
      <c r="AA59" s="165">
        <f>HLOOKUP($P$53,$P$57:$U$61,5,FALSE)</f>
        <v>0.15</v>
      </c>
      <c r="AB59" s="179" t="e">
        <f>AA23</f>
        <v>#REF!</v>
      </c>
      <c r="AC59" s="152"/>
      <c r="AD59" s="152"/>
      <c r="AE59" s="152"/>
      <c r="AF59" s="152"/>
      <c r="AG59" s="153"/>
      <c r="AH59" s="153"/>
      <c r="AI59" s="153"/>
      <c r="AJ59" s="153"/>
      <c r="AK59" s="153"/>
      <c r="AL59" s="153"/>
      <c r="AM59" s="153"/>
      <c r="AN59" s="153"/>
      <c r="AO59" s="153"/>
      <c r="AP59" s="153"/>
    </row>
    <row r="60" spans="1:49" ht="15" x14ac:dyDescent="0.25">
      <c r="O60" s="156" t="s">
        <v>73</v>
      </c>
      <c r="P60" s="157">
        <v>2.36</v>
      </c>
      <c r="Q60" s="157">
        <v>1.18</v>
      </c>
      <c r="R60" s="157">
        <v>1.18</v>
      </c>
      <c r="S60" s="157">
        <v>0.6</v>
      </c>
      <c r="T60" s="157">
        <v>0.6</v>
      </c>
      <c r="U60" s="157">
        <v>0.3</v>
      </c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53"/>
      <c r="AH60" s="153"/>
      <c r="AI60" s="153"/>
      <c r="AJ60" s="153"/>
      <c r="AK60" s="153"/>
      <c r="AL60" s="153"/>
      <c r="AM60" s="153"/>
      <c r="AN60" s="153"/>
      <c r="AO60" s="153"/>
      <c r="AP60" s="153"/>
    </row>
    <row r="61" spans="1:49" ht="15" x14ac:dyDescent="0.25">
      <c r="O61" s="156" t="s">
        <v>74</v>
      </c>
      <c r="P61" s="157">
        <v>0.6</v>
      </c>
      <c r="Q61" s="157">
        <v>0.3</v>
      </c>
      <c r="R61" s="157">
        <v>0.3</v>
      </c>
      <c r="S61" s="157">
        <v>0.15</v>
      </c>
      <c r="T61" s="157">
        <v>0.15</v>
      </c>
      <c r="U61" s="157">
        <v>7.4999999999999997E-2</v>
      </c>
      <c r="V61" s="159"/>
      <c r="W61" s="159"/>
      <c r="X61" s="1220"/>
      <c r="Y61" s="1220"/>
      <c r="Z61" s="1220"/>
      <c r="AA61" s="1220"/>
      <c r="AB61" s="1220"/>
      <c r="AC61" s="1220"/>
      <c r="AD61" s="1220"/>
      <c r="AE61" s="1220"/>
      <c r="AF61" s="1220"/>
      <c r="AG61" s="160"/>
      <c r="AH61" s="153"/>
      <c r="AI61" s="153"/>
      <c r="AJ61" s="153"/>
      <c r="AK61" s="153"/>
      <c r="AL61" s="153"/>
      <c r="AM61" s="153"/>
      <c r="AN61" s="153"/>
      <c r="AO61" s="153"/>
      <c r="AP61" s="153"/>
    </row>
    <row r="62" spans="1:49" x14ac:dyDescent="0.2">
      <c r="O62" s="161" t="s">
        <v>75</v>
      </c>
      <c r="P62" s="162"/>
      <c r="Q62" s="162"/>
      <c r="R62" s="162"/>
      <c r="S62" s="162"/>
      <c r="T62" s="162"/>
      <c r="U62" s="162"/>
      <c r="V62" s="159"/>
      <c r="W62" s="159"/>
      <c r="X62" s="1220"/>
      <c r="Y62" s="1220"/>
      <c r="Z62" s="1220"/>
      <c r="AA62" s="1220"/>
      <c r="AB62" s="1220"/>
      <c r="AC62" s="1220"/>
      <c r="AD62" s="1220"/>
      <c r="AE62" s="1220"/>
      <c r="AF62" s="1220"/>
      <c r="AG62" s="160"/>
      <c r="AH62" s="153"/>
      <c r="AI62" s="152"/>
      <c r="AJ62" s="153"/>
      <c r="AK62" s="153"/>
      <c r="AL62" s="153"/>
      <c r="AM62" s="153"/>
      <c r="AN62" s="153"/>
      <c r="AO62" s="153"/>
      <c r="AP62" s="153"/>
    </row>
    <row r="63" spans="1:49" x14ac:dyDescent="0.2">
      <c r="O63" s="163"/>
      <c r="P63" s="163"/>
      <c r="Q63" s="163"/>
      <c r="R63" s="1220"/>
      <c r="S63" s="1220"/>
      <c r="T63" s="1220"/>
      <c r="U63" s="1220"/>
      <c r="V63" s="1220"/>
      <c r="W63" s="1220"/>
      <c r="X63" s="1220"/>
      <c r="Y63" s="1220"/>
      <c r="Z63" s="1220"/>
      <c r="AA63" s="1220"/>
      <c r="AB63" s="1220"/>
      <c r="AC63" s="1220"/>
      <c r="AD63" s="1220"/>
      <c r="AE63" s="1220"/>
      <c r="AF63" s="1220"/>
      <c r="AG63" s="160"/>
      <c r="AH63" s="153"/>
      <c r="AI63" s="152"/>
      <c r="AJ63" s="153"/>
      <c r="AK63" s="153"/>
      <c r="AL63" s="153"/>
      <c r="AM63" s="153"/>
      <c r="AN63" s="153"/>
      <c r="AO63" s="153"/>
      <c r="AP63" s="153"/>
    </row>
    <row r="64" spans="1:49" x14ac:dyDescent="0.2">
      <c r="O64" s="152">
        <v>6</v>
      </c>
      <c r="P64" s="152" t="s">
        <v>86</v>
      </c>
      <c r="Q64" s="152"/>
      <c r="S64" s="152"/>
      <c r="T64" s="152"/>
      <c r="U64" s="152"/>
      <c r="V64" s="152"/>
      <c r="W64" s="152"/>
      <c r="X64" s="1220"/>
      <c r="Y64" s="1220"/>
      <c r="Z64" s="1220"/>
      <c r="AA64" s="1220"/>
      <c r="AB64" s="1220"/>
      <c r="AC64" s="1220"/>
      <c r="AD64" s="1220"/>
      <c r="AE64" s="1220"/>
      <c r="AF64" s="1220"/>
      <c r="AG64" s="160"/>
      <c r="AH64" s="152"/>
      <c r="AI64" s="152"/>
      <c r="AJ64" s="152"/>
      <c r="AK64" s="152"/>
      <c r="AL64" s="152"/>
      <c r="AM64" s="153"/>
      <c r="AN64" s="153"/>
      <c r="AO64" s="153"/>
      <c r="AP64" s="153"/>
    </row>
    <row r="65" spans="15:42" x14ac:dyDescent="0.2"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2"/>
      <c r="AC65" s="152"/>
      <c r="AD65" s="152"/>
      <c r="AE65" s="159"/>
      <c r="AF65" s="159"/>
      <c r="AG65" s="160"/>
      <c r="AH65" s="152"/>
      <c r="AI65" s="152"/>
      <c r="AJ65" s="152"/>
      <c r="AK65" s="152"/>
      <c r="AL65" s="152"/>
      <c r="AM65" s="153"/>
      <c r="AN65" s="153"/>
      <c r="AO65" s="153"/>
      <c r="AP65" s="153"/>
    </row>
    <row r="66" spans="15:42" x14ac:dyDescent="0.2"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9"/>
      <c r="AF66" s="159"/>
      <c r="AG66" s="160"/>
      <c r="AH66" s="152"/>
      <c r="AI66" s="152"/>
      <c r="AJ66" s="152"/>
      <c r="AK66" s="152"/>
      <c r="AL66" s="152"/>
      <c r="AM66" s="153"/>
      <c r="AN66" s="164"/>
      <c r="AO66" s="153"/>
      <c r="AP66" s="153"/>
    </row>
    <row r="67" spans="15:42" ht="15" x14ac:dyDescent="0.25">
      <c r="P67" s="180" t="s">
        <v>87</v>
      </c>
      <c r="Q67" s="181"/>
      <c r="R67" s="181"/>
      <c r="S67" s="181"/>
      <c r="T67" s="181"/>
      <c r="U67" s="182"/>
      <c r="V67" s="1231" t="s">
        <v>88</v>
      </c>
      <c r="W67" s="1232"/>
      <c r="X67" s="1228" t="s">
        <v>89</v>
      </c>
      <c r="Y67" s="1228"/>
      <c r="Z67" s="173"/>
      <c r="AA67" s="152"/>
      <c r="AB67" s="152"/>
      <c r="AC67" s="152"/>
      <c r="AD67" s="152"/>
      <c r="AE67" s="152"/>
      <c r="AF67" s="152"/>
      <c r="AG67" s="160"/>
      <c r="AH67" s="152"/>
      <c r="AI67" s="152"/>
      <c r="AJ67" s="152"/>
      <c r="AK67" s="152"/>
      <c r="AL67" s="152"/>
      <c r="AM67" s="153"/>
      <c r="AN67" s="153"/>
      <c r="AO67" s="153"/>
      <c r="AP67" s="153"/>
    </row>
    <row r="68" spans="15:42" x14ac:dyDescent="0.2">
      <c r="P68" s="1223" t="s">
        <v>80</v>
      </c>
      <c r="Q68" s="1224"/>
      <c r="R68" s="1224"/>
      <c r="S68" s="1224"/>
      <c r="T68" s="1225"/>
      <c r="U68" s="165" t="s">
        <v>81</v>
      </c>
      <c r="V68" s="171">
        <f>HLOOKUP($P$53,$AK$54:$AV$57,2,FALSE)</f>
        <v>0.5</v>
      </c>
      <c r="W68" s="172">
        <f>HLOOKUP($P$53+0.01,$AK$54:$AV$57,2,FALSE)</f>
        <v>0.65</v>
      </c>
      <c r="X68" s="1230" t="e">
        <f>(AB56-AB57)/(100-AB56)</f>
        <v>#REF!</v>
      </c>
      <c r="Y68" s="1230"/>
      <c r="Z68" s="174" t="e">
        <f>IF(X68&gt;V68,IF(X68&gt;W68,"No Cumple","Si Cumple"),"No Cumple")</f>
        <v>#REF!</v>
      </c>
      <c r="AA68" s="152"/>
      <c r="AB68" s="175"/>
      <c r="AC68" s="152"/>
      <c r="AD68" s="152"/>
      <c r="AE68" s="152"/>
      <c r="AF68" s="152"/>
      <c r="AG68" s="160"/>
      <c r="AH68" s="152"/>
      <c r="AI68" s="152"/>
      <c r="AJ68" s="152"/>
      <c r="AK68" s="152"/>
      <c r="AL68" s="152"/>
      <c r="AM68" s="153"/>
      <c r="AN68" s="153"/>
      <c r="AO68" s="153"/>
      <c r="AP68" s="153"/>
    </row>
    <row r="69" spans="15:42" x14ac:dyDescent="0.2">
      <c r="P69" s="1226" t="s">
        <v>82</v>
      </c>
      <c r="Q69" s="1226"/>
      <c r="R69" s="1226"/>
      <c r="S69" s="1226"/>
      <c r="T69" s="1226"/>
      <c r="U69" s="165" t="s">
        <v>83</v>
      </c>
      <c r="V69" s="171">
        <f>HLOOKUP($P$53,$AK$54:$AV$57,3,FALSE)</f>
        <v>0.35</v>
      </c>
      <c r="W69" s="172">
        <f>HLOOKUP($P$53+0.01,$AK$54:$AV$57,3,FALSE)</f>
        <v>0.5</v>
      </c>
      <c r="X69" s="1230" t="e">
        <f>AB58/AB57</f>
        <v>#REF!</v>
      </c>
      <c r="Y69" s="1230"/>
      <c r="Z69" s="174" t="e">
        <f>IF(X69&gt;V69,IF(X69&gt;W69,"No Cumple","Si Cumple"),"No Cumple")</f>
        <v>#REF!</v>
      </c>
      <c r="AA69" s="152"/>
      <c r="AB69" s="175"/>
      <c r="AC69" s="152"/>
      <c r="AD69" s="152"/>
      <c r="AE69" s="152"/>
      <c r="AF69" s="152"/>
      <c r="AG69" s="160"/>
      <c r="AH69" s="152"/>
      <c r="AI69" s="152"/>
      <c r="AJ69" s="152"/>
      <c r="AK69" s="152"/>
      <c r="AL69" s="152"/>
      <c r="AM69" s="153"/>
      <c r="AN69" s="153"/>
      <c r="AO69" s="153"/>
      <c r="AP69" s="153"/>
    </row>
    <row r="70" spans="15:42" x14ac:dyDescent="0.2">
      <c r="P70" s="1226" t="s">
        <v>84</v>
      </c>
      <c r="Q70" s="1226"/>
      <c r="R70" s="1226"/>
      <c r="S70" s="1226"/>
      <c r="T70" s="1226"/>
      <c r="U70" s="165" t="s">
        <v>85</v>
      </c>
      <c r="V70" s="171">
        <f>HLOOKUP($P$53,$AK$54:$AV$57,4,FALSE)</f>
        <v>0.35</v>
      </c>
      <c r="W70" s="172">
        <f>HLOOKUP($P$53+0.01,$AK$54:$AV$57,4,FALSE)</f>
        <v>0.5</v>
      </c>
      <c r="X70" s="1230" t="e">
        <f>AB59/AB58</f>
        <v>#REF!</v>
      </c>
      <c r="Y70" s="1230"/>
      <c r="Z70" s="174" t="e">
        <f>IF(X70&gt;V70,IF(X70&gt;W70,"No Cumple","Si Cumple"),"No Cumple")</f>
        <v>#REF!</v>
      </c>
      <c r="AA70" s="152"/>
      <c r="AB70" s="175"/>
      <c r="AC70" s="152"/>
      <c r="AD70" s="152"/>
      <c r="AE70" s="152"/>
      <c r="AF70" s="152"/>
      <c r="AG70" s="160"/>
      <c r="AH70" s="152"/>
      <c r="AI70" s="152"/>
      <c r="AJ70" s="152"/>
      <c r="AK70" s="152"/>
      <c r="AL70" s="152"/>
      <c r="AM70" s="153"/>
      <c r="AN70" s="153"/>
      <c r="AO70" s="153"/>
      <c r="AP70" s="153"/>
    </row>
    <row r="71" spans="15:42" x14ac:dyDescent="0.2"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60"/>
      <c r="AH71" s="152"/>
      <c r="AI71" s="152"/>
      <c r="AJ71" s="152"/>
      <c r="AK71" s="152"/>
      <c r="AL71" s="152"/>
      <c r="AM71" s="153"/>
      <c r="AN71" s="153"/>
      <c r="AO71" s="153"/>
      <c r="AP71" s="153"/>
    </row>
    <row r="72" spans="15:42" x14ac:dyDescent="0.2">
      <c r="AE72" s="152"/>
      <c r="AF72" s="152"/>
      <c r="AG72" s="153"/>
      <c r="AH72" s="153"/>
      <c r="AI72" s="153"/>
      <c r="AJ72" s="153"/>
      <c r="AK72" s="153"/>
      <c r="AL72" s="152"/>
      <c r="AM72" s="153"/>
      <c r="AN72" s="153"/>
      <c r="AO72" s="153"/>
      <c r="AP72" s="153"/>
    </row>
    <row r="73" spans="15:42" x14ac:dyDescent="0.2"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3"/>
      <c r="AH73" s="153"/>
      <c r="AI73" s="153"/>
      <c r="AJ73" s="153"/>
      <c r="AK73" s="153"/>
      <c r="AL73" s="152"/>
      <c r="AM73" s="153"/>
      <c r="AN73" s="153"/>
      <c r="AO73" s="153"/>
      <c r="AP73" s="153"/>
    </row>
    <row r="74" spans="15:42" x14ac:dyDescent="0.2"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53"/>
      <c r="AH74" s="153"/>
      <c r="AI74" s="153"/>
      <c r="AJ74" s="153"/>
      <c r="AK74" s="153"/>
      <c r="AL74" s="153"/>
      <c r="AM74" s="153"/>
      <c r="AN74" s="153"/>
      <c r="AO74" s="153"/>
      <c r="AP74" s="153"/>
    </row>
    <row r="75" spans="15:42" x14ac:dyDescent="0.2">
      <c r="AI75" s="153"/>
      <c r="AJ75" s="153"/>
      <c r="AK75" s="153"/>
      <c r="AL75" s="153"/>
      <c r="AM75" s="153"/>
      <c r="AN75" s="153"/>
      <c r="AO75" s="153"/>
      <c r="AP75" s="153"/>
    </row>
    <row r="76" spans="15:42" x14ac:dyDescent="0.2">
      <c r="AI76" s="153"/>
      <c r="AJ76" s="153"/>
      <c r="AK76" s="153"/>
      <c r="AL76" s="153"/>
      <c r="AM76" s="153"/>
      <c r="AN76" s="153"/>
      <c r="AO76" s="153"/>
      <c r="AP76" s="153"/>
    </row>
    <row r="77" spans="15:42" x14ac:dyDescent="0.2">
      <c r="AI77" s="153"/>
      <c r="AJ77" s="153"/>
      <c r="AK77" s="153"/>
      <c r="AL77" s="153"/>
      <c r="AM77" s="153"/>
      <c r="AN77" s="153"/>
      <c r="AO77" s="153"/>
      <c r="AP77" s="153"/>
    </row>
    <row r="78" spans="15:42" x14ac:dyDescent="0.2">
      <c r="AI78" s="153"/>
      <c r="AJ78" s="153"/>
      <c r="AK78" s="153"/>
      <c r="AL78" s="153"/>
      <c r="AM78" s="153"/>
      <c r="AN78" s="153"/>
      <c r="AO78" s="153"/>
      <c r="AP78" s="153"/>
    </row>
    <row r="79" spans="15:42" x14ac:dyDescent="0.2">
      <c r="AI79" s="153"/>
      <c r="AJ79" s="153"/>
      <c r="AK79" s="153"/>
      <c r="AL79" s="153"/>
      <c r="AM79" s="153"/>
      <c r="AN79" s="153"/>
      <c r="AO79" s="153"/>
      <c r="AP79" s="153"/>
    </row>
    <row r="80" spans="15:42" x14ac:dyDescent="0.2">
      <c r="AI80" s="153"/>
      <c r="AJ80" s="153"/>
      <c r="AK80" s="153"/>
      <c r="AL80" s="153"/>
      <c r="AM80" s="153"/>
      <c r="AN80" s="153"/>
      <c r="AO80" s="152"/>
      <c r="AP80" s="152"/>
    </row>
    <row r="81" spans="15:42" x14ac:dyDescent="0.2"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3"/>
      <c r="AH81" s="153"/>
      <c r="AI81" s="153"/>
      <c r="AJ81" s="153"/>
      <c r="AK81" s="153"/>
      <c r="AL81" s="153"/>
      <c r="AM81" s="153"/>
      <c r="AN81" s="153"/>
      <c r="AO81" s="152"/>
      <c r="AP81" s="152"/>
    </row>
    <row r="82" spans="15:42" x14ac:dyDescent="0.2"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53"/>
      <c r="AH82" s="153"/>
      <c r="AI82" s="153"/>
      <c r="AJ82" s="153"/>
      <c r="AK82" s="153"/>
      <c r="AL82" s="153"/>
      <c r="AM82" s="153"/>
      <c r="AN82" s="153"/>
      <c r="AO82" s="152"/>
      <c r="AP82" s="152"/>
    </row>
    <row r="83" spans="15:42" x14ac:dyDescent="0.2"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53"/>
      <c r="AH83" s="153"/>
      <c r="AI83" s="153"/>
      <c r="AJ83" s="153"/>
      <c r="AK83" s="153"/>
      <c r="AL83" s="153"/>
      <c r="AM83" s="153"/>
      <c r="AN83" s="153"/>
      <c r="AO83" s="152"/>
      <c r="AP83" s="152"/>
    </row>
    <row r="84" spans="15:42" x14ac:dyDescent="0.2"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3"/>
      <c r="AH84" s="153"/>
      <c r="AI84" s="153"/>
      <c r="AJ84" s="153"/>
      <c r="AK84" s="153"/>
      <c r="AL84" s="153"/>
      <c r="AM84" s="153"/>
      <c r="AN84" s="153"/>
      <c r="AO84" s="152"/>
      <c r="AP84" s="152"/>
    </row>
    <row r="85" spans="15:42" x14ac:dyDescent="0.2"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3"/>
      <c r="AH85" s="153"/>
      <c r="AI85" s="153"/>
      <c r="AJ85" s="153"/>
      <c r="AK85" s="153"/>
      <c r="AL85" s="153"/>
      <c r="AM85" s="153"/>
      <c r="AN85" s="153"/>
      <c r="AO85" s="152"/>
      <c r="AP85" s="152"/>
    </row>
    <row r="86" spans="15:42" x14ac:dyDescent="0.2">
      <c r="O86" s="152"/>
      <c r="AE86" s="152"/>
      <c r="AF86" s="152"/>
      <c r="AG86" s="153"/>
      <c r="AH86" s="153"/>
      <c r="AI86" s="153"/>
      <c r="AJ86" s="153"/>
      <c r="AK86" s="153"/>
      <c r="AL86" s="153"/>
      <c r="AM86" s="153"/>
      <c r="AN86" s="153"/>
      <c r="AO86" s="152"/>
      <c r="AP86" s="152"/>
    </row>
    <row r="87" spans="15:42" x14ac:dyDescent="0.2">
      <c r="O87" s="152"/>
      <c r="AE87" s="152"/>
      <c r="AF87" s="152"/>
      <c r="AG87" s="153"/>
      <c r="AH87" s="153"/>
      <c r="AI87" s="153"/>
      <c r="AJ87" s="153"/>
      <c r="AK87" s="153"/>
      <c r="AL87" s="153"/>
      <c r="AM87" s="153"/>
      <c r="AN87" s="153"/>
      <c r="AO87" s="152"/>
      <c r="AP87" s="152"/>
    </row>
    <row r="88" spans="15:42" x14ac:dyDescent="0.2">
      <c r="O88" s="152"/>
      <c r="AE88" s="152"/>
      <c r="AF88" s="152"/>
      <c r="AG88" s="153"/>
      <c r="AH88" s="153"/>
      <c r="AI88" s="153"/>
      <c r="AJ88" s="153"/>
      <c r="AK88" s="153"/>
      <c r="AL88" s="153"/>
      <c r="AM88" s="153"/>
      <c r="AN88" s="153"/>
      <c r="AO88" s="152"/>
      <c r="AP88" s="152"/>
    </row>
    <row r="89" spans="15:42" x14ac:dyDescent="0.2">
      <c r="O89" s="152"/>
      <c r="AE89" s="152"/>
      <c r="AF89" s="152"/>
      <c r="AG89" s="153"/>
      <c r="AH89" s="153"/>
      <c r="AI89" s="153"/>
      <c r="AJ89" s="153"/>
      <c r="AK89" s="153"/>
      <c r="AL89" s="153"/>
      <c r="AM89" s="176"/>
      <c r="AN89" s="153"/>
      <c r="AO89" s="152"/>
      <c r="AP89" s="152"/>
    </row>
    <row r="90" spans="15:42" x14ac:dyDescent="0.2">
      <c r="O90" s="152"/>
      <c r="AE90" s="152"/>
      <c r="AF90" s="152"/>
      <c r="AG90" s="153"/>
      <c r="AH90" s="153"/>
      <c r="AI90" s="153"/>
      <c r="AJ90" s="153"/>
      <c r="AK90" s="153"/>
      <c r="AL90" s="153"/>
      <c r="AM90" s="153"/>
      <c r="AN90" s="153"/>
      <c r="AO90" s="152"/>
      <c r="AP90" s="152"/>
    </row>
    <row r="91" spans="15:42" x14ac:dyDescent="0.2">
      <c r="O91" s="152"/>
      <c r="AE91" s="152"/>
      <c r="AF91" s="152"/>
      <c r="AG91" s="153"/>
      <c r="AH91" s="153"/>
      <c r="AI91" s="153"/>
      <c r="AJ91" s="153"/>
      <c r="AK91" s="153"/>
      <c r="AL91" s="153"/>
      <c r="AM91" s="153"/>
      <c r="AN91" s="153"/>
      <c r="AO91" s="152"/>
      <c r="AP91" s="152"/>
    </row>
    <row r="92" spans="15:42" x14ac:dyDescent="0.2">
      <c r="O92" s="152"/>
      <c r="AE92" s="152"/>
      <c r="AF92" s="152"/>
      <c r="AG92" s="153"/>
      <c r="AH92" s="153"/>
      <c r="AI92" s="153"/>
      <c r="AJ92" s="153"/>
      <c r="AK92" s="153"/>
      <c r="AL92" s="153"/>
      <c r="AM92" s="176"/>
      <c r="AN92" s="153"/>
      <c r="AO92" s="152"/>
      <c r="AP92" s="152"/>
    </row>
    <row r="775" spans="1:1" x14ac:dyDescent="0.2">
      <c r="A775" s="7">
        <v>7</v>
      </c>
    </row>
  </sheetData>
  <protectedRanges>
    <protectedRange sqref="L15 M14" name="Rango1"/>
    <protectedRange sqref="K2:K3" name="Rango1_1_1"/>
  </protectedRanges>
  <mergeCells count="81">
    <mergeCell ref="V67:W67"/>
    <mergeCell ref="X67:Y67"/>
    <mergeCell ref="P27:Q27"/>
    <mergeCell ref="R27:S27"/>
    <mergeCell ref="R28:S28"/>
    <mergeCell ref="R29:S29"/>
    <mergeCell ref="R30:S30"/>
    <mergeCell ref="R63:T63"/>
    <mergeCell ref="X64:Z64"/>
    <mergeCell ref="U63:W63"/>
    <mergeCell ref="X68:Y68"/>
    <mergeCell ref="P69:T69"/>
    <mergeCell ref="X69:Y69"/>
    <mergeCell ref="P70:T70"/>
    <mergeCell ref="X70:Y70"/>
    <mergeCell ref="P68:T68"/>
    <mergeCell ref="AA64:AC64"/>
    <mergeCell ref="AD64:AF64"/>
    <mergeCell ref="X62:Z62"/>
    <mergeCell ref="AA62:AC62"/>
    <mergeCell ref="AD62:AF62"/>
    <mergeCell ref="X63:Z63"/>
    <mergeCell ref="AA63:AC63"/>
    <mergeCell ref="AD63:AF63"/>
    <mergeCell ref="Z16:AB16"/>
    <mergeCell ref="P55:U55"/>
    <mergeCell ref="P56:U56"/>
    <mergeCell ref="X61:Z61"/>
    <mergeCell ref="AA61:AC61"/>
    <mergeCell ref="AD61:AF61"/>
    <mergeCell ref="Z53:Z55"/>
    <mergeCell ref="AA53:AA55"/>
    <mergeCell ref="AB53:AB55"/>
    <mergeCell ref="AE55:AI55"/>
    <mergeCell ref="AE56:AI56"/>
    <mergeCell ref="AE57:AI57"/>
    <mergeCell ref="O1:P1"/>
    <mergeCell ref="Q1:R1"/>
    <mergeCell ref="S1:T1"/>
    <mergeCell ref="J15:L15"/>
    <mergeCell ref="K1:L1"/>
    <mergeCell ref="A10:L10"/>
    <mergeCell ref="K2:L2"/>
    <mergeCell ref="A1:B4"/>
    <mergeCell ref="J3:J4"/>
    <mergeCell ref="K3:L4"/>
    <mergeCell ref="K5:L5"/>
    <mergeCell ref="I12:J12"/>
    <mergeCell ref="K12:L12"/>
    <mergeCell ref="B12:E12"/>
    <mergeCell ref="A11:B11"/>
    <mergeCell ref="A43:B43"/>
    <mergeCell ref="C43:D43"/>
    <mergeCell ref="A44:B44"/>
    <mergeCell ref="C44:D44"/>
    <mergeCell ref="C1:I4"/>
    <mergeCell ref="F15:H15"/>
    <mergeCell ref="A6:B6"/>
    <mergeCell ref="A5:B5"/>
    <mergeCell ref="A7:B7"/>
    <mergeCell ref="A8:B8"/>
    <mergeCell ref="A14:L14"/>
    <mergeCell ref="F12:H12"/>
    <mergeCell ref="J8:K8"/>
    <mergeCell ref="D11:E11"/>
    <mergeCell ref="G11:H11"/>
    <mergeCell ref="J11:K11"/>
    <mergeCell ref="A45:B45"/>
    <mergeCell ref="C45:D45"/>
    <mergeCell ref="A46:B46"/>
    <mergeCell ref="C46:D46"/>
    <mergeCell ref="A47:B47"/>
    <mergeCell ref="C47:D47"/>
    <mergeCell ref="A50:B50"/>
    <mergeCell ref="C50:D50"/>
    <mergeCell ref="A51:B51"/>
    <mergeCell ref="C51:D51"/>
    <mergeCell ref="A48:B48"/>
    <mergeCell ref="A49:B49"/>
    <mergeCell ref="C48:D48"/>
    <mergeCell ref="C49:D49"/>
  </mergeCells>
  <conditionalFormatting sqref="Q13">
    <cfRule type="cellIs" dxfId="0" priority="9" stopIfTrue="1" operator="notEqual">
      <formula>#REF!</formula>
    </cfRule>
  </conditionalFormatting>
  <printOptions horizontalCentered="1"/>
  <pageMargins left="0.47244094488188981" right="0.39370078740157483" top="0.70866141732283472" bottom="0.74803149606299213" header="0.55118110236220474" footer="0.62992125984251968"/>
  <pageSetup paperSize="9" scale="78" pageOrder="overThenDown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78233" r:id="rId4" name="Spinner 2329">
              <controlPr defaultSize="0" print="0" autoPict="0">
                <anchor moveWithCells="1">
                  <from>
                    <xdr:col>13</xdr:col>
                    <xdr:colOff>133350</xdr:colOff>
                    <xdr:row>6</xdr:row>
                    <xdr:rowOff>9525</xdr:rowOff>
                  </from>
                  <to>
                    <xdr:col>13</xdr:col>
                    <xdr:colOff>409575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84" r:id="rId5" name="Spinner 2880">
              <controlPr defaultSize="0" print="0" autoPict="0">
                <anchor moveWithCells="1">
                  <from>
                    <xdr:col>13</xdr:col>
                    <xdr:colOff>123825</xdr:colOff>
                    <xdr:row>30</xdr:row>
                    <xdr:rowOff>123825</xdr:rowOff>
                  </from>
                  <to>
                    <xdr:col>13</xdr:col>
                    <xdr:colOff>400050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85" r:id="rId6" name="Button 2881">
              <controlPr defaultSize="0" print="0" autoFill="0" autoPict="0" macro="[0]!Macro1">
                <anchor moveWithCells="1" sizeWithCells="1">
                  <from>
                    <xdr:col>13</xdr:col>
                    <xdr:colOff>161925</xdr:colOff>
                    <xdr:row>10</xdr:row>
                    <xdr:rowOff>104775</xdr:rowOff>
                  </from>
                  <to>
                    <xdr:col>16</xdr:col>
                    <xdr:colOff>190500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MD-12 UMV</vt:lpstr>
      <vt:lpstr>Pista</vt:lpstr>
      <vt:lpstr>firmas</vt:lpstr>
      <vt:lpstr>Hoja1</vt:lpstr>
      <vt:lpstr>Formato</vt:lpstr>
      <vt:lpstr>Formato!Área_de_impresión</vt:lpstr>
      <vt:lpstr>'MD-12 UMV'!Área_de_impresión</vt:lpstr>
      <vt:lpstr>Pista!Área_de_impresión</vt:lpstr>
      <vt:lpstr>Formato!muestra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SISOOMC</dc:creator>
  <cp:lastModifiedBy>Karen Daniela Flórez Barón</cp:lastModifiedBy>
  <cp:lastPrinted>2022-12-02T18:12:08Z</cp:lastPrinted>
  <dcterms:created xsi:type="dcterms:W3CDTF">2011-04-13T16:07:04Z</dcterms:created>
  <dcterms:modified xsi:type="dcterms:W3CDTF">2022-12-14T13:40:11Z</dcterms:modified>
</cp:coreProperties>
</file>