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Laboratorio\9. Acreditacion\1. Control de documentos\1. Aprobaciones\60. Aprobaciones 2022-10- (2)\Formatos\"/>
    </mc:Choice>
  </mc:AlternateContent>
  <bookViews>
    <workbookView xWindow="0" yWindow="0" windowWidth="20490" windowHeight="7650" tabRatio="540"/>
  </bookViews>
  <sheets>
    <sheet name="MEZCLA EN FRIO" sheetId="38" r:id="rId1"/>
    <sheet name="TSR" sheetId="39" state="hidden" r:id="rId2"/>
    <sheet name="firmas" sheetId="37" state="hidden" r:id="rId3"/>
    <sheet name="Hoja1" sheetId="36" state="hidden" r:id="rId4"/>
    <sheet name="Formato" sheetId="10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_________A1" localSheetId="4">#REF!</definedName>
    <definedName name="______________imp1" localSheetId="4">#REF!</definedName>
    <definedName name="______________imp2" localSheetId="4">#REF!</definedName>
    <definedName name="_____________A1" localSheetId="4">#REF!</definedName>
    <definedName name="_____________imp1" localSheetId="4">#REF!</definedName>
    <definedName name="_____________imp2" localSheetId="4">#REF!</definedName>
    <definedName name="_____________LAR4" localSheetId="4">[1]DATOS!#REF!</definedName>
    <definedName name="____________A1" localSheetId="4">#REF!</definedName>
    <definedName name="____________imp1" localSheetId="4">#REF!</definedName>
    <definedName name="____________imp2" localSheetId="4">#REF!</definedName>
    <definedName name="____________LAR4" localSheetId="4">[1]DATOS!#REF!</definedName>
    <definedName name="___________A1" localSheetId="4">#REF!</definedName>
    <definedName name="___________imp1" localSheetId="4">#REF!</definedName>
    <definedName name="___________imp2" localSheetId="4">#REF!</definedName>
    <definedName name="___________LAR4" localSheetId="4">[1]DATOS!#REF!</definedName>
    <definedName name="__________A1" localSheetId="4">#REF!</definedName>
    <definedName name="__________imp1" localSheetId="4">#REF!</definedName>
    <definedName name="__________imp2" localSheetId="4">#REF!</definedName>
    <definedName name="__________LAR4" localSheetId="4">[1]DATOS!#REF!</definedName>
    <definedName name="_________A1" localSheetId="4">#REF!</definedName>
    <definedName name="_________imp1" localSheetId="4">#REF!</definedName>
    <definedName name="_________imp2" localSheetId="4">#REF!</definedName>
    <definedName name="_________LAR4" localSheetId="4">[1]DATOS!#REF!</definedName>
    <definedName name="________A1" localSheetId="4">#REF!</definedName>
    <definedName name="________imp1" localSheetId="4">#REF!</definedName>
    <definedName name="________imp2" localSheetId="4">#REF!</definedName>
    <definedName name="________LAR4" localSheetId="4">[1]DATOS!#REF!</definedName>
    <definedName name="_______A1" localSheetId="4">#REF!</definedName>
    <definedName name="_______imp1" localSheetId="4">#REF!</definedName>
    <definedName name="_______imp2" localSheetId="4">#REF!</definedName>
    <definedName name="_______LAR4" localSheetId="4">[1]DATOS!#REF!</definedName>
    <definedName name="______A1" localSheetId="4">#REF!</definedName>
    <definedName name="______imp1" localSheetId="4">#REF!</definedName>
    <definedName name="______imp2" localSheetId="4">#REF!</definedName>
    <definedName name="______LAR4" localSheetId="4">[1]DATOS!#REF!</definedName>
    <definedName name="_____A1" localSheetId="4">#REF!</definedName>
    <definedName name="_____imp1" localSheetId="4">#REF!</definedName>
    <definedName name="_____imp2" localSheetId="4">#REF!</definedName>
    <definedName name="_____LAR4" localSheetId="4">[1]DATOS!#REF!</definedName>
    <definedName name="____A1" localSheetId="4">#REF!</definedName>
    <definedName name="____imp1" localSheetId="4">#REF!</definedName>
    <definedName name="____imp2" localSheetId="4">#REF!</definedName>
    <definedName name="____LAR4" localSheetId="4">[1]DATOS!#REF!</definedName>
    <definedName name="___A1" localSheetId="4">#REF!</definedName>
    <definedName name="___imp1" localSheetId="4">#REF!</definedName>
    <definedName name="___imp2" localSheetId="4">#REF!</definedName>
    <definedName name="___LAR4" localSheetId="4">[1]DATOS!#REF!</definedName>
    <definedName name="__123Graph_A" hidden="1">[2]AIU!$D$338:$D$357</definedName>
    <definedName name="__123Graph_Acaja" hidden="1">[2]EVA!$D$39:$AD$39</definedName>
    <definedName name="__123Graph_ACart_AnticAdic" hidden="1">[2]EVA!$F$95:$I$95</definedName>
    <definedName name="__123Graph_AFACTURAC" hidden="1">[2]Program!$B$120:$Y$120</definedName>
    <definedName name="__123Graph_AGraph2" hidden="1">[2]AIU!$D$338:$D$357</definedName>
    <definedName name="__123Graph_Bcaja" hidden="1">[2]EVA!$D$56:$AD$56</definedName>
    <definedName name="__123Graph_BCart_AnticAdic" hidden="1">[2]EVA!$F$96:$I$96</definedName>
    <definedName name="__123Graph_Ccaja" hidden="1">[2]EVA!$D$58:$AD$58</definedName>
    <definedName name="__123Graph_CCart_AnticAdic" hidden="1">[2]EVA!$F$97:$I$97</definedName>
    <definedName name="__123Graph_Dcaja" hidden="1">[2]EVA!$D$61:$AD$61</definedName>
    <definedName name="__123Graph_DCart_AnticAdic" hidden="1">[2]EVA!$F$99:$I$99</definedName>
    <definedName name="__123Graph_ECart_AnticAdic" hidden="1">[2]EVA!$F$99:$I$99</definedName>
    <definedName name="__123Graph_LBL_ACart_AnticAdic" hidden="1">[2]EVA!$J$95:$K$95</definedName>
    <definedName name="__123Graph_LBL_Ccaja" hidden="1">[2]EVA!$D$58:$AD$58</definedName>
    <definedName name="__123Graph_LBL_DCart_AnticAdic" hidden="1">[2]EVA!$F$98:$I$98</definedName>
    <definedName name="__123Graph_X" hidden="1">[2]AIU!$C$338:$C$357</definedName>
    <definedName name="__123Graph_Xcaja" hidden="1">[2]EVA!$D$6:$AD$6</definedName>
    <definedName name="__A1" localSheetId="4">#REF!</definedName>
    <definedName name="__imp1" localSheetId="4">#REF!</definedName>
    <definedName name="__imp2" localSheetId="4">#REF!</definedName>
    <definedName name="__LAR4" localSheetId="4">[1]DATOS!#REF!</definedName>
    <definedName name="_1__123Graph_ACart_Utilidad" hidden="1">[2]EVA!$F$104:$I$104</definedName>
    <definedName name="_2__123Graph_BCart_Utilidad" hidden="1">[2]EVA!$F$105:$I$105</definedName>
    <definedName name="_3__123Graph_CCart_Utilidad" hidden="1">[2]EVA!$F$106:$I$106</definedName>
    <definedName name="_3_4" localSheetId="4">[3]datos!#REF!</definedName>
    <definedName name="_4__123Graph_LBL_ACart_Utilidad" hidden="1">[2]EVA!$F$109:$I$109</definedName>
    <definedName name="_5__123Graph_LBL_BCart_Utilidad" hidden="1">[2]EVA!$F$110:$I$110</definedName>
    <definedName name="_6__123Graph_LBL_CCart_Utilidad" hidden="1">[2]EVA!$F$111:$I$111</definedName>
    <definedName name="_7__123Graph_XCart_Utilidad" hidden="1">[2]EVA!$F$103:$I$103</definedName>
    <definedName name="_8Acti_osdeobra" localSheetId="4">#REF!</definedName>
    <definedName name="_A1" localSheetId="4">#REF!</definedName>
    <definedName name="_Fill" localSheetId="4" hidden="1">#REF!</definedName>
    <definedName name="_Fill" localSheetId="0" hidden="1">#REF!</definedName>
    <definedName name="_Fill" localSheetId="1" hidden="1">#REF!</definedName>
    <definedName name="_Fill" hidden="1">#REF!</definedName>
    <definedName name="_imp1" localSheetId="4">#REF!</definedName>
    <definedName name="_imp2" localSheetId="4">#REF!</definedName>
    <definedName name="_Key1" localSheetId="4" hidden="1">[4]OCTUBRE!#REF!</definedName>
    <definedName name="_Key1" localSheetId="0" hidden="1">[4]OCTUBRE!#REF!</definedName>
    <definedName name="_Key1" localSheetId="1" hidden="1">[5]OCTUBRE!#REF!</definedName>
    <definedName name="_Key1" hidden="1">[4]OCTUBRE!#REF!</definedName>
    <definedName name="_LAR4" localSheetId="4">[1]DATOS!#REF!</definedName>
    <definedName name="_Order1" hidden="1">255</definedName>
    <definedName name="_Order2" hidden="1">255</definedName>
    <definedName name="_Regression_Out" localSheetId="1" hidden="1">[6]L!#REF!</definedName>
    <definedName name="_Regression_Out" hidden="1">[6]L!#REF!</definedName>
    <definedName name="_Regression_X" localSheetId="1" hidden="1">#REF!</definedName>
    <definedName name="_Regression_X" hidden="1">#REF!</definedName>
    <definedName name="_Regression_Y" localSheetId="1" hidden="1">#REF!</definedName>
    <definedName name="_Regression_Y" hidden="1">#REF!</definedName>
    <definedName name="_Sort" localSheetId="4" hidden="1">[4]OCTUBRE!#REF!</definedName>
    <definedName name="_Sort" localSheetId="0" hidden="1">[4]OCTUBRE!#REF!</definedName>
    <definedName name="_Sort" localSheetId="1" hidden="1">[5]OCTUBRE!#REF!</definedName>
    <definedName name="_Sort" hidden="1">[4]OCTUBRE!#REF!</definedName>
    <definedName name="A.I.U" localSheetId="4">#REF!</definedName>
    <definedName name="A_ANT" localSheetId="4">#REF!</definedName>
    <definedName name="A_HOY" localSheetId="4">#REF!</definedName>
    <definedName name="A_IMPRESIÓN_IM" localSheetId="4">#REF!</definedName>
    <definedName name="A_IMPRESIÚN_IM" localSheetId="4">#REF!</definedName>
    <definedName name="AA" localSheetId="4">#REF!</definedName>
    <definedName name="AAA" localSheetId="4">#REF!</definedName>
    <definedName name="abscisa1" localSheetId="4">[7]DATOS!$AP$3:$AP$486</definedName>
    <definedName name="abscisa2" localSheetId="4">[7]DATOS!#REF!</definedName>
    <definedName name="Abscisa3" localSheetId="4">[7]DATOS!#REF!</definedName>
    <definedName name="abscisa4" localSheetId="4">[7]DATOS!#REF!</definedName>
    <definedName name="abscisa5" localSheetId="4">[7]DATOS!#REF!</definedName>
    <definedName name="abscisa6" localSheetId="4">[7]DATOS!#REF!</definedName>
    <definedName name="AC" localSheetId="4">#REF!</definedName>
    <definedName name="ACA" localSheetId="4">#REF!</definedName>
    <definedName name="Adecueinstalacion" localSheetId="4">#REF!</definedName>
    <definedName name="AIU" localSheetId="4">#REF!</definedName>
    <definedName name="AjustDelAIU" localSheetId="4">#REF!</definedName>
    <definedName name="ajuste" localSheetId="4">#REF!</definedName>
    <definedName name="ALAR1" localSheetId="4">[8]datos!$O$5:$O$2034</definedName>
    <definedName name="ALAR112" localSheetId="4">[8]datos!$N$5:$N$1521</definedName>
    <definedName name="analequipo" localSheetId="4">#REF!</definedName>
    <definedName name="AnsermaCartago" localSheetId="4">#REF!</definedName>
    <definedName name="aprobo1">INDEX(firmas!$C$35:$C$37,MATCH('[9]TSR!$V$51;firmas'!$A$34:$A$36,0))</definedName>
    <definedName name="aprobofirmas" localSheetId="0">INDEX(firmas!$C$35:$C$37,MATCH('MEZCLA EN FRIO'!#REF!,firmas!$A$35:$A$37,0))</definedName>
    <definedName name="aprobofirmas">INDEX(firmas!$C$35:$C$37,MATCH('MEZCLA EN FRIO'!#REF!,firmas!$A$35:$A$37,0))</definedName>
    <definedName name="aprobofirmas1">INDEX(firmas!$C$35:$C$37,MATCH(TSR!$V$51,firmas!$A$35:$A$37,0))</definedName>
    <definedName name="aprobofirmas748" localSheetId="0">INDEX([10]firmas!$C$36:$C$38,MATCH('[10]748'!$I$43,[10]firmas!$A$36:$A$38,0))</definedName>
    <definedName name="aprobonombres">firmas!$A$35:$A$37</definedName>
    <definedName name="AproboTSR">INDEX(firmas!$C$35:$C$37,MATCH('[9]TSR!$V$51;firmas'!$A$34:$A$36,0))</definedName>
    <definedName name="APU" localSheetId="4">#REF!</definedName>
    <definedName name="APUFEB" localSheetId="4">#REF!</definedName>
    <definedName name="_xlnm.Print_Area" localSheetId="4">Formato!$A$1:$L$59</definedName>
    <definedName name="_xlnm.Print_Area" localSheetId="0">'MEZCLA EN FRIO'!$A$1:$O$47</definedName>
    <definedName name="_xlnm.Print_Area" localSheetId="1">TSR!$A$1:$AC$55</definedName>
    <definedName name="Arrendamientos" localSheetId="4">#REF!</definedName>
    <definedName name="ASDAD" localSheetId="4">#REF!</definedName>
    <definedName name="ASDAF" localSheetId="4">#REF!</definedName>
    <definedName name="Aseguracalidad" localSheetId="4">#REF!</definedName>
    <definedName name="ASSD" localSheetId="4">#REF!</definedName>
    <definedName name="ATB" localSheetId="4">#REF!</definedName>
    <definedName name="base_datos_t45" localSheetId="4">[11]CALIDAD!#REF!</definedName>
    <definedName name="BaseDatos_Ore1" localSheetId="4">'[12]BD100-45'!#REF!</definedName>
    <definedName name="BaseDatos_T831" localSheetId="4">'[13]BD100-45-P1'!#REF!</definedName>
    <definedName name="_xlnm.Database" localSheetId="4">#REF!</definedName>
    <definedName name="BUDGET" localSheetId="4">'[14]CALC PROD MENSUAL'!#REF!</definedName>
    <definedName name="BUDGETNORTE" localSheetId="4">'[14]CALC PROD MENSUAL'!#REF!</definedName>
    <definedName name="BUDGETSUR" localSheetId="4">'[14]CALC PROD MENSUAL'!#REF!</definedName>
    <definedName name="C_grupo1" localSheetId="4">#REF!</definedName>
    <definedName name="CALEND" localSheetId="4">'[14]CALC PROD MENSUAL'!#REF!</definedName>
    <definedName name="CALENDARIO" localSheetId="4">'[14]CALC PROD MENSUAL'!#REF!</definedName>
    <definedName name="CALENDARIO1" localSheetId="4">'[15]CALC PROD MENSUAL'!#REF!</definedName>
    <definedName name="Capa" localSheetId="4">#REF!</definedName>
    <definedName name="CAPIT" localSheetId="4">#REF!</definedName>
    <definedName name="CAPITULO" localSheetId="4">#REF!</definedName>
    <definedName name="Cc" localSheetId="4">[16]Datos!#REF!</definedName>
    <definedName name="CDO" localSheetId="4">#REF!</definedName>
    <definedName name="ChequeoCantidades" localSheetId="4">#REF!</definedName>
    <definedName name="CLASIFIC" localSheetId="4">[17]Datos!#REF!</definedName>
    <definedName name="con" localSheetId="4">#REF!</definedName>
    <definedName name="conc" localSheetId="4">#REF!</definedName>
    <definedName name="COSTO1" localSheetId="4">#REF!</definedName>
    <definedName name="Cu" localSheetId="4">[17]Datos!#REF!</definedName>
    <definedName name="D_10" localSheetId="4">#REF!</definedName>
    <definedName name="datos" localSheetId="4">#REF!</definedName>
    <definedName name="datostec" localSheetId="4">#REF!</definedName>
    <definedName name="Densidad25" localSheetId="4">[7]DATOS!$AV$3:$AV$486</definedName>
    <definedName name="deriv" localSheetId="4">#REF!</definedName>
    <definedName name="Descripcion" localSheetId="4">[18]Datos!$B$3:$B$16384</definedName>
    <definedName name="descripción" localSheetId="4">[3]datos!#REF!</definedName>
    <definedName name="DescripcionVenta" localSheetId="4">#REF!</definedName>
    <definedName name="dia24hr" localSheetId="4">#REF!</definedName>
    <definedName name="dias" localSheetId="4">#REF!</definedName>
    <definedName name="DIAS_DEL_MES" localSheetId="4">#REF!</definedName>
    <definedName name="dias_semana" localSheetId="4">#REF!</definedName>
    <definedName name="Dias_semanales" localSheetId="4">#REF!</definedName>
    <definedName name="DIAS_SEMANAS" localSheetId="4">#REF!</definedName>
    <definedName name="DIASDELMES" localSheetId="4">#REF!</definedName>
    <definedName name="DISP" localSheetId="4">'[15]CALC PROD MENSUAL'!#REF!</definedName>
    <definedName name="DISPONIBILIDAD" localSheetId="4">'[14]CALC PROD MENSUAL'!#REF!</definedName>
    <definedName name="Diversos" localSheetId="4">#REF!</definedName>
    <definedName name="doscaras" localSheetId="4">#REF!</definedName>
    <definedName name="e" localSheetId="4">#REF!</definedName>
    <definedName name="elaborofirmas" localSheetId="0">INDEX(firmas!$C$2:$C$28,MATCH('MEZCLA EN FRIO'!#REF!,firmas!$A$2:$A$28,0))</definedName>
    <definedName name="elaborofirmas">INDEX(firmas!$C$3:$C$28,MATCH('MEZCLA EN FRIO'!#REF!,firmas!$A$3:$A$28,0))</definedName>
    <definedName name="elaborofirmas1">INDEX(firmas!$C$3:$C$28,MATCH(TSR!$F$51,firmas!$A$3:$A$28,0))</definedName>
    <definedName name="Elaboronombres" localSheetId="1">[19]firmas!$A$3:$A$27</definedName>
    <definedName name="Elaboronombres">firmas!$A$3:$A$28</definedName>
    <definedName name="elc" localSheetId="4">#REF!</definedName>
    <definedName name="ELECTRICA" localSheetId="4">[20]anexo2!#REF!</definedName>
    <definedName name="ELECTRICAS" localSheetId="4">[20]anexo2!#REF!</definedName>
    <definedName name="EQ" localSheetId="4">#REF!</definedName>
    <definedName name="EQUI" localSheetId="4">#REF!</definedName>
    <definedName name="equip" localSheetId="4">#REF!</definedName>
    <definedName name="equipo2" localSheetId="4">#REF!</definedName>
    <definedName name="EQUIPOS" localSheetId="4">#REF!</definedName>
    <definedName name="er" localSheetId="4">#REF!</definedName>
    <definedName name="Estabilidad" localSheetId="4">[7]DATOS!$AK$3:$AK$486</definedName>
    <definedName name="Estabilidad2" localSheetId="4">[7]DATOS!$AM$3:$AM$486</definedName>
    <definedName name="Estabilidad3" localSheetId="4">[7]DATOS!$AO$3:$AO$486</definedName>
    <definedName name="EstabilidadCorregida1" localSheetId="4">#REF!</definedName>
    <definedName name="EstabilidadCorregida2" localSheetId="4">#REF!</definedName>
    <definedName name="EstabilidadCorregida3" localSheetId="4">#REF!</definedName>
    <definedName name="EstabilidadMedida1" localSheetId="4">#REF!</definedName>
    <definedName name="EstabilidadMedida2" localSheetId="4">#REF!</definedName>
    <definedName name="EstabilidadMedida3" localSheetId="4">#REF!</definedName>
    <definedName name="estabilidadpromedio" localSheetId="4">[7]DATOS!$AR$3:$AR$486</definedName>
    <definedName name="extracción" localSheetId="4">[7]DATOS!$H$3:$H$486</definedName>
    <definedName name="FactorCorreccion1" localSheetId="4">#REF!</definedName>
    <definedName name="FactorCorreccion2" localSheetId="4">#REF!</definedName>
    <definedName name="FactorCorreccion3" localSheetId="4">#REF!</definedName>
    <definedName name="Fecha" localSheetId="4">[7]DATOS!$B$3:$B$486</definedName>
    <definedName name="fechaEnsayo" localSheetId="4">#REF!</definedName>
    <definedName name="FIN_1" localSheetId="4">#REF!</definedName>
    <definedName name="FIN_10" localSheetId="4">#REF!</definedName>
    <definedName name="FIN_11" localSheetId="4">#REF!</definedName>
    <definedName name="FIN_12" localSheetId="4">#REF!</definedName>
    <definedName name="FIN_13" localSheetId="4">#REF!</definedName>
    <definedName name="FIN_14" localSheetId="4">#REF!</definedName>
    <definedName name="FIN_15" localSheetId="4">#REF!</definedName>
    <definedName name="FIN_16" localSheetId="4">#REF!</definedName>
    <definedName name="FIN_17" localSheetId="4">#REF!</definedName>
    <definedName name="FIN_18" localSheetId="4">#REF!</definedName>
    <definedName name="FIN_19" localSheetId="4">#REF!</definedName>
    <definedName name="FIN_2" localSheetId="4">#REF!</definedName>
    <definedName name="FIN_20" localSheetId="4">#REF!</definedName>
    <definedName name="FIN_21" localSheetId="4">#REF!</definedName>
    <definedName name="FIN_22" localSheetId="4">#REF!</definedName>
    <definedName name="FIN_23" localSheetId="4">#REF!</definedName>
    <definedName name="FIN_24" localSheetId="4">#REF!</definedName>
    <definedName name="FIN_3" localSheetId="4">#REF!</definedName>
    <definedName name="FIN_4" localSheetId="4">#REF!</definedName>
    <definedName name="FIN_5" localSheetId="4">#REF!</definedName>
    <definedName name="FIN_6" localSheetId="4">#REF!</definedName>
    <definedName name="FIN_7" localSheetId="4">#REF!</definedName>
    <definedName name="FIN_8" localSheetId="4">#REF!</definedName>
    <definedName name="FIN_9" localSheetId="4">#REF!</definedName>
    <definedName name="Flujo" localSheetId="4">[7]DATOS!$Y$3:$Y$486</definedName>
    <definedName name="Flujo1" localSheetId="4">#REF!</definedName>
    <definedName name="Flujo2" localSheetId="4">[7]DATOS!$AD$3:$AD$486</definedName>
    <definedName name="Flujo3" localSheetId="4">[7]DATOS!$AI$3:$AI$486</definedName>
    <definedName name="flujopromedio" localSheetId="4">[7]DATOS!$AS$3:$AS$486</definedName>
    <definedName name="Fondo" localSheetId="4">[7]DATOS!$Q$3:$Q$486</definedName>
    <definedName name="fuente" localSheetId="4">[21]Datos!$C$3:$C$50</definedName>
    <definedName name="Gastosbancarios" localSheetId="4">#REF!</definedName>
    <definedName name="Gastoslegales" localSheetId="4">#REF!</definedName>
    <definedName name="Gastosviaje" localSheetId="4">#REF!</definedName>
    <definedName name="GolpesH4" localSheetId="4">[22]DATOS!#REF!</definedName>
    <definedName name="GR_1" localSheetId="4">#REF!</definedName>
    <definedName name="GR_10" localSheetId="4">#REF!</definedName>
    <definedName name="GR_11" localSheetId="4">#REF!</definedName>
    <definedName name="GR_12" localSheetId="4">#REF!</definedName>
    <definedName name="GR_13" localSheetId="4">#REF!</definedName>
    <definedName name="GR_14" localSheetId="4">#REF!</definedName>
    <definedName name="GR_15" localSheetId="4">#REF!</definedName>
    <definedName name="GR_16" localSheetId="4">#REF!</definedName>
    <definedName name="GR_17" localSheetId="4">#REF!</definedName>
    <definedName name="GR_18" localSheetId="4">#REF!</definedName>
    <definedName name="GR_19" localSheetId="4">#REF!</definedName>
    <definedName name="GR_2" localSheetId="4">#REF!</definedName>
    <definedName name="GR_20" localSheetId="4">#REF!</definedName>
    <definedName name="GR_21" localSheetId="4">#REF!</definedName>
    <definedName name="GR_22" localSheetId="4">#REF!</definedName>
    <definedName name="GR_23" localSheetId="4">#REF!</definedName>
    <definedName name="GR_24" localSheetId="4">#REF!</definedName>
    <definedName name="GR_3" localSheetId="4">#REF!</definedName>
    <definedName name="GR_4" localSheetId="4">#REF!</definedName>
    <definedName name="GR_5" localSheetId="4">#REF!</definedName>
    <definedName name="GR_6" localSheetId="4">#REF!</definedName>
    <definedName name="GR_7" localSheetId="4">#REF!</definedName>
    <definedName name="GR_8" localSheetId="4">#REF!</definedName>
    <definedName name="GR_9" localSheetId="4">#REF!</definedName>
    <definedName name="gradacion" localSheetId="4">#REF!</definedName>
    <definedName name="graNo" localSheetId="4">#REF!</definedName>
    <definedName name="HERRADURA" localSheetId="4">#REF!</definedName>
    <definedName name="Honorarios" localSheetId="4">#REF!</definedName>
    <definedName name="HORAS_DIAS" localSheetId="4">#REF!</definedName>
    <definedName name="horas_lluvia" localSheetId="4">#REF!</definedName>
    <definedName name="HORAS_LLUVIAS" localSheetId="4">#REF!</definedName>
    <definedName name="HORASLLUVIA" localSheetId="4">#REF!</definedName>
    <definedName name="HTML1_1" hidden="1">"'[06Cumplimiento1996.xls]GASTOS'!$A$3:$B$16"</definedName>
    <definedName name="HTML1_10" hidden="1">""</definedName>
    <definedName name="HTML1_11" hidden="1">1</definedName>
    <definedName name="HTML1_12" hidden="1">"c:\prueba.htm"</definedName>
    <definedName name="HTML1_2" hidden="1">1</definedName>
    <definedName name="HTML1_3" hidden="1">"06Cumplimiento1996"</definedName>
    <definedName name="HTML1_4" hidden="1">"GASTOS"</definedName>
    <definedName name="HTML1_5" hidden="1">""</definedName>
    <definedName name="HTML1_6" hidden="1">-4146</definedName>
    <definedName name="HTML1_7" hidden="1">-4146</definedName>
    <definedName name="HTML1_8" hidden="1">"16/12/1996"</definedName>
    <definedName name="HTML1_9" hidden="1">"JUAN CARLOS TORO VALDERRAMA"</definedName>
    <definedName name="HTML2_1" hidden="1">"'[INDICES.XLS]INDICES I'!$A$1:$K$36"</definedName>
    <definedName name="HTML2_10" hidden="1">""</definedName>
    <definedName name="HTML2_11" hidden="1">1</definedName>
    <definedName name="HTML2_12" hidden="1">"C:\Mis documentos\INDICESI.htm"</definedName>
    <definedName name="HTML2_2" hidden="1">1</definedName>
    <definedName name="HTML2_3" hidden="1">"INDICES"</definedName>
    <definedName name="HTML2_4" hidden="1">"INDICES I"</definedName>
    <definedName name="HTML2_5" hidden="1">""</definedName>
    <definedName name="HTML2_6" hidden="1">-4146</definedName>
    <definedName name="HTML2_7" hidden="1">-4146</definedName>
    <definedName name="HTML2_8" hidden="1">"5/02/1997"</definedName>
    <definedName name="HTML2_9" hidden="1">"JUAN CARLOS TORO VALDERRAMA"</definedName>
    <definedName name="HTML3_1" hidden="1">"'[INDICES.XLS]IPC NAL'!$A$4:$B$43"</definedName>
    <definedName name="HTML3_10" hidden="1">""</definedName>
    <definedName name="HTML3_11" hidden="1">1</definedName>
    <definedName name="HTML3_12" hidden="1">"C:\Mis documentos\IPCNAL.htm"</definedName>
    <definedName name="HTML3_2" hidden="1">1</definedName>
    <definedName name="HTML3_3" hidden="1">"INDICES"</definedName>
    <definedName name="HTML3_4" hidden="1">"IPC NAL"</definedName>
    <definedName name="HTML3_5" hidden="1">""</definedName>
    <definedName name="HTML3_6" hidden="1">-4146</definedName>
    <definedName name="HTML3_7" hidden="1">-4146</definedName>
    <definedName name="HTML3_8" hidden="1">"5/02/1997"</definedName>
    <definedName name="HTML3_9" hidden="1">"JUAN CARLOS TORO VALDERRAMA"</definedName>
    <definedName name="HTML4_1" hidden="1">"'[INDICES.XLS]IPC NAL'!$A$4:$C$43"</definedName>
    <definedName name="HTML4_10" hidden="1">""</definedName>
    <definedName name="HTML4_11" hidden="1">1</definedName>
    <definedName name="HTML4_12" hidden="1">"C:\Mis documentos\IPCNAL.htm"</definedName>
    <definedName name="HTML4_2" hidden="1">1</definedName>
    <definedName name="HTML4_3" hidden="1">"INDICES"</definedName>
    <definedName name="HTML4_4" hidden="1">"IPC NAL"</definedName>
    <definedName name="HTML4_5" hidden="1">""</definedName>
    <definedName name="HTML4_6" hidden="1">-4146</definedName>
    <definedName name="HTML4_7" hidden="1">-4146</definedName>
    <definedName name="HTML4_8" hidden="1">"5/02/1997"</definedName>
    <definedName name="HTML4_9" hidden="1">"JUAN CARLOS TORO VALDERRAMA"</definedName>
    <definedName name="HTML5_1" hidden="1">"'[INDICES.XLS]INDICES I'!$A$1:$I$36"</definedName>
    <definedName name="HTML5_10" hidden="1">""</definedName>
    <definedName name="HTML5_11" hidden="1">1</definedName>
    <definedName name="HTML5_12" hidden="1">"C:\Mis documentos\INDICESI.htm"</definedName>
    <definedName name="HTML5_2" hidden="1">1</definedName>
    <definedName name="HTML5_3" hidden="1">"INDICES"</definedName>
    <definedName name="HTML5_4" hidden="1">"INDICES I"</definedName>
    <definedName name="HTML5_5" hidden="1">""</definedName>
    <definedName name="HTML5_6" hidden="1">-4146</definedName>
    <definedName name="HTML5_7" hidden="1">-4146</definedName>
    <definedName name="HTML5_8" hidden="1">"5/02/1997"</definedName>
    <definedName name="HTML5_9" hidden="1">"JUAN CARLOS TORO VALDERRAMA"</definedName>
    <definedName name="HTML6_1" hidden="1">"'[INDICES.XLS]INDICES 1'!$A$3:$K$30"</definedName>
    <definedName name="HTML6_10" hidden="1">""</definedName>
    <definedName name="HTML6_11" hidden="1">1</definedName>
    <definedName name="HTML6_12" hidden="1">"C:\Mis documentos\INDICES1.htm"</definedName>
    <definedName name="HTML6_2" hidden="1">1</definedName>
    <definedName name="HTML6_3" hidden="1">"INDICES"</definedName>
    <definedName name="HTML6_4" hidden="1">"INDICES 1"</definedName>
    <definedName name="HTML6_5" hidden="1">""</definedName>
    <definedName name="HTML6_6" hidden="1">-4146</definedName>
    <definedName name="HTML6_7" hidden="1">-4146</definedName>
    <definedName name="HTML6_8" hidden="1">"5/02/1997"</definedName>
    <definedName name="HTML6_9" hidden="1">"JUAN CARLOS TORO VALDERRAMA"</definedName>
    <definedName name="HTMLCount" hidden="1">1</definedName>
    <definedName name="iccp" localSheetId="4">#REF!</definedName>
    <definedName name="INDICE" localSheetId="4">#REF!</definedName>
    <definedName name="INDICES" localSheetId="4">#REF!</definedName>
    <definedName name="inf" localSheetId="4">#REF!</definedName>
    <definedName name="ITEM1" localSheetId="4">#REF!</definedName>
    <definedName name="item1a" localSheetId="4">#REF!</definedName>
    <definedName name="ITEM2" localSheetId="4">#REF!</definedName>
    <definedName name="item2a" localSheetId="4">#REF!</definedName>
    <definedName name="ITEM3" localSheetId="4">#REF!</definedName>
    <definedName name="item5" localSheetId="4">#REF!</definedName>
    <definedName name="ITEMS" localSheetId="4">#REF!</definedName>
    <definedName name="K" localSheetId="4">[7]DATOS!$T$3:$T$486</definedName>
    <definedName name="KK" localSheetId="4" hidden="1">[4]OCTUBRE!#REF!</definedName>
    <definedName name="KK" localSheetId="0" hidden="1">[4]OCTUBRE!#REF!</definedName>
    <definedName name="KK" localSheetId="1" hidden="1">[5]OCTUBRE!#REF!</definedName>
    <definedName name="KK" hidden="1">[4]OCTUBRE!#REF!</definedName>
    <definedName name="Lado" localSheetId="4">#REF!</definedName>
    <definedName name="lista" localSheetId="4">#REF!</definedName>
    <definedName name="listaaguas" localSheetId="4">#REF!</definedName>
    <definedName name="listado" localSheetId="4">#REF!</definedName>
    <definedName name="listados" localSheetId="4">#REF!</definedName>
    <definedName name="listaelec" localSheetId="4">#REF!</definedName>
    <definedName name="LLUVIA" localSheetId="4">#REF!</definedName>
    <definedName name="m" localSheetId="4">[23]DATOS!#REF!</definedName>
    <definedName name="MA" localSheetId="4">#REF!</definedName>
    <definedName name="Mantenyreparacion" localSheetId="4">#REF!</definedName>
    <definedName name="margen" localSheetId="4">[7]DATOS!#REF!</definedName>
    <definedName name="margen2" localSheetId="4">#REF!</definedName>
    <definedName name="MediacanoaAnserma" localSheetId="4">#REF!</definedName>
    <definedName name="metodo" localSheetId="4">#REF!</definedName>
    <definedName name="MEZCLA" localSheetId="4">#REF!</definedName>
    <definedName name="Mh" localSheetId="4">[23]DATOS!#REF!</definedName>
    <definedName name="mm" localSheetId="4">#REF!</definedName>
    <definedName name="MO" localSheetId="4">#REF!</definedName>
    <definedName name="muestra" localSheetId="4">Formato!$L$15</definedName>
    <definedName name="MUESTRA_Nº" localSheetId="4">#REF!</definedName>
    <definedName name="MuestraNo" localSheetId="4">[7]DATOS!$A$3:$A$486</definedName>
    <definedName name="NoBriqueta1" localSheetId="4">#REF!</definedName>
    <definedName name="NoBriqueta2" localSheetId="4">#REF!</definedName>
    <definedName name="NoBriqueta3" localSheetId="4">#REF!</definedName>
    <definedName name="Nogolpes" localSheetId="4">[24]DATOS!#REF!</definedName>
    <definedName name="Nogolpes1" localSheetId="4">[24]DATOS!#REF!</definedName>
    <definedName name="NoMuestra" localSheetId="4">'[21]4025 a base'!$F$6</definedName>
    <definedName name="NUMERAL" localSheetId="4">#REF!</definedName>
    <definedName name="Obra" localSheetId="4">[7]DATOS!$G$3:$G$486</definedName>
    <definedName name="OBSERVACION" localSheetId="4">[21]Datos!$P$3:$P$50</definedName>
    <definedName name="Observación" localSheetId="4">#REF!</definedName>
    <definedName name="observaciones" localSheetId="4">[7]DATOS!$AQ$3:$AQ$486</definedName>
    <definedName name="observaciones2" localSheetId="4">[21]Datos!$Q$3:$Q$50</definedName>
    <definedName name="Ojo" localSheetId="4" hidden="1">#REF!</definedName>
    <definedName name="Ojo" localSheetId="0" hidden="1">#REF!</definedName>
    <definedName name="Ojo" localSheetId="1" hidden="1">#REF!</definedName>
    <definedName name="Ojo" hidden="1">#REF!</definedName>
    <definedName name="OR" localSheetId="4">#REF!</definedName>
    <definedName name="otros" localSheetId="4">[7]DATOS!#REF!</definedName>
    <definedName name="P1H4" localSheetId="4">[22]DATOS!#REF!</definedName>
    <definedName name="P2H4" localSheetId="4">[22]DATOS!#REF!</definedName>
    <definedName name="PÁGINA_DOS" localSheetId="4">#REF!</definedName>
    <definedName name="PÁGINA_UNO" localSheetId="4">#REF!</definedName>
    <definedName name="pedro" localSheetId="4">#REF!</definedName>
    <definedName name="pendiente" localSheetId="4" hidden="1">#REF!</definedName>
    <definedName name="pendiente" localSheetId="0" hidden="1">#REF!</definedName>
    <definedName name="pendiente" localSheetId="1" hidden="1">#REF!</definedName>
    <definedName name="pendiente" hidden="1">#REF!</definedName>
    <definedName name="Personal" localSheetId="4">#REF!</definedName>
    <definedName name="Peso1A" localSheetId="4">[7]DATOS!$D$3:$D$486</definedName>
    <definedName name="Peso2A" localSheetId="4">[7]DATOS!$E$3:$E$486</definedName>
    <definedName name="Peso3" localSheetId="4">[7]DATOS!#REF!</definedName>
    <definedName name="Peso4" localSheetId="4">[7]DATOS!#REF!</definedName>
    <definedName name="PesoAgua1" localSheetId="4">#REF!</definedName>
    <definedName name="Pesoagua2" localSheetId="4">[7]DATOS!$AB$3:$AB$486</definedName>
    <definedName name="Pesoagua3" localSheetId="4">[7]DATOS!$AG$3:$AG$486</definedName>
    <definedName name="Pesoagua4" localSheetId="4">[25]datos!#REF!</definedName>
    <definedName name="Pesoagua8" localSheetId="4">[25]datos!#REF!</definedName>
    <definedName name="PesoAire" localSheetId="4">[7]DATOS!$U$3:$U$486</definedName>
    <definedName name="PesoAire1" localSheetId="4">#REF!</definedName>
    <definedName name="PesoAire2" localSheetId="4">[7]DATOS!$Z$3:$Z$486</definedName>
    <definedName name="Pesoaire3" localSheetId="4">[7]DATOS!$AE$3:$AE$486</definedName>
    <definedName name="Pesoenagua" localSheetId="4">[7]DATOS!$W$3:$W$486</definedName>
    <definedName name="PesoFinal1" localSheetId="4">#REF!</definedName>
    <definedName name="PesoFinal2" localSheetId="4">#REF!</definedName>
    <definedName name="PesoInicial1" localSheetId="4">#REF!</definedName>
    <definedName name="PesoInicial2" localSheetId="4">#REF!</definedName>
    <definedName name="Pesoparaf3" localSheetId="4">[7]DATOS!$AF$3:$AF$486</definedName>
    <definedName name="Pesoparafinada" localSheetId="4">[7]DATOS!$V$3:$V$486</definedName>
    <definedName name="PesoParf2" localSheetId="4">[7]DATOS!$AA$3:$AA$486</definedName>
    <definedName name="PESOSSS1" localSheetId="4">#REF!</definedName>
    <definedName name="PESOSSS2" localSheetId="4">#REF!</definedName>
    <definedName name="PESOSSS3" localSheetId="4">#REF!</definedName>
    <definedName name="PesoSSS4" localSheetId="4">[25]datos!#REF!</definedName>
    <definedName name="PesoSSS8" localSheetId="4">[25]datos!#REF!</definedName>
    <definedName name="plan" localSheetId="4">#REF!</definedName>
    <definedName name="PlazoAIU" localSheetId="4">#REF!</definedName>
    <definedName name="plena" localSheetId="4">#REF!</definedName>
    <definedName name="porcentaje1" localSheetId="4">[3]datos!#REF!</definedName>
    <definedName name="porcentaje112" localSheetId="4">[3]datos!#REF!</definedName>
    <definedName name="PP" localSheetId="4">#REF!</definedName>
    <definedName name="PPP" localSheetId="4">#REF!</definedName>
    <definedName name="PRESUPNORTE" localSheetId="4">'[15]CALC PROD MENSUAL'!#REF!</definedName>
    <definedName name="PRESUPSUR" localSheetId="4">'[15]CALC PROD MENSUAL'!#REF!</definedName>
    <definedName name="PRESUPUESTO" localSheetId="4">'[15]CALC PROD MENSUAL'!#REF!</definedName>
    <definedName name="procelec" localSheetId="4">#REF!</definedName>
    <definedName name="PRODUCTCARB" localSheetId="4">'[14]CALC PROD MENSUAL'!#REF!</definedName>
    <definedName name="PRODUCTEST" localSheetId="4">'[14]CALC PROD MENSUAL'!#REF!</definedName>
    <definedName name="PRODUCTOCARBON" localSheetId="4">'[15]CALC PROD MENSUAL'!#REF!</definedName>
    <definedName name="PRODUCTOTEST" localSheetId="4">'[15]CALC PROD MENSUAL'!#REF!</definedName>
    <definedName name="programa_mes_carbon" localSheetId="4">#REF!</definedName>
    <definedName name="programa_mes_esteril" localSheetId="4">#REF!</definedName>
    <definedName name="programa_semana_carbon" localSheetId="4">#REF!</definedName>
    <definedName name="programa_semana_esteril" localSheetId="4">#REF!</definedName>
    <definedName name="promedio_dia_carbon" localSheetId="4">#REF!</definedName>
    <definedName name="promedio_dia_esteril" localSheetId="4">#REF!</definedName>
    <definedName name="propierep" localSheetId="4">#REF!</definedName>
    <definedName name="pruebafirmas" localSheetId="0">INDEX(firmas!$C$3:$C$7,MATCH('MEZCLA EN FRIO'!#REF!,firmas!$A$3:$A$7,0))</definedName>
    <definedName name="pruebafirmas">INDEX(firmas!$C$3:$C$7,MATCH(#REF!,firmas!$A$3:$A$7,0))</definedName>
    <definedName name="pruebanombres">firmas!$A$3:$A$7</definedName>
    <definedName name="PRUNIT" localSheetId="4">#REF!</definedName>
    <definedName name="qw" localSheetId="4">#REF!</definedName>
    <definedName name="rango1" localSheetId="4">#REF!</definedName>
    <definedName name="rangofin" localSheetId="4">#REF!,#REF!</definedName>
    <definedName name="referencia" localSheetId="4">#REF!</definedName>
    <definedName name="reparaciones" localSheetId="4">#REF!</definedName>
    <definedName name="Resistencia4" localSheetId="4">[25]datos!#REF!</definedName>
    <definedName name="Resistencia8" localSheetId="4">[25]datos!#REF!</definedName>
    <definedName name="retenido" localSheetId="4">#REF!</definedName>
    <definedName name="Retenido1" localSheetId="4">#REF!</definedName>
    <definedName name="Retenido10" localSheetId="4">[7]DATOS!$M$3:$M$486</definedName>
    <definedName name="Retenido100" localSheetId="4">#REF!</definedName>
    <definedName name="retenido112" localSheetId="4">[26]datos!$G$3:$G$3199</definedName>
    <definedName name="Retenido12" localSheetId="4">[7]DATOS!$J$3:$J$486</definedName>
    <definedName name="Retenido200" localSheetId="4">[7]DATOS!$P$3:$P$486</definedName>
    <definedName name="retenido212" localSheetId="4">[17]Datos!#REF!</definedName>
    <definedName name="Retenido2F" localSheetId="4">[3]datos!#REF!</definedName>
    <definedName name="retenido3" localSheetId="4">[17]Datos!#REF!</definedName>
    <definedName name="Retenido30" localSheetId="4">#REF!</definedName>
    <definedName name="Retenido34" localSheetId="4">[7]DATOS!$I$3:$I$486</definedName>
    <definedName name="Retenido38" localSheetId="4">[7]DATOS!$K$3:$K$486</definedName>
    <definedName name="Retenido4" localSheetId="4">[7]DATOS!$L$3:$L$486</definedName>
    <definedName name="Retenido40" localSheetId="4">[7]DATOS!$N$3:$N$486</definedName>
    <definedName name="Retenido50" localSheetId="4">#REF!</definedName>
    <definedName name="Retenido8" localSheetId="4">#REF!</definedName>
    <definedName name="Retenido80" localSheetId="4">[7]DATOS!$O$3:$O$486</definedName>
    <definedName name="revisofirmas" localSheetId="0">INDEX(firmas!$C$30:$C$33,MATCH('MEZCLA EN FRIO'!#REF!,firmas!$A$30:$A$33,0))</definedName>
    <definedName name="revisofirmas">INDEX(firmas!$C$30:$C$33,MATCH('MEZCLA EN FRIO'!#REF!,firmas!$A$30:$A$33,0))</definedName>
    <definedName name="revisofirmas1">INDEX(firmas!$C$30:$C$33,MATCH(TSR!$N$51,firmas!$A$30:$A$33,0))</definedName>
    <definedName name="revisonombres" localSheetId="1">[19]firmas!$A$29:$A$32</definedName>
    <definedName name="revisonombres">firmas!$A$30:$A$33</definedName>
    <definedName name="Rice" localSheetId="4">[7]DATOS!$BS$3:$BS$486</definedName>
    <definedName name="SCHEDULE" localSheetId="4">'[15]CALC PROD MENSUAL'!#REF!</definedName>
    <definedName name="sd" localSheetId="4">#REF!</definedName>
    <definedName name="SDS" localSheetId="4">#REF!</definedName>
    <definedName name="SECTOR" localSheetId="4">[7]DATOS!#REF!</definedName>
    <definedName name="Segurambiensalud" localSheetId="4">#REF!</definedName>
    <definedName name="SEM_DEL_MES" localSheetId="4">#REF!</definedName>
    <definedName name="Semanas_mes" localSheetId="4">#REF!</definedName>
    <definedName name="Servicios" localSheetId="4">#REF!</definedName>
    <definedName name="TablaBello" localSheetId="4">#REF!</definedName>
    <definedName name="TablaIndicConstPes" localSheetId="4">#REF!</definedName>
    <definedName name="TablaIndices1" localSheetId="4">#REF!</definedName>
    <definedName name="TablaIndicesI" localSheetId="4">#REF!</definedName>
    <definedName name="TablaIPC" localSheetId="4">#REF!</definedName>
    <definedName name="TablaLaMata" localSheetId="4">#REF!</definedName>
    <definedName name="TablaSuaza" localSheetId="4">#REF!</definedName>
    <definedName name="Tamiz10" localSheetId="4">#REF!</definedName>
    <definedName name="TAMIZ100" localSheetId="4">#REF!</definedName>
    <definedName name="Tamiz12" localSheetId="4">#REF!</definedName>
    <definedName name="Tamiz200" localSheetId="4">#REF!</definedName>
    <definedName name="Tamiz38" localSheetId="4">#REF!</definedName>
    <definedName name="Tamiz4" localSheetId="4">#REF!</definedName>
    <definedName name="Tamiz40" localSheetId="4">#REF!</definedName>
    <definedName name="Tamiz80" localSheetId="4">#REF!</definedName>
    <definedName name="tarifas" localSheetId="4">#REF!</definedName>
    <definedName name="tarifas1" localSheetId="4">#REF!</definedName>
    <definedName name="tarifas2" localSheetId="4">#REF!</definedName>
    <definedName name="tarifas3" localSheetId="4">#REF!</definedName>
    <definedName name="tarifas4" localSheetId="4">#REF!</definedName>
    <definedName name="temperatura" localSheetId="4">[7]DATOS!$S$3:$S$486</definedName>
    <definedName name="tipoint" localSheetId="4">#REF!</definedName>
    <definedName name="todo" localSheetId="4">#REF!</definedName>
    <definedName name="total" localSheetId="4">#REF!</definedName>
    <definedName name="totales" localSheetId="4">#REF!</definedName>
    <definedName name="Totalgastosvarios" localSheetId="4">#REF!</definedName>
    <definedName name="TtCD" localSheetId="4">#REF!</definedName>
    <definedName name="TURNOS" localSheetId="4">#REF!</definedName>
    <definedName name="Ubicación" localSheetId="4">#REF!</definedName>
    <definedName name="union" localSheetId="4">#REF!</definedName>
    <definedName name="Vacios1" localSheetId="4">#REF!</definedName>
    <definedName name="Vacios2" localSheetId="4">#REF!</definedName>
    <definedName name="Vacios3" localSheetId="4">#REF!</definedName>
    <definedName name="VentaAiu" localSheetId="4">#REF!</definedName>
    <definedName name="VentaAnsermaCartago" localSheetId="4">#REF!</definedName>
    <definedName name="VentaMediacanoaAnserma" localSheetId="4">#REF!</definedName>
    <definedName name="VentaVenta" localSheetId="4">#REF!</definedName>
    <definedName name="VIA_PITAL___LA_PLATA" localSheetId="4">#REF!</definedName>
    <definedName name="Volumen" localSheetId="4">[7]DATOS!#REF!</definedName>
    <definedName name="w" localSheetId="4">#REF!</definedName>
    <definedName name="we" localSheetId="4">#REF!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0" i="38" l="1"/>
  <c r="J20" i="38"/>
  <c r="G38" i="38"/>
  <c r="J34" i="38"/>
  <c r="J35" i="38" s="1"/>
  <c r="U30" i="38"/>
  <c r="U31" i="38" s="1"/>
  <c r="Q30" i="38"/>
  <c r="Q31" i="38" s="1"/>
  <c r="R30" i="38"/>
  <c r="R31" i="38" s="1"/>
  <c r="S30" i="38"/>
  <c r="S31" i="38" s="1"/>
  <c r="T30" i="38"/>
  <c r="T31" i="38" s="1"/>
  <c r="P30" i="38"/>
  <c r="P31" i="38" s="1"/>
  <c r="J32" i="38"/>
  <c r="J33" i="38" s="1"/>
  <c r="J21" i="38" l="1"/>
  <c r="J28" i="38" s="1"/>
  <c r="L8" i="38" l="1"/>
  <c r="P10" i="38" l="1"/>
  <c r="J17" i="38"/>
  <c r="O20" i="38" l="1"/>
  <c r="N20" i="38"/>
  <c r="M20" i="38"/>
  <c r="L20" i="38"/>
  <c r="O21" i="38"/>
  <c r="O28" i="38" s="1"/>
  <c r="N21" i="38"/>
  <c r="N28" i="38" s="1"/>
  <c r="M21" i="38"/>
  <c r="M28" i="38" s="1"/>
  <c r="L21" i="38"/>
  <c r="L28" i="38" s="1"/>
  <c r="K21" i="38"/>
  <c r="K28" i="38" s="1"/>
  <c r="M17" i="38" l="1"/>
  <c r="N52" i="39" l="1"/>
  <c r="V52" i="39"/>
  <c r="F52" i="39" l="1"/>
  <c r="R39" i="39"/>
  <c r="O39" i="39"/>
  <c r="L39" i="39"/>
  <c r="L43" i="39" s="1"/>
  <c r="AA38" i="39"/>
  <c r="X38" i="39"/>
  <c r="U38" i="39"/>
  <c r="U42" i="39" s="1"/>
  <c r="AA37" i="39"/>
  <c r="X37" i="39"/>
  <c r="U37" i="39"/>
  <c r="R34" i="39"/>
  <c r="O34" i="39"/>
  <c r="AA33" i="39"/>
  <c r="AA34" i="39" s="1"/>
  <c r="X33" i="39"/>
  <c r="X34" i="39" s="1"/>
  <c r="U33" i="39"/>
  <c r="U34" i="39" s="1"/>
  <c r="U40" i="39" s="1"/>
  <c r="R33" i="39"/>
  <c r="O33" i="39"/>
  <c r="L33" i="39"/>
  <c r="L34" i="39" s="1"/>
  <c r="L40" i="39" s="1"/>
  <c r="AA32" i="39"/>
  <c r="AA35" i="39" s="1"/>
  <c r="X32" i="39"/>
  <c r="X35" i="39" s="1"/>
  <c r="U32" i="39"/>
  <c r="U35" i="39" s="1"/>
  <c r="U41" i="39" s="1"/>
  <c r="R32" i="39"/>
  <c r="R35" i="39" s="1"/>
  <c r="O32" i="39"/>
  <c r="O35" i="39" s="1"/>
  <c r="L32" i="39"/>
  <c r="L35" i="39" s="1"/>
  <c r="L41" i="39" s="1"/>
  <c r="AA29" i="39"/>
  <c r="X29" i="39"/>
  <c r="U29" i="39"/>
  <c r="L25" i="39"/>
  <c r="AA23" i="39"/>
  <c r="X23" i="39"/>
  <c r="U23" i="39"/>
  <c r="AA19" i="39"/>
  <c r="X19" i="39"/>
  <c r="U19" i="39"/>
  <c r="U25" i="39" s="1"/>
  <c r="R19" i="39"/>
  <c r="O19" i="39"/>
  <c r="AA18" i="39"/>
  <c r="AA20" i="39" s="1"/>
  <c r="X18" i="39"/>
  <c r="X20" i="39" s="1"/>
  <c r="U18" i="39"/>
  <c r="U24" i="39" s="1"/>
  <c r="R18" i="39"/>
  <c r="R20" i="39" s="1"/>
  <c r="O18" i="39"/>
  <c r="O20" i="39" s="1"/>
  <c r="L18" i="39"/>
  <c r="L20" i="39" s="1"/>
  <c r="L26" i="39" s="1"/>
  <c r="AA17" i="39"/>
  <c r="AA21" i="39" s="1"/>
  <c r="X17" i="39"/>
  <c r="X21" i="39" s="1"/>
  <c r="U17" i="39"/>
  <c r="U21" i="39" s="1"/>
  <c r="U27" i="39" s="1"/>
  <c r="R17" i="39"/>
  <c r="R21" i="39" s="1"/>
  <c r="O17" i="39"/>
  <c r="O21" i="39" s="1"/>
  <c r="L17" i="39"/>
  <c r="L21" i="39" s="1"/>
  <c r="L27" i="39" s="1"/>
  <c r="AA13" i="39"/>
  <c r="X13" i="39"/>
  <c r="U13" i="39"/>
  <c r="R13" i="39"/>
  <c r="O13" i="39"/>
  <c r="L13" i="39"/>
  <c r="L44" i="39" l="1"/>
  <c r="L45" i="39"/>
  <c r="U20" i="39"/>
  <c r="U26" i="39" s="1"/>
  <c r="L24" i="39"/>
  <c r="K32" i="38" l="1"/>
  <c r="K33" i="38" s="1"/>
  <c r="L32" i="38"/>
  <c r="L33" i="38" s="1"/>
  <c r="M32" i="38"/>
  <c r="M33" i="38" s="1"/>
  <c r="M36" i="38" s="1"/>
  <c r="N32" i="38"/>
  <c r="O32" i="38"/>
  <c r="O33" i="38" s="1"/>
  <c r="J25" i="38"/>
  <c r="J26" i="38" s="1"/>
  <c r="J27" i="38" s="1"/>
  <c r="O25" i="38"/>
  <c r="O26" i="38" s="1"/>
  <c r="O27" i="38" s="1"/>
  <c r="N25" i="38"/>
  <c r="N26" i="38" s="1"/>
  <c r="N27" i="38" s="1"/>
  <c r="M25" i="38"/>
  <c r="M26" i="38" s="1"/>
  <c r="M27" i="38" s="1"/>
  <c r="L25" i="38"/>
  <c r="L26" i="38" s="1"/>
  <c r="L27" i="38" s="1"/>
  <c r="K25" i="38"/>
  <c r="K26" i="38" s="1"/>
  <c r="N33" i="38" l="1"/>
  <c r="M34" i="38"/>
  <c r="M35" i="38" s="1"/>
  <c r="K27" i="38"/>
  <c r="F18" i="10" l="1"/>
  <c r="K18" i="10" l="1"/>
  <c r="J18" i="10"/>
  <c r="I18" i="10"/>
  <c r="H18" i="10"/>
  <c r="I11" i="10"/>
  <c r="X45" i="10" l="1"/>
  <c r="X46" i="10"/>
  <c r="E18" i="10" l="1"/>
  <c r="L18" i="10"/>
  <c r="D18" i="10"/>
  <c r="C18" i="10"/>
  <c r="G18" i="10"/>
  <c r="I12" i="10" l="1"/>
  <c r="K51" i="10" l="1"/>
  <c r="I6" i="10" l="1"/>
  <c r="I5" i="10"/>
  <c r="C6" i="10"/>
  <c r="O6" i="10" l="1"/>
  <c r="C11" i="10" l="1"/>
  <c r="R21" i="10" l="1"/>
  <c r="L51" i="10" l="1"/>
  <c r="J51" i="10"/>
  <c r="I51" i="10"/>
  <c r="H51" i="10"/>
  <c r="G51" i="10"/>
  <c r="F51" i="10"/>
  <c r="W70" i="10" l="1"/>
  <c r="V70" i="10"/>
  <c r="W69" i="10"/>
  <c r="V69" i="10"/>
  <c r="W68" i="10"/>
  <c r="V68" i="10"/>
  <c r="AA59" i="10"/>
  <c r="AA58" i="10"/>
  <c r="AA57" i="10"/>
  <c r="AA56" i="10"/>
  <c r="A50" i="10"/>
  <c r="Q30" i="10"/>
  <c r="P30" i="10"/>
  <c r="Q29" i="10"/>
  <c r="P29" i="10"/>
  <c r="Q28" i="10"/>
  <c r="P28" i="10"/>
  <c r="O23" i="10"/>
  <c r="O21" i="10"/>
  <c r="AB20" i="10"/>
  <c r="X15" i="10"/>
  <c r="X14" i="10"/>
  <c r="X13" i="10"/>
  <c r="X12" i="10"/>
  <c r="X11" i="10"/>
  <c r="X10" i="10"/>
  <c r="F15" i="10"/>
  <c r="X9" i="10"/>
  <c r="X8" i="10"/>
  <c r="X7" i="10"/>
  <c r="X6" i="10"/>
  <c r="L7" i="10"/>
  <c r="X5" i="10"/>
  <c r="X4" i="10"/>
  <c r="S4" i="10"/>
  <c r="Q4" i="10"/>
  <c r="O4" i="10"/>
  <c r="X3" i="10"/>
  <c r="S3" i="10"/>
  <c r="Q3" i="10"/>
  <c r="O3" i="10"/>
  <c r="X2" i="10"/>
  <c r="F19" i="10" l="1"/>
  <c r="I19" i="10"/>
  <c r="J19" i="10"/>
  <c r="O22" i="10"/>
  <c r="Q6" i="10"/>
  <c r="R6" i="10"/>
  <c r="P6" i="10"/>
  <c r="C19" i="10"/>
  <c r="H19" i="10"/>
  <c r="L19" i="10"/>
  <c r="G19" i="10"/>
  <c r="K19" i="10"/>
  <c r="E19" i="10"/>
  <c r="D19" i="10"/>
  <c r="C20" i="10" l="1"/>
  <c r="F20" i="10"/>
  <c r="B55" i="10"/>
  <c r="D20" i="10"/>
  <c r="Y2" i="10" s="1"/>
  <c r="E20" i="10"/>
  <c r="L20" i="10"/>
  <c r="I20" i="10"/>
  <c r="G20" i="10"/>
  <c r="H20" i="10"/>
  <c r="K20" i="10"/>
  <c r="J20" i="10"/>
  <c r="Y13" i="10" l="1"/>
  <c r="J24" i="10"/>
  <c r="J23" i="10"/>
  <c r="Y11" i="10"/>
  <c r="I24" i="10"/>
  <c r="I23" i="10"/>
  <c r="Y4" i="10"/>
  <c r="F24" i="10"/>
  <c r="F23" i="10"/>
  <c r="T4" i="10"/>
  <c r="H24" i="10"/>
  <c r="H23" i="10"/>
  <c r="Y5" i="10"/>
  <c r="G24" i="10"/>
  <c r="G23" i="10"/>
  <c r="Y3" i="10"/>
  <c r="Z3" i="10" s="1"/>
  <c r="E24" i="10"/>
  <c r="E23" i="10"/>
  <c r="K23" i="10"/>
  <c r="K24" i="10"/>
  <c r="Y9" i="10"/>
  <c r="Y10" i="10"/>
  <c r="Q10" i="10"/>
  <c r="Y12" i="10"/>
  <c r="R4" i="10"/>
  <c r="Y8" i="10"/>
  <c r="Y20" i="10"/>
  <c r="AA20" i="10" s="1"/>
  <c r="AB56" i="10" s="1"/>
  <c r="Y6" i="10"/>
  <c r="T3" i="10"/>
  <c r="Y26" i="10"/>
  <c r="Q15" i="10"/>
  <c r="Y15" i="10"/>
  <c r="P4" i="10"/>
  <c r="Q14" i="10"/>
  <c r="R3" i="10"/>
  <c r="Q13" i="10"/>
  <c r="P3" i="10"/>
  <c r="Y14" i="10"/>
  <c r="Y7" i="10"/>
  <c r="Z2" i="10" l="1"/>
  <c r="AA3" i="10" s="1"/>
  <c r="AB3" i="10" s="1"/>
  <c r="Z4" i="10"/>
  <c r="Z10" i="10"/>
  <c r="Z5" i="10"/>
  <c r="Z13" i="10"/>
  <c r="T5" i="10"/>
  <c r="U46" i="10"/>
  <c r="U45" i="10"/>
  <c r="P5" i="10"/>
  <c r="Z9" i="10"/>
  <c r="Z12" i="10"/>
  <c r="R5" i="10"/>
  <c r="Z11" i="10"/>
  <c r="AB21" i="10"/>
  <c r="Z14" i="10"/>
  <c r="Z6" i="10"/>
  <c r="Z8" i="10"/>
  <c r="Z7" i="10"/>
  <c r="Z15" i="10"/>
  <c r="AA5" i="10" l="1"/>
  <c r="AB5" i="10" s="1"/>
  <c r="AA13" i="10"/>
  <c r="Y24" i="10" s="1"/>
  <c r="AB23" i="10" s="1"/>
  <c r="AA11" i="10"/>
  <c r="Y23" i="10" s="1"/>
  <c r="AA22" i="10" s="1"/>
  <c r="AB58" i="10" s="1"/>
  <c r="AA9" i="10"/>
  <c r="P8" i="10"/>
  <c r="R8" i="10" s="1"/>
  <c r="AA15" i="10"/>
  <c r="Y25" i="10" s="1"/>
  <c r="AA23" i="10" s="1"/>
  <c r="AB59" i="10" s="1"/>
  <c r="AA7" i="10"/>
  <c r="P9" i="10"/>
  <c r="R9" i="10" s="1"/>
  <c r="AB13" i="10" l="1"/>
  <c r="AB11" i="10"/>
  <c r="Y22" i="10"/>
  <c r="AB22" i="10" s="1"/>
  <c r="R10" i="10"/>
  <c r="Q11" i="10" s="1"/>
  <c r="AB15" i="10"/>
  <c r="Y21" i="10"/>
  <c r="AA21" i="10" s="1"/>
  <c r="AB57" i="10" s="1"/>
  <c r="X68" i="10" s="1"/>
  <c r="R28" i="10" s="1"/>
  <c r="T28" i="10" s="1"/>
  <c r="AB7" i="10"/>
  <c r="AB9" i="10"/>
  <c r="X70" i="10"/>
  <c r="Y27" i="10" l="1"/>
  <c r="Y32" i="10" s="1"/>
  <c r="X69" i="10"/>
  <c r="R29" i="10" s="1"/>
  <c r="T29" i="10" s="1"/>
  <c r="Z68" i="10"/>
  <c r="Z70" i="10"/>
  <c r="R30" i="10"/>
  <c r="T30" i="10" s="1"/>
  <c r="Z69" i="10" l="1"/>
  <c r="A42" i="10" l="1"/>
  <c r="O41" i="10" s="1"/>
  <c r="P41" i="10" s="1"/>
  <c r="O42" i="10" l="1"/>
  <c r="A44" i="10"/>
  <c r="A45" i="10" l="1"/>
  <c r="A47" i="10"/>
  <c r="O43" i="10"/>
  <c r="A46" i="10" l="1"/>
  <c r="A48" i="10"/>
  <c r="O44" i="10"/>
  <c r="A49" i="10" s="1"/>
  <c r="C44" i="10" l="1"/>
  <c r="H55" i="10"/>
  <c r="P49" i="10" s="1"/>
  <c r="P43" i="10" l="1"/>
  <c r="P42" i="10"/>
  <c r="P44" i="10"/>
  <c r="Q41" i="10"/>
  <c r="E44" i="10" s="1"/>
  <c r="Q44" i="10" l="1"/>
  <c r="E49" i="10" s="1"/>
  <c r="C49" i="10"/>
  <c r="C46" i="10"/>
  <c r="C48" i="10"/>
  <c r="C45" i="10"/>
  <c r="C47" i="10"/>
  <c r="Q43" i="10"/>
  <c r="P47" i="10"/>
  <c r="Q42" i="10"/>
  <c r="E47" i="10" s="1"/>
  <c r="R44" i="10"/>
  <c r="F49" i="10" s="1"/>
  <c r="T44" i="10"/>
  <c r="H49" i="10" s="1"/>
  <c r="W44" i="10"/>
  <c r="K49" i="10" s="1"/>
  <c r="R41" i="10"/>
  <c r="F44" i="10" s="1"/>
  <c r="U41" i="10"/>
  <c r="I44" i="10" s="1"/>
  <c r="R43" i="10"/>
  <c r="X43" i="10"/>
  <c r="R42" i="10"/>
  <c r="V44" i="10"/>
  <c r="J49" i="10" s="1"/>
  <c r="X44" i="10"/>
  <c r="L49" i="10" s="1"/>
  <c r="V42" i="10"/>
  <c r="U43" i="10"/>
  <c r="W43" i="10"/>
  <c r="T43" i="10"/>
  <c r="U44" i="10"/>
  <c r="I49" i="10" s="1"/>
  <c r="T42" i="10"/>
  <c r="U42" i="10"/>
  <c r="W42" i="10"/>
  <c r="S43" i="10"/>
  <c r="V43" i="10"/>
  <c r="X41" i="10"/>
  <c r="L44" i="10" s="1"/>
  <c r="V41" i="10"/>
  <c r="J44" i="10" s="1"/>
  <c r="S42" i="10"/>
  <c r="X42" i="10"/>
  <c r="S44" i="10"/>
  <c r="G49" i="10" s="1"/>
  <c r="T41" i="10"/>
  <c r="H44" i="10" s="1"/>
  <c r="W41" i="10"/>
  <c r="K44" i="10" s="1"/>
  <c r="S41" i="10"/>
  <c r="G44" i="10" s="1"/>
  <c r="K47" i="10" l="1"/>
  <c r="K45" i="10"/>
  <c r="H48" i="10"/>
  <c r="H46" i="10"/>
  <c r="F46" i="10"/>
  <c r="F48" i="10"/>
  <c r="G47" i="10"/>
  <c r="G45" i="10"/>
  <c r="G46" i="10"/>
  <c r="G48" i="10"/>
  <c r="J45" i="10"/>
  <c r="J47" i="10"/>
  <c r="L48" i="10"/>
  <c r="L46" i="10"/>
  <c r="L47" i="10"/>
  <c r="L45" i="10"/>
  <c r="J46" i="10"/>
  <c r="J48" i="10"/>
  <c r="H47" i="10"/>
  <c r="H45" i="10"/>
  <c r="I48" i="10"/>
  <c r="I46" i="10"/>
  <c r="F45" i="10"/>
  <c r="F47" i="10"/>
  <c r="E46" i="10"/>
  <c r="E48" i="10"/>
  <c r="I45" i="10"/>
  <c r="I47" i="10"/>
  <c r="K46" i="10"/>
  <c r="K48" i="10"/>
  <c r="E45" i="10"/>
  <c r="Q47" i="10"/>
  <c r="C50" i="10"/>
  <c r="S47" i="10"/>
  <c r="U47" i="10"/>
  <c r="X47" i="10"/>
  <c r="T47" i="10"/>
  <c r="V47" i="10"/>
  <c r="W47" i="10"/>
  <c r="R47" i="10"/>
  <c r="F50" i="10" l="1"/>
  <c r="H50" i="10"/>
  <c r="J50" i="10"/>
  <c r="G50" i="10"/>
  <c r="I50" i="10"/>
  <c r="L50" i="10"/>
  <c r="K50" i="10"/>
  <c r="E50" i="10"/>
</calcChain>
</file>

<file path=xl/comments1.xml><?xml version="1.0" encoding="utf-8"?>
<comments xmlns="http://schemas.openxmlformats.org/spreadsheetml/2006/main">
  <authors>
    <author>Mercy Alejandra Rivera Fonseca</author>
  </authors>
  <commentList>
    <comment ref="J30" authorId="0" shapeId="0">
      <text>
        <r>
          <rPr>
            <b/>
            <sz val="9"/>
            <color indexed="81"/>
            <rFont val="Tahoma"/>
            <family val="2"/>
          </rPr>
          <t>Mercy Alejandra Rivera Fonseca:</t>
        </r>
        <r>
          <rPr>
            <sz val="9"/>
            <color indexed="81"/>
            <rFont val="Tahoma"/>
            <family val="2"/>
          </rPr>
          <t xml:space="preserve">
Digitar </t>
        </r>
      </text>
    </comment>
  </commentList>
</comments>
</file>

<file path=xl/comments2.xml><?xml version="1.0" encoding="utf-8"?>
<comments xmlns="http://schemas.openxmlformats.org/spreadsheetml/2006/main">
  <authors>
    <author>Mercy Alejandra Rivera Fonseca</author>
  </authors>
  <commentList>
    <comment ref="L20" authorId="0" shapeId="0">
      <text>
        <r>
          <rPr>
            <b/>
            <sz val="9"/>
            <color indexed="81"/>
            <rFont val="Tahoma"/>
            <family val="2"/>
          </rPr>
          <t>Mercy Alejandra Rivera Fonseca:</t>
        </r>
        <r>
          <rPr>
            <sz val="9"/>
            <color indexed="81"/>
            <rFont val="Tahoma"/>
            <family val="2"/>
          </rPr>
          <t xml:space="preserve">
Valor entre 6 y 8
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</rPr>
          <t>Mercy Alejandra Rivera Fonseca:</t>
        </r>
        <r>
          <rPr>
            <sz val="9"/>
            <color indexed="81"/>
            <rFont val="Tahoma"/>
            <family val="2"/>
          </rPr>
          <t xml:space="preserve">
Valor entre 55 - 80
</t>
        </r>
      </text>
    </comment>
  </commentList>
</comments>
</file>

<file path=xl/sharedStrings.xml><?xml version="1.0" encoding="utf-8"?>
<sst xmlns="http://schemas.openxmlformats.org/spreadsheetml/2006/main" count="399" uniqueCount="278">
  <si>
    <t>OBRA:</t>
  </si>
  <si>
    <t>1"</t>
  </si>
  <si>
    <t>3/4"</t>
  </si>
  <si>
    <t>3/8"</t>
  </si>
  <si>
    <t>Observaciones:</t>
  </si>
  <si>
    <t>1/2"</t>
  </si>
  <si>
    <t>N°4</t>
  </si>
  <si>
    <t>% Retenido</t>
  </si>
  <si>
    <t>CÓDIGO:</t>
  </si>
  <si>
    <t>TIPO DE MEZCLA ASFÁLTICA:</t>
  </si>
  <si>
    <t>GRADACIÓN</t>
  </si>
  <si>
    <t>Peso Retenido</t>
  </si>
  <si>
    <t>FONDO</t>
  </si>
  <si>
    <t>PROMEDIO</t>
  </si>
  <si>
    <t>P1</t>
  </si>
  <si>
    <t>P2</t>
  </si>
  <si>
    <t>Tamiz pulgadas</t>
  </si>
  <si>
    <t>Tamiz mm.</t>
  </si>
  <si>
    <t>% que  Pasa</t>
  </si>
  <si>
    <t>Nº</t>
  </si>
  <si>
    <t>MUESTRA No.</t>
  </si>
  <si>
    <t xml:space="preserve">Especificación </t>
  </si>
  <si>
    <t>Densidad Bulk gr./cm³</t>
  </si>
  <si>
    <t>Estabilidad (kg)</t>
  </si>
  <si>
    <t>Flujo (mm)</t>
  </si>
  <si>
    <t>Est./flujo</t>
  </si>
  <si>
    <t>LOCALIZACIÓN:</t>
  </si>
  <si>
    <t>Va</t>
  </si>
  <si>
    <t>VAM</t>
  </si>
  <si>
    <t>VFA</t>
  </si>
  <si>
    <t>R.P</t>
  </si>
  <si>
    <t xml:space="preserve"> - - - </t>
  </si>
  <si>
    <t>Viaje No.</t>
  </si>
  <si>
    <t xml:space="preserve"> 0.8 - 1.2 </t>
  </si>
  <si>
    <t>Min.15</t>
  </si>
  <si>
    <t>CÓDIGO</t>
  </si>
  <si>
    <t>FUENTE:</t>
  </si>
  <si>
    <t>D10</t>
  </si>
  <si>
    <t>D30</t>
  </si>
  <si>
    <t>D60</t>
  </si>
  <si>
    <t>TAMIZ</t>
  </si>
  <si>
    <t>%PASA</t>
  </si>
  <si>
    <t>Cc</t>
  </si>
  <si>
    <t>Cu</t>
  </si>
  <si>
    <t>%Gravas</t>
  </si>
  <si>
    <t>%Arenas</t>
  </si>
  <si>
    <t>%Finos</t>
  </si>
  <si>
    <t>Gravedad especifica Bulk 25 °C</t>
  </si>
  <si>
    <t>Elaboró:</t>
  </si>
  <si>
    <t>Aprobó:</t>
  </si>
  <si>
    <t>VERSIÓN</t>
  </si>
  <si>
    <t>%Pasa</t>
  </si>
  <si>
    <t>%Ret</t>
  </si>
  <si>
    <t>Porcentaje que pasa el tamiz de 4.75 mm (N°4).</t>
  </si>
  <si>
    <t>Porcentaje que pasa el tamiz de 2.36 mm (N°8).</t>
  </si>
  <si>
    <t>Porcentaje que pasa el tamiz de 1.18 mm (N°16).</t>
  </si>
  <si>
    <t>Porcentaje que pasa el tamiz de 0.60 mm (N°30).</t>
  </si>
  <si>
    <t>Porcentaje que pasa el tamiz de 0.30 mm (N°50).</t>
  </si>
  <si>
    <t>Porcentaje que pasa el tamiz de 0.15 mm (N°100).</t>
  </si>
  <si>
    <t>Porcentaje que pasa el tamiz de 0.075 mm (N°200).</t>
  </si>
  <si>
    <t>Pbe = Contenido de asfalto efectivo</t>
  </si>
  <si>
    <t>Pb = Contenido de asfalto total</t>
  </si>
  <si>
    <t>Db = Densidad del ligante 25°C</t>
  </si>
  <si>
    <t>Dsb = Densidad bulk combinada del agregado t/m3</t>
  </si>
  <si>
    <t>IPL = Índice de película de ligante</t>
  </si>
  <si>
    <t>(El que retiene mas del 10% según la norma )</t>
  </si>
  <si>
    <t>Seleccionar los tamices de control para el tamaño máximo nominal en la siguiente tabla</t>
  </si>
  <si>
    <t>TAMICES DE CONTROL MÉTODO BAILEY</t>
  </si>
  <si>
    <t>DMN (mm)</t>
  </si>
  <si>
    <t>TM</t>
  </si>
  <si>
    <t>TCP</t>
  </si>
  <si>
    <t>TCS</t>
  </si>
  <si>
    <t>TCT</t>
  </si>
  <si>
    <t>Nota:  el tamiz 4.75mm es el normalmente usado como tamiz de control para un DMN de 12.5, pero puede ser el 6.25mm</t>
  </si>
  <si>
    <t>De la gradación obtener los porcentajes que pasan por el tamiz de control</t>
  </si>
  <si>
    <t>Control</t>
  </si>
  <si>
    <t>Tamiz de control</t>
  </si>
  <si>
    <t>%pasa</t>
  </si>
  <si>
    <t>Proporción Agregados Grueso</t>
  </si>
  <si>
    <t>AG</t>
  </si>
  <si>
    <t>Proporción gruesa del agregado fino</t>
  </si>
  <si>
    <t>GAF</t>
  </si>
  <si>
    <t>Proporción fina del agregado fino</t>
  </si>
  <si>
    <t>FAF</t>
  </si>
  <si>
    <t>Calcular el parámetro Bailey y comparar con el rango de control</t>
  </si>
  <si>
    <t>Parámetro Bailey</t>
  </si>
  <si>
    <t>Rango Ctrl</t>
  </si>
  <si>
    <t>Resultado</t>
  </si>
  <si>
    <t xml:space="preserve"> 2 - 4</t>
  </si>
  <si>
    <t>Min. 750</t>
  </si>
  <si>
    <t>mm</t>
  </si>
  <si>
    <t>MD12</t>
  </si>
  <si>
    <t>MOVIL</t>
  </si>
  <si>
    <t>HORA</t>
  </si>
  <si>
    <t>RICE</t>
  </si>
  <si>
    <t>MERCY RIVERA FONSECA</t>
  </si>
  <si>
    <t>JEFE DE CALIDAD</t>
  </si>
  <si>
    <t>MINIMO  IDU</t>
  </si>
  <si>
    <t>MAXIMO IDU</t>
  </si>
  <si>
    <t>65 - 78</t>
  </si>
  <si>
    <t xml:space="preserve"> 300 - 500 </t>
  </si>
  <si>
    <t xml:space="preserve"> 3 - 5 </t>
  </si>
  <si>
    <t>FECHA APLICACIÓN</t>
  </si>
  <si>
    <t>PABLO VARGAS</t>
  </si>
  <si>
    <t>COORD. TÉCNICO LABORATORIO</t>
  </si>
  <si>
    <t>GERENCIA DE INTERVENCIÓN</t>
  </si>
  <si>
    <t>FECHA DE RECEPCIÓN</t>
  </si>
  <si>
    <t>FECHA DE EJECUCIÓN:</t>
  </si>
  <si>
    <t>ANÁLISIS GRANULOMÉTRICO DE LOS AGREGADOS EXTRAÍDOS DE MEZCLAS ASFÁLTICAS INV E-782-13</t>
  </si>
  <si>
    <t>EXTRACCIÓN CUANTITATIVA DEL ASFALTO EN MEZCLAS PARA PAVIMENTOS INV E-732-13 / MÉTODO A (CENTRIFUGACIÓN)</t>
  </si>
  <si>
    <t>GASOLINA</t>
  </si>
  <si>
    <t>Contenido de asfalto (%)</t>
  </si>
  <si>
    <r>
      <t>W</t>
    </r>
    <r>
      <rPr>
        <b/>
        <sz val="8"/>
        <rFont val="Calibri"/>
        <family val="2"/>
        <scheme val="minor"/>
      </rPr>
      <t xml:space="preserve">2 </t>
    </r>
    <r>
      <rPr>
        <b/>
        <sz val="10"/>
        <rFont val="Calibri"/>
        <family val="2"/>
        <scheme val="minor"/>
      </rPr>
      <t>masa del agua (g):</t>
    </r>
  </si>
  <si>
    <t>A= área superficial del agregado combinado=</t>
  </si>
  <si>
    <t>Método Baley</t>
  </si>
  <si>
    <t>Obtener gradación de diseño</t>
  </si>
  <si>
    <t>Obtener tamaño máximo nominal</t>
  </si>
  <si>
    <t>Seleccionar el rango de control acorde con el tamaño máximo nominal en la tabla a continuación</t>
  </si>
  <si>
    <r>
      <t>W</t>
    </r>
    <r>
      <rPr>
        <b/>
        <sz val="8"/>
        <rFont val="Calibri"/>
        <family val="2"/>
      </rPr>
      <t xml:space="preserve">1 </t>
    </r>
    <r>
      <rPr>
        <b/>
        <sz val="10"/>
        <rFont val="Calibri"/>
        <family val="2"/>
      </rPr>
      <t>masa de la porción de ensayo</t>
    </r>
    <r>
      <rPr>
        <b/>
        <sz val="10"/>
        <rFont val="Calibri"/>
        <family val="2"/>
        <scheme val="minor"/>
      </rPr>
      <t xml:space="preserve"> (g):</t>
    </r>
  </si>
  <si>
    <r>
      <t>W</t>
    </r>
    <r>
      <rPr>
        <b/>
        <sz val="8"/>
        <rFont val="Calibri"/>
        <family val="2"/>
        <scheme val="minor"/>
      </rPr>
      <t>3</t>
    </r>
    <r>
      <rPr>
        <b/>
        <sz val="10"/>
        <rFont val="Calibri"/>
        <family val="2"/>
        <scheme val="minor"/>
      </rPr>
      <t xml:space="preserve">  masa de agregado mineral extraído (g):</t>
    </r>
  </si>
  <si>
    <r>
      <t>W</t>
    </r>
    <r>
      <rPr>
        <b/>
        <sz val="8"/>
        <rFont val="Calibri"/>
        <family val="2"/>
        <scheme val="minor"/>
      </rPr>
      <t>4</t>
    </r>
    <r>
      <rPr>
        <b/>
        <sz val="11"/>
        <rFont val="Calibri"/>
        <family val="2"/>
        <scheme val="minor"/>
      </rPr>
      <t xml:space="preserve"> </t>
    </r>
    <r>
      <rPr>
        <b/>
        <sz val="10"/>
        <rFont val="Calibri"/>
        <family val="2"/>
        <scheme val="minor"/>
      </rPr>
      <t>masa del material mineral en el extracto (g):</t>
    </r>
  </si>
  <si>
    <t>Solvente:</t>
  </si>
  <si>
    <t>INFORME DE ENSAYO
CONTROL DE LA COMPOSIÓN DE LA MEZCLA ASFÁLTICA
INV E-729 o 732,782 -13</t>
  </si>
  <si>
    <t>Laboratorista</t>
  </si>
  <si>
    <t>%</t>
  </si>
  <si>
    <t>g</t>
  </si>
  <si>
    <t>Cliente:</t>
  </si>
  <si>
    <t>Procedencia:</t>
  </si>
  <si>
    <t>Fecha de ejecución:</t>
  </si>
  <si>
    <t>Código:</t>
  </si>
  <si>
    <t>Fecha de recepción:</t>
  </si>
  <si>
    <t>kgf</t>
  </si>
  <si>
    <t>Firma:</t>
  </si>
  <si>
    <t>Nombres y apellidos:</t>
  </si>
  <si>
    <t>Cargo:</t>
  </si>
  <si>
    <t>CHAPARRO CARLOS</t>
  </si>
  <si>
    <t>CORDOBA ALEXANDER</t>
  </si>
  <si>
    <t>CRISTANCHO VICTOR</t>
  </si>
  <si>
    <t>DIAZ CESAR</t>
  </si>
  <si>
    <t>FLOREZ KAREN</t>
  </si>
  <si>
    <t>GALVIS DAVID</t>
  </si>
  <si>
    <t>OSPINA JUAN GABRIEL</t>
  </si>
  <si>
    <t>RINCON SATURNINO</t>
  </si>
  <si>
    <t>SUAREZ  WILLIAM</t>
  </si>
  <si>
    <t>YARA FABIAN</t>
  </si>
  <si>
    <t>Aprobó</t>
  </si>
  <si>
    <t>Densidad  de la mezcla  a 25° C</t>
  </si>
  <si>
    <t xml:space="preserve">Gravedad específica Bulk a 25° C </t>
  </si>
  <si>
    <t>CANO LUIS EDUARDO</t>
  </si>
  <si>
    <t>GOMEZ LUIS CARLOS</t>
  </si>
  <si>
    <t>VILLANUEVA BRAYAN</t>
  </si>
  <si>
    <t>GALVIS DANIEL</t>
  </si>
  <si>
    <t>ELABORO</t>
  </si>
  <si>
    <t>Auxiliar</t>
  </si>
  <si>
    <t>ACHIARDI LEONARDO</t>
  </si>
  <si>
    <t>ARIAS JENNIFER</t>
  </si>
  <si>
    <t>Auxiliar técnico</t>
  </si>
  <si>
    <t>--</t>
  </si>
  <si>
    <t>Coordinador Operativo</t>
  </si>
  <si>
    <t>kN</t>
  </si>
  <si>
    <t>cm²</t>
  </si>
  <si>
    <t>kgf/cm²</t>
  </si>
  <si>
    <t xml:space="preserve">Grupo </t>
  </si>
  <si>
    <t xml:space="preserve">Diámetro </t>
  </si>
  <si>
    <t>Área</t>
  </si>
  <si>
    <t>Numero del espécimen</t>
  </si>
  <si>
    <t>Espesor espécimen (Método A, con calibrador)</t>
  </si>
  <si>
    <t>A: Masa del espécimen seco en el aire</t>
  </si>
  <si>
    <t>C: Masa del espécimen sumergido en agua</t>
  </si>
  <si>
    <t>B: Masa en el aire del espécimen saturado y superficialmente seco (SSS)</t>
  </si>
  <si>
    <t>kPa</t>
  </si>
  <si>
    <t>CÓDIGO: GLAB-FM-032</t>
  </si>
  <si>
    <t xml:space="preserve">INFORME DE ENSAYO </t>
  </si>
  <si>
    <t>EVALUACIÓN DE LA SUSCEPTIBILIDAD AL AGUA DE LAS MEZCLAS DE CONCRETO ASFALTICO UTILIZANDO LA PRUEBA DE TRACCION INDIRECTA (TSR) INV E 725-13</t>
  </si>
  <si>
    <t>CÓDIGO:  GLAB-FM-029</t>
  </si>
  <si>
    <t>Hoja:</t>
  </si>
  <si>
    <t>Material</t>
  </si>
  <si>
    <t>Descripción:</t>
  </si>
  <si>
    <t>CIV:</t>
  </si>
  <si>
    <t>Fecha de informe:</t>
  </si>
  <si>
    <t xml:space="preserve">Humedo </t>
  </si>
  <si>
    <t xml:space="preserve">Seco </t>
  </si>
  <si>
    <t xml:space="preserve">D: Diámetro, mm </t>
  </si>
  <si>
    <t>Altura</t>
  </si>
  <si>
    <t>T: Altura  mm.</t>
  </si>
  <si>
    <t xml:space="preserve">A: Masa seca al  aire                    </t>
  </si>
  <si>
    <t xml:space="preserve">B: Masa    SSS                             </t>
  </si>
  <si>
    <t xml:space="preserve">C: Masa en agua              </t>
  </si>
  <si>
    <t xml:space="preserve">E: Volumen del espécimen </t>
  </si>
  <si>
    <r>
      <t>cm</t>
    </r>
    <r>
      <rPr>
        <sz val="8"/>
        <color theme="1" tint="0.499984740745262"/>
        <rFont val="Calibri"/>
        <family val="2"/>
      </rPr>
      <t>³</t>
    </r>
  </si>
  <si>
    <t>F: Gravedad específica bulk</t>
  </si>
  <si>
    <t>G:Gravedad específica máxima (Rice)</t>
  </si>
  <si>
    <t>H: Porcentaje de vacíos</t>
  </si>
  <si>
    <t xml:space="preserve">I: Volumen de vacíos </t>
  </si>
  <si>
    <t>P:Carga</t>
  </si>
  <si>
    <t xml:space="preserve">P':Carga </t>
  </si>
  <si>
    <t>N</t>
  </si>
  <si>
    <t>Acondicionamiento :</t>
  </si>
  <si>
    <t xml:space="preserve">Saturación mediante vacío </t>
  </si>
  <si>
    <t>24 horas en agua a 60ºC</t>
  </si>
  <si>
    <t xml:space="preserve">t":Altura  </t>
  </si>
  <si>
    <t xml:space="preserve">B":Masa    SSS                             </t>
  </si>
  <si>
    <t xml:space="preserve">C":Masa en agua              </t>
  </si>
  <si>
    <t xml:space="preserve">E":Volumen del espécimen </t>
  </si>
  <si>
    <t xml:space="preserve">J":Volumen absoluto del agua </t>
  </si>
  <si>
    <t>Grado de saturación</t>
  </si>
  <si>
    <t xml:space="preserve">Expansión </t>
  </si>
  <si>
    <t>Rts: Resistencia seca</t>
  </si>
  <si>
    <t xml:space="preserve">Rth: Resistencia húmeda </t>
  </si>
  <si>
    <t>Promedio  porcentaje de saturación</t>
  </si>
  <si>
    <t xml:space="preserve">Promedio  de expansión </t>
  </si>
  <si>
    <t xml:space="preserve">Rts: Promedio  resistencia seca </t>
  </si>
  <si>
    <t xml:space="preserve">Rts: Promedio resistencia húmeda </t>
  </si>
  <si>
    <t xml:space="preserve">RRT: Relación de resistencia a la tensión </t>
  </si>
  <si>
    <t xml:space="preserve">Criterio de aceptación     </t>
  </si>
  <si>
    <t>Rth≥80%Rts</t>
  </si>
  <si>
    <t>Daño por humedad (visual)</t>
  </si>
  <si>
    <t xml:space="preserve">Agregado fracturado </t>
  </si>
  <si>
    <t>Revisó</t>
  </si>
  <si>
    <t>FIN DEL INFORME DE  ENSAYO</t>
  </si>
  <si>
    <t xml:space="preserve">VARGAS PABLO </t>
  </si>
  <si>
    <t>Coordinador Técnico</t>
  </si>
  <si>
    <t xml:space="preserve">Carga máxima </t>
  </si>
  <si>
    <t xml:space="preserve">Resistencia a la compresión </t>
  </si>
  <si>
    <t xml:space="preserve">Resistencia a la compresión de cada grupo </t>
  </si>
  <si>
    <t>Índice de Resistencia conservada</t>
  </si>
  <si>
    <t xml:space="preserve">Los resultados presentados corresponden únicamente a la muestra sometida a ensayo, recibidas en el laboratorio. Este informe no puede ser reproducido en su totalidad ni parcialmente, sin la autorización escrita del laboratorio  de suelos, asfaltos y pavimentos de la UAERMV. </t>
  </si>
  <si>
    <t>FECHA DE APLICACIÓN:  MARZO 2019</t>
  </si>
  <si>
    <t>VERSIÓN: 3</t>
  </si>
  <si>
    <t>Espécimen  N°.</t>
  </si>
  <si>
    <t>Promedio gravedad específica bulk</t>
  </si>
  <si>
    <t>Promedio gravedad específica máxima (Rice)</t>
  </si>
  <si>
    <t>Promedio porcentaje de vacíos</t>
  </si>
  <si>
    <t xml:space="preserve">Promedio volumen de vacios </t>
  </si>
  <si>
    <t>P":Carga</t>
  </si>
  <si>
    <t>Carga</t>
  </si>
  <si>
    <t>Laboratorio  de suelos, asfaltos y pavimentos de la UAERMV 
Sede de Producción Parque Minero Industrial El Mochuelo Kilometro 3 vía Pasquilla localidad Ciudad Bolívar, Bogotá D.C. - Colombia
Tel: 3779555 Ext. 1145   E- mail: p.laboratorio@umv.gov.co</t>
  </si>
  <si>
    <t xml:space="preserve">Recipiente </t>
  </si>
  <si>
    <t xml:space="preserve">Método de ensayo </t>
  </si>
  <si>
    <t>W1: Masa del recipiente con el espécimen húmedo</t>
  </si>
  <si>
    <t>W2: Masa del recipiente con el espécimen seco</t>
  </si>
  <si>
    <t>Wc: Masa del recipiente</t>
  </si>
  <si>
    <t xml:space="preserve">W: Contenido de agua </t>
  </si>
  <si>
    <t>Final</t>
  </si>
  <si>
    <t xml:space="preserve">Etapa del proceso </t>
  </si>
  <si>
    <t>Pre-envuelta</t>
  </si>
  <si>
    <t xml:space="preserve">CONTRERAS WILINTONG </t>
  </si>
  <si>
    <t xml:space="preserve">Lider operativo del  proceso </t>
  </si>
  <si>
    <t>Espesor</t>
  </si>
  <si>
    <t xml:space="preserve">MOLINA JOSE </t>
  </si>
  <si>
    <t>PRADA CESAR</t>
  </si>
  <si>
    <t xml:space="preserve">VARGAS JUAN </t>
  </si>
  <si>
    <t xml:space="preserve">VELASQUEZ JUAN CAMILO </t>
  </si>
  <si>
    <t xml:space="preserve">QUIÑONES ETIEL </t>
  </si>
  <si>
    <t>RIOS JOSE</t>
  </si>
  <si>
    <t xml:space="preserve">VAQUIRO JUAN CAMILO </t>
  </si>
  <si>
    <t xml:space="preserve">RINCON ALVARO JOSE </t>
  </si>
  <si>
    <t>CABALLERO YESID</t>
  </si>
  <si>
    <t xml:space="preserve">ACERO ROBERTO </t>
  </si>
  <si>
    <t>GONZALEZ CAMILO</t>
  </si>
  <si>
    <t>GARCIA JOSE</t>
  </si>
  <si>
    <t>FIN DEL INFORME DE ENSAYO</t>
  </si>
  <si>
    <t>Laboratorio de suelos asfaltos y pavimentos de la UAERMV 
Sede de Producción Parque Minero Industrial El Mochuelo Kilometro 3 vía Pasquilla localidad Ciudad Bolívar, Bogotá D.C. - Colombia
Tel: 3779555 Ext. 1145   E- mail: p.laboratorio@umv.gov.co</t>
  </si>
  <si>
    <t xml:space="preserve"> kg/m³</t>
  </si>
  <si>
    <t xml:space="preserve">INFORME DE ENSAYO
CONTROL DE LA COMPOSICIÓN Y DE LA CALIDAD DEL RECICLAJE DE PAVIMENTO ASFÁLTICO EN EL SITIO CON EMULSIÓN ASFÁLTICA </t>
  </si>
  <si>
    <t>Paginas</t>
  </si>
  <si>
    <t>Pagina</t>
  </si>
  <si>
    <t>de</t>
  </si>
  <si>
    <t>Pagina xx de xx</t>
  </si>
  <si>
    <t>GRAVEDAD ESPECÍFICA BULK INV E- 733-13 Y DISEÑO DE MEZCLAS DE AGREGADOS, RECICLADOS O SIN RECICLAR, CON EMULSIÓN ASFÁLTICA, MEDIANTE EL MÉTODO DE INMERSIÓN - COMPRESIÒN. INV- 622-13</t>
  </si>
  <si>
    <t>CONTENIDO DE AGUA (HUMEDAD)</t>
  </si>
  <si>
    <t xml:space="preserve">Fecha de ejecución: </t>
  </si>
  <si>
    <t>B-C: masa del volumen de agua correspondiente al volumen del espécimen</t>
  </si>
  <si>
    <t>Min 75% Especificación técnica IDU sección 450-11</t>
  </si>
  <si>
    <t>Probetas EN SECO
(14 días al aire)</t>
  </si>
  <si>
    <t>Probetas HUMEDO
 (7 días en seco y 7 días SSS)</t>
  </si>
  <si>
    <t>VERSIÓN: 14</t>
  </si>
  <si>
    <t>FECHA DE APLICACIÓN: OCTUBRE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</si>
</sst>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41" formatCode="_-* #,##0_-;\-* #,##0_-;_-* &quot;-&quot;_-;_-@_-"/>
    <numFmt numFmtId="43" formatCode="_-* #,##0.00_-;\-* #,##0.00_-;_-* &quot;-&quot;??_-;_-@_-"/>
    <numFmt numFmtId="164" formatCode="&quot;$&quot;\ #,##0.00_);\(&quot;$&quot;\ #,##0.00\)"/>
    <numFmt numFmtId="165" formatCode="_(* #,##0_);_(* \(#,##0\);_(* &quot;-&quot;_);_(@_)"/>
    <numFmt numFmtId="166" formatCode="_(* #,##0.00_);_(* \(#,##0.00\);_(* &quot;-&quot;??_);_(@_)"/>
    <numFmt numFmtId="167" formatCode="#,##0.00\ &quot;€&quot;;[Red]\-#,##0.00\ &quot;€&quot;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0.0"/>
    <numFmt numFmtId="171" formatCode="0.0%"/>
    <numFmt numFmtId="172" formatCode="\K##\+###"/>
    <numFmt numFmtId="173" formatCode="\K0\+0##"/>
    <numFmt numFmtId="174" formatCode="#,##0\ &quot;$&quot;;\-#,##0\ &quot;$&quot;"/>
    <numFmt numFmtId="175" formatCode="0.000"/>
    <numFmt numFmtId="176" formatCode="0.0000"/>
    <numFmt numFmtId="177" formatCode="_(* #,##0.00000_);_(* \(#,##0.00000\);_(* &quot;-&quot;??_);_(@_)"/>
    <numFmt numFmtId="178" formatCode="_([$€]* #,##0.00_);_([$€]* \(#,##0.00\);_([$€]* &quot;-&quot;??_);_(@_)"/>
    <numFmt numFmtId="179" formatCode="_ [$€-2]\ * #,##0.00_ ;_ [$€-2]\ * \-#,##0.00_ ;_ [$€-2]\ * &quot;-&quot;??_ "/>
    <numFmt numFmtId="180" formatCode="#,##0\ &quot;$&quot;;[Red]\-#,##0\ &quot;$&quot;"/>
    <numFmt numFmtId="181" formatCode="_-* #,##0\ _P_t_s_-;\-* #,##0\ _P_t_s_-;_-* &quot;-&quot;??\ _P_t_s_-;_-@_-"/>
    <numFmt numFmtId="182" formatCode="_(* #,##0.000_);_(* \(#,##0.000\);_(* &quot;-&quot;??_);_(@_)"/>
    <numFmt numFmtId="183" formatCode="_ * #,##0.00_ ;_ * \-#,##0.00_ ;_ * &quot;-&quot;??_ ;_ @_ "/>
    <numFmt numFmtId="184" formatCode="_-* #,##0.0\ _P_t_s_-;\-* #,##0.0\ _P_t_s_-;_-* &quot;-&quot;??\ _P_t_s_-;_-@_-"/>
    <numFmt numFmtId="185" formatCode="_ * #,##0_ ;_ * \-#,##0_ ;_ * &quot;-&quot;_ ;_ @_ "/>
    <numFmt numFmtId="186" formatCode="&quot;$&quot;#,##0\ ;\(&quot;$&quot;#,##0\)"/>
    <numFmt numFmtId="187" formatCode="General_)"/>
    <numFmt numFmtId="188" formatCode="#,##0.00\ &quot;$&quot;;\-#,##0.00\ &quot;$&quot;"/>
    <numFmt numFmtId="189" formatCode="000"/>
    <numFmt numFmtId="190" formatCode="00"/>
    <numFmt numFmtId="191" formatCode="\K0\+###"/>
    <numFmt numFmtId="192" formatCode="dd/mm/yyyy;@"/>
    <numFmt numFmtId="193" formatCode="h:mm:ss;@"/>
    <numFmt numFmtId="194" formatCode="yyyy\-mm\-dd;@"/>
  </numFmts>
  <fonts count="7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24"/>
      <name val="Modern"/>
      <family val="3"/>
      <charset val="255"/>
    </font>
    <font>
      <sz val="10"/>
      <name val="Helv"/>
    </font>
    <font>
      <b/>
      <sz val="10"/>
      <color indexed="24"/>
      <name val="Modern"/>
      <family val="3"/>
      <charset val="255"/>
    </font>
    <font>
      <sz val="8"/>
      <color indexed="24"/>
      <name val="Arial"/>
      <family val="2"/>
    </font>
    <font>
      <sz val="10"/>
      <color indexed="24"/>
      <name val="Arial"/>
      <family val="2"/>
    </font>
    <font>
      <sz val="8"/>
      <name val="Courier"/>
      <family val="3"/>
    </font>
    <font>
      <sz val="10"/>
      <color indexed="10"/>
      <name val="Arial"/>
      <family val="2"/>
    </font>
    <font>
      <sz val="10"/>
      <name val="Arial"/>
      <family val="2"/>
    </font>
    <font>
      <sz val="14"/>
      <name val="Calibri"/>
      <family val="2"/>
    </font>
    <font>
      <b/>
      <sz val="10"/>
      <name val="Calibri"/>
      <family val="2"/>
    </font>
    <font>
      <sz val="8"/>
      <name val="Helv"/>
    </font>
    <font>
      <sz val="7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10.5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sz val="10"/>
      <color theme="0"/>
      <name val="Arial"/>
      <family val="2"/>
    </font>
    <font>
      <b/>
      <sz val="10.5"/>
      <color theme="1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8"/>
      <color indexed="12"/>
      <name val="Arial"/>
      <family val="2"/>
    </font>
    <font>
      <sz val="12"/>
      <name val="Arial"/>
      <family val="2"/>
    </font>
    <font>
      <sz val="7"/>
      <color theme="0" tint="-0.499984740745262"/>
      <name val="Arial"/>
      <family val="2"/>
    </font>
    <font>
      <sz val="10"/>
      <name val="Times New Roman"/>
      <family val="1"/>
    </font>
    <font>
      <sz val="8"/>
      <color theme="1" tint="0.499984740745262"/>
      <name val="Arial"/>
      <family val="2"/>
    </font>
    <font>
      <sz val="7"/>
      <color theme="1" tint="0.499984740745262"/>
      <name val="Arial"/>
      <family val="2"/>
    </font>
    <font>
      <b/>
      <sz val="8"/>
      <color theme="1" tint="0.49998474074526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8"/>
      <color theme="1" tint="0.499984740745262"/>
      <name val="Calibri"/>
      <family val="2"/>
    </font>
    <font>
      <b/>
      <i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12"/>
      <name val="Arial"/>
      <family val="2"/>
    </font>
    <font>
      <sz val="7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 tint="0.499984740745262"/>
      <name val="Arial"/>
      <family val="2"/>
    </font>
    <font>
      <i/>
      <sz val="8"/>
      <name val="Arial"/>
      <family val="2"/>
    </font>
    <font>
      <b/>
      <sz val="12"/>
      <name val="Arial"/>
      <family val="2"/>
    </font>
    <font>
      <b/>
      <sz val="9"/>
      <color theme="1"/>
      <name val="Arial"/>
      <family val="2"/>
    </font>
    <font>
      <b/>
      <i/>
      <sz val="9"/>
      <name val="Arial"/>
      <family val="2"/>
    </font>
    <font>
      <sz val="9"/>
      <color theme="1" tint="0.499984740745262"/>
      <name val="Arial"/>
      <family val="2"/>
    </font>
    <font>
      <sz val="9"/>
      <color theme="1"/>
      <name val="Arial"/>
      <family val="2"/>
    </font>
    <font>
      <b/>
      <sz val="9"/>
      <color theme="1" tint="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gray0625">
        <fgColor theme="0" tint="-0.149967955565050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64"/>
      </patternFill>
    </fill>
  </fills>
  <borders count="12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thin">
        <color theme="1" tint="0.499984740745262"/>
      </bottom>
      <diagonal/>
    </border>
    <border>
      <left/>
      <right style="dashed">
        <color theme="0" tint="-0.24994659260841701"/>
      </right>
      <top/>
      <bottom/>
      <diagonal/>
    </border>
    <border>
      <left style="thin">
        <color indexed="64"/>
      </left>
      <right/>
      <top/>
      <bottom style="dashed">
        <color theme="0" tint="-0.24994659260841701"/>
      </bottom>
      <diagonal/>
    </border>
    <border>
      <left/>
      <right/>
      <top/>
      <bottom style="dashed">
        <color theme="0" tint="-0.24994659260841701"/>
      </bottom>
      <diagonal/>
    </border>
    <border>
      <left/>
      <right style="dashed">
        <color theme="0" tint="-0.24994659260841701"/>
      </right>
      <top/>
      <bottom style="dashed">
        <color theme="0" tint="-0.24994659260841701"/>
      </bottom>
      <diagonal/>
    </border>
    <border>
      <left/>
      <right style="thin">
        <color indexed="64"/>
      </right>
      <top/>
      <bottom style="dashed">
        <color theme="0" tint="-0.24994659260841701"/>
      </bottom>
      <diagonal/>
    </border>
    <border>
      <left style="dashed">
        <color theme="0" tint="-0.34998626667073579"/>
      </left>
      <right/>
      <top style="thin">
        <color indexed="64"/>
      </top>
      <bottom style="dashed">
        <color theme="0" tint="-0.34998626667073579"/>
      </bottom>
      <diagonal/>
    </border>
    <border>
      <left/>
      <right/>
      <top style="thin">
        <color indexed="64"/>
      </top>
      <bottom style="dashed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dashed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thin">
        <color indexed="64"/>
      </top>
      <bottom style="dashed">
        <color theme="0" tint="-0.34998626667073579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/>
      <top/>
      <bottom style="dashed">
        <color theme="0" tint="-4.9989318521683403E-2"/>
      </bottom>
      <diagonal/>
    </border>
    <border>
      <left/>
      <right/>
      <top/>
      <bottom style="dashed">
        <color theme="0" tint="-4.9989318521683403E-2"/>
      </bottom>
      <diagonal/>
    </border>
    <border>
      <left/>
      <right style="thin">
        <color indexed="64"/>
      </right>
      <top/>
      <bottom style="dashed">
        <color theme="0" tint="-4.9989318521683403E-2"/>
      </bottom>
      <diagonal/>
    </border>
    <border>
      <left style="thin">
        <color indexed="64"/>
      </left>
      <right style="dashed">
        <color theme="0" tint="-4.9989318521683403E-2"/>
      </right>
      <top/>
      <bottom style="dashed">
        <color theme="0" tint="-4.9989318521683403E-2"/>
      </bottom>
      <diagonal/>
    </border>
    <border>
      <left style="dashed">
        <color theme="0" tint="-4.9989318521683403E-2"/>
      </left>
      <right style="dashed">
        <color theme="0" tint="-4.9989318521683403E-2"/>
      </right>
      <top/>
      <bottom style="dashed">
        <color theme="0" tint="-4.9989318521683403E-2"/>
      </bottom>
      <diagonal/>
    </border>
    <border>
      <left style="dashed">
        <color theme="0" tint="-4.9989318521683403E-2"/>
      </left>
      <right/>
      <top/>
      <bottom style="dashed">
        <color theme="0" tint="-4.9989318521683403E-2"/>
      </bottom>
      <diagonal/>
    </border>
    <border>
      <left style="thin">
        <color theme="1"/>
      </left>
      <right style="dashed">
        <color theme="0" tint="-4.9989318521683403E-2"/>
      </right>
      <top/>
      <bottom style="dashed">
        <color theme="0" tint="-4.9989318521683403E-2"/>
      </bottom>
      <diagonal/>
    </border>
    <border>
      <left style="dashed">
        <color theme="0" tint="-4.9989318521683403E-2"/>
      </left>
      <right style="thin">
        <color indexed="64"/>
      </right>
      <top/>
      <bottom style="dashed">
        <color theme="0" tint="-4.9989318521683403E-2"/>
      </bottom>
      <diagonal/>
    </border>
    <border>
      <left style="thin">
        <color indexed="64"/>
      </left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 style="thin">
        <color indexed="64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indexed="64"/>
      </left>
      <right style="dashed">
        <color theme="0" tint="-4.9989318521683403E-2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dashed">
        <color theme="0" tint="-4.9989318521683403E-2"/>
      </left>
      <right style="dashed">
        <color theme="0" tint="-4.9989318521683403E-2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dashed">
        <color theme="0" tint="-4.9989318521683403E-2"/>
      </left>
      <right/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theme="1"/>
      </left>
      <right style="dashed">
        <color theme="0" tint="-4.9989318521683403E-2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dashed">
        <color theme="0" tint="-4.9989318521683403E-2"/>
      </left>
      <right style="thin">
        <color indexed="64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 style="thin">
        <color theme="1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indexed="64"/>
      </left>
      <right/>
      <top style="dashed">
        <color theme="0" tint="-4.9989318521683403E-2"/>
      </top>
      <bottom/>
      <diagonal/>
    </border>
    <border>
      <left/>
      <right/>
      <top style="dashed">
        <color theme="0" tint="-4.9989318521683403E-2"/>
      </top>
      <bottom/>
      <diagonal/>
    </border>
    <border>
      <left/>
      <right style="thin">
        <color theme="1"/>
      </right>
      <top style="dashed">
        <color theme="0" tint="-4.9989318521683403E-2"/>
      </top>
      <bottom/>
      <diagonal/>
    </border>
    <border>
      <left/>
      <right style="thin">
        <color theme="1"/>
      </right>
      <top/>
      <bottom style="dashed">
        <color theme="0" tint="-4.9989318521683403E-2"/>
      </bottom>
      <diagonal/>
    </border>
    <border>
      <left style="thin">
        <color indexed="64"/>
      </left>
      <right/>
      <top style="dashed">
        <color theme="0" tint="-4.9989318521683403E-2"/>
      </top>
      <bottom style="thin">
        <color indexed="64"/>
      </bottom>
      <diagonal/>
    </border>
    <border>
      <left/>
      <right/>
      <top style="dashed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dashed">
        <color theme="0" tint="-4.9989318521683403E-2"/>
      </right>
      <top style="dashed">
        <color theme="0" tint="-4.9989318521683403E-2"/>
      </top>
      <bottom/>
      <diagonal/>
    </border>
    <border>
      <left style="dashed">
        <color theme="0" tint="-4.9989318521683403E-2"/>
      </left>
      <right style="dashed">
        <color theme="0" tint="-4.9989318521683403E-2"/>
      </right>
      <top style="dashed">
        <color theme="0" tint="-4.9989318521683403E-2"/>
      </top>
      <bottom/>
      <diagonal/>
    </border>
    <border>
      <left style="dashed">
        <color theme="0" tint="-4.9989318521683403E-2"/>
      </left>
      <right/>
      <top style="dashed">
        <color theme="0" tint="-4.9989318521683403E-2"/>
      </top>
      <bottom/>
      <diagonal/>
    </border>
    <border>
      <left style="thin">
        <color theme="1"/>
      </left>
      <right style="dashed">
        <color theme="0" tint="-4.9989318521683403E-2"/>
      </right>
      <top style="dashed">
        <color theme="0" tint="-4.9989318521683403E-2"/>
      </top>
      <bottom/>
      <diagonal/>
    </border>
    <border>
      <left style="dashed">
        <color theme="0" tint="-4.9989318521683403E-2"/>
      </left>
      <right style="thin">
        <color indexed="64"/>
      </right>
      <top style="dashed">
        <color theme="0" tint="-4.9989318521683403E-2"/>
      </top>
      <bottom/>
      <diagonal/>
    </border>
    <border>
      <left style="dashed">
        <color theme="0" tint="-4.9989318521683403E-2"/>
      </left>
      <right style="thin">
        <color theme="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dashed">
        <color theme="0" tint="-4.9989318521683403E-2"/>
      </top>
      <bottom/>
      <diagonal/>
    </border>
    <border>
      <left/>
      <right style="thin">
        <color indexed="64"/>
      </right>
      <top style="dashed">
        <color theme="0" tint="-4.9989318521683403E-2"/>
      </top>
      <bottom/>
      <diagonal/>
    </border>
    <border>
      <left style="thin">
        <color indexed="64"/>
      </left>
      <right style="dashed">
        <color theme="0" tint="-4.9989318521683403E-2"/>
      </right>
      <top style="dashed">
        <color theme="0" tint="-4.9989318521683403E-2"/>
      </top>
      <bottom style="thin">
        <color indexed="64"/>
      </bottom>
      <diagonal/>
    </border>
    <border>
      <left style="dashed">
        <color theme="0" tint="-4.9989318521683403E-2"/>
      </left>
      <right style="dashed">
        <color theme="0" tint="-4.9989318521683403E-2"/>
      </right>
      <top style="dashed">
        <color theme="0" tint="-4.9989318521683403E-2"/>
      </top>
      <bottom style="thin">
        <color indexed="64"/>
      </bottom>
      <diagonal/>
    </border>
    <border>
      <left style="dashed">
        <color theme="0" tint="-4.9989318521683403E-2"/>
      </left>
      <right/>
      <top style="dashed">
        <color theme="0" tint="-4.9989318521683403E-2"/>
      </top>
      <bottom style="thin">
        <color indexed="64"/>
      </bottom>
      <diagonal/>
    </border>
    <border>
      <left style="thin">
        <color theme="1"/>
      </left>
      <right style="dashed">
        <color theme="0" tint="-4.9989318521683403E-2"/>
      </right>
      <top style="dashed">
        <color theme="0" tint="-4.9989318521683403E-2"/>
      </top>
      <bottom style="thin">
        <color indexed="64"/>
      </bottom>
      <diagonal/>
    </border>
    <border>
      <left style="dashed">
        <color theme="0" tint="-4.9989318521683403E-2"/>
      </left>
      <right style="thin">
        <color indexed="64"/>
      </right>
      <top style="dashed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dashed">
        <color theme="0" tint="-4.9989318521683403E-2"/>
      </right>
      <top style="thin">
        <color indexed="64"/>
      </top>
      <bottom/>
      <diagonal/>
    </border>
    <border>
      <left style="dashed">
        <color theme="0" tint="-4.9989318521683403E-2"/>
      </left>
      <right style="dashed">
        <color theme="0" tint="-4.9989318521683403E-2"/>
      </right>
      <top style="thin">
        <color indexed="64"/>
      </top>
      <bottom/>
      <diagonal/>
    </border>
    <border>
      <left style="dashed">
        <color theme="0" tint="-4.9989318521683403E-2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ashed">
        <color theme="0" tint="-4.9989318521683403E-2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ashed">
        <color theme="0" tint="-0.34998626667073579"/>
      </right>
      <top style="thin">
        <color indexed="64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/>
      <top style="thin">
        <color indexed="64"/>
      </top>
      <bottom/>
      <diagonal/>
    </border>
    <border>
      <left style="dashed">
        <color theme="0" tint="-0.34998626667073579"/>
      </left>
      <right/>
      <top/>
      <bottom/>
      <diagonal/>
    </border>
    <border>
      <left style="dashed">
        <color theme="0" tint="-0.24994659260841701"/>
      </left>
      <right/>
      <top/>
      <bottom/>
      <diagonal/>
    </border>
    <border>
      <left style="dashed">
        <color theme="0" tint="-0.24994659260841701"/>
      </left>
      <right/>
      <top/>
      <bottom style="thin">
        <color indexed="64"/>
      </bottom>
      <diagonal/>
    </border>
    <border>
      <left style="thin">
        <color indexed="64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dashed">
        <color theme="0" tint="-0.24994659260841701"/>
      </right>
      <top style="dashed">
        <color theme="0" tint="-0.34998626667073579"/>
      </top>
      <bottom/>
      <diagonal/>
    </border>
    <border>
      <left style="dashed">
        <color theme="0" tint="-0.24994659260841701"/>
      </left>
      <right/>
      <top style="dashed">
        <color theme="0" tint="-0.24994659260841701"/>
      </top>
      <bottom/>
      <diagonal/>
    </border>
    <border>
      <left/>
      <right/>
      <top style="dashed">
        <color theme="0" tint="-0.24994659260841701"/>
      </top>
      <bottom/>
      <diagonal/>
    </border>
    <border>
      <left/>
      <right style="thin">
        <color indexed="64"/>
      </right>
      <top style="dashed">
        <color theme="0" tint="-0.24994659260841701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theme="0" tint="-0.34998626667073579"/>
      </top>
      <bottom style="thin">
        <color indexed="64"/>
      </bottom>
      <diagonal/>
    </border>
    <border>
      <left/>
      <right/>
      <top style="dashed">
        <color theme="0" tint="-0.34998626667073579"/>
      </top>
      <bottom style="thin">
        <color indexed="64"/>
      </bottom>
      <diagonal/>
    </border>
    <border>
      <left/>
      <right style="dashed">
        <color theme="0" tint="-0.24994659260841701"/>
      </right>
      <top style="dashed">
        <color theme="0" tint="-0.34998626667073579"/>
      </top>
      <bottom style="thin">
        <color indexed="64"/>
      </bottom>
      <diagonal/>
    </border>
    <border>
      <left style="dashed">
        <color theme="0" tint="-0.24994659260841701"/>
      </left>
      <right/>
      <top style="dashed">
        <color theme="0" tint="-0.24994659260841701"/>
      </top>
      <bottom style="thin">
        <color indexed="64"/>
      </bottom>
      <diagonal/>
    </border>
    <border>
      <left/>
      <right/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</borders>
  <cellStyleXfs count="194">
    <xf numFmtId="0" fontId="0" fillId="0" borderId="0"/>
    <xf numFmtId="174" fontId="5" fillId="0" borderId="1">
      <alignment horizontal="right"/>
    </xf>
    <xf numFmtId="2" fontId="7" fillId="0" borderId="0"/>
    <xf numFmtId="175" fontId="7" fillId="0" borderId="0"/>
    <xf numFmtId="176" fontId="8" fillId="0" borderId="0"/>
    <xf numFmtId="177" fontId="5" fillId="0" borderId="1">
      <alignment horizontal="right"/>
    </xf>
    <xf numFmtId="174" fontId="5" fillId="0" borderId="0">
      <protection locked="0"/>
    </xf>
    <xf numFmtId="3" fontId="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74" fontId="5" fillId="0" borderId="0">
      <protection locked="0"/>
    </xf>
    <xf numFmtId="164" fontId="5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0" fillId="0" borderId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4" fontId="5" fillId="0" borderId="0">
      <protection locked="0"/>
    </xf>
    <xf numFmtId="174" fontId="5" fillId="0" borderId="0">
      <protection locked="0"/>
    </xf>
    <xf numFmtId="174" fontId="5" fillId="0" borderId="0">
      <protection locked="0"/>
    </xf>
    <xf numFmtId="174" fontId="5" fillId="0" borderId="0">
      <protection locked="0"/>
    </xf>
    <xf numFmtId="174" fontId="5" fillId="0" borderId="0">
      <protection locked="0"/>
    </xf>
    <xf numFmtId="174" fontId="5" fillId="0" borderId="0">
      <protection locked="0"/>
    </xf>
    <xf numFmtId="174" fontId="5" fillId="0" borderId="0">
      <protection locked="0"/>
    </xf>
    <xf numFmtId="2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4" fontId="5" fillId="0" borderId="0">
      <protection locked="0"/>
    </xf>
    <xf numFmtId="174" fontId="5" fillId="0" borderId="0">
      <protection locked="0"/>
    </xf>
    <xf numFmtId="180" fontId="5" fillId="0" borderId="0">
      <alignment horizontal="right"/>
    </xf>
    <xf numFmtId="181" fontId="5" fillId="0" borderId="0" applyFont="0" applyFill="0" applyBorder="0" applyAlignment="0">
      <alignment horizontal="center"/>
    </xf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4" fontId="5" fillId="0" borderId="0">
      <alignment horizontal="right"/>
    </xf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4" fillId="0" borderId="0"/>
    <xf numFmtId="188" fontId="5" fillId="0" borderId="0" applyFont="0" applyFill="0" applyBorder="0" applyAlignment="0">
      <alignment horizontal="center"/>
    </xf>
    <xf numFmtId="0" fontId="21" fillId="0" borderId="0"/>
    <xf numFmtId="0" fontId="5" fillId="0" borderId="0"/>
    <xf numFmtId="1" fontId="5" fillId="0" borderId="0"/>
    <xf numFmtId="1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16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5" fillId="0" borderId="0"/>
    <xf numFmtId="0" fontId="5" fillId="0" borderId="0"/>
    <xf numFmtId="0" fontId="10" fillId="0" borderId="0"/>
    <xf numFmtId="174" fontId="5" fillId="0" borderId="0">
      <protection locked="0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" fillId="0" borderId="0">
      <alignment vertical="top"/>
    </xf>
    <xf numFmtId="0" fontId="4" fillId="0" borderId="0"/>
    <xf numFmtId="0" fontId="4" fillId="0" borderId="0"/>
    <xf numFmtId="164" fontId="4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5" fillId="0" borderId="0"/>
    <xf numFmtId="0" fontId="5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5" fillId="0" borderId="0"/>
  </cellStyleXfs>
  <cellXfs count="802">
    <xf numFmtId="0" fontId="0" fillId="0" borderId="0" xfId="0"/>
    <xf numFmtId="0" fontId="23" fillId="0" borderId="5" xfId="0" applyFont="1" applyBorder="1"/>
    <xf numFmtId="0" fontId="23" fillId="0" borderId="0" xfId="0" applyFont="1" applyBorder="1"/>
    <xf numFmtId="0" fontId="23" fillId="0" borderId="2" xfId="0" applyFont="1" applyFill="1" applyBorder="1" applyAlignment="1">
      <alignment vertical="center" wrapText="1"/>
    </xf>
    <xf numFmtId="0" fontId="23" fillId="0" borderId="0" xfId="105" applyFont="1" applyAlignment="1"/>
    <xf numFmtId="0" fontId="23" fillId="0" borderId="0" xfId="105" applyFont="1" applyAlignment="1">
      <alignment horizontal="center"/>
    </xf>
    <xf numFmtId="0" fontId="25" fillId="0" borderId="0" xfId="0" applyFont="1" applyProtection="1">
      <protection locked="0"/>
    </xf>
    <xf numFmtId="0" fontId="23" fillId="0" borderId="0" xfId="0" applyFont="1"/>
    <xf numFmtId="0" fontId="23" fillId="0" borderId="2" xfId="0" applyFont="1" applyBorder="1" applyAlignment="1">
      <alignment horizontal="left"/>
    </xf>
    <xf numFmtId="0" fontId="25" fillId="0" borderId="0" xfId="0" applyFont="1" applyAlignment="1" applyProtection="1">
      <protection locked="0"/>
    </xf>
    <xf numFmtId="0" fontId="23" fillId="0" borderId="2" xfId="0" applyFont="1" applyBorder="1" applyAlignment="1"/>
    <xf numFmtId="0" fontId="25" fillId="0" borderId="0" xfId="0" applyFont="1" applyAlignment="1" applyProtection="1">
      <alignment horizontal="center"/>
      <protection locked="0"/>
    </xf>
    <xf numFmtId="175" fontId="23" fillId="0" borderId="2" xfId="0" applyNumberFormat="1" applyFont="1" applyBorder="1" applyAlignment="1"/>
    <xf numFmtId="170" fontId="23" fillId="0" borderId="2" xfId="0" applyNumberFormat="1" applyFont="1" applyBorder="1" applyAlignment="1"/>
    <xf numFmtId="2" fontId="23" fillId="0" borderId="2" xfId="0" applyNumberFormat="1" applyFont="1" applyBorder="1" applyAlignment="1"/>
    <xf numFmtId="0" fontId="26" fillId="0" borderId="5" xfId="0" applyFont="1" applyBorder="1"/>
    <xf numFmtId="0" fontId="23" fillId="0" borderId="10" xfId="0" applyFont="1" applyBorder="1"/>
    <xf numFmtId="0" fontId="26" fillId="0" borderId="10" xfId="0" applyFont="1" applyBorder="1"/>
    <xf numFmtId="0" fontId="23" fillId="0" borderId="0" xfId="0" applyFont="1" applyBorder="1" applyAlignment="1">
      <alignment horizontal="left"/>
    </xf>
    <xf numFmtId="0" fontId="23" fillId="0" borderId="0" xfId="0" applyFont="1" applyBorder="1" applyAlignment="1"/>
    <xf numFmtId="0" fontId="25" fillId="0" borderId="10" xfId="0" applyFont="1" applyBorder="1"/>
    <xf numFmtId="0" fontId="26" fillId="0" borderId="5" xfId="0" applyFont="1" applyBorder="1" applyAlignment="1">
      <alignment horizontal="left"/>
    </xf>
    <xf numFmtId="0" fontId="27" fillId="0" borderId="0" xfId="0" applyFont="1" applyBorder="1"/>
    <xf numFmtId="0" fontId="24" fillId="0" borderId="0" xfId="0" applyFont="1" applyBorder="1"/>
    <xf numFmtId="0" fontId="24" fillId="0" borderId="0" xfId="0" applyFont="1"/>
    <xf numFmtId="0" fontId="23" fillId="0" borderId="0" xfId="0" applyFont="1" applyBorder="1" applyAlignment="1">
      <alignment horizontal="right"/>
    </xf>
    <xf numFmtId="170" fontId="23" fillId="0" borderId="0" xfId="0" applyNumberFormat="1" applyFont="1" applyBorder="1" applyAlignment="1">
      <alignment horizontal="right"/>
    </xf>
    <xf numFmtId="170" fontId="23" fillId="0" borderId="0" xfId="0" applyNumberFormat="1" applyFont="1" applyBorder="1" applyAlignment="1">
      <alignment horizontal="center"/>
    </xf>
    <xf numFmtId="0" fontId="25" fillId="0" borderId="0" xfId="0" applyFont="1" applyAlignment="1" applyProtection="1">
      <alignment horizontal="left"/>
      <protection locked="0"/>
    </xf>
    <xf numFmtId="0" fontId="28" fillId="0" borderId="0" xfId="0" applyFont="1"/>
    <xf numFmtId="0" fontId="24" fillId="0" borderId="11" xfId="0" applyFont="1" applyBorder="1" applyAlignment="1">
      <alignment horizontal="centerContinuous"/>
    </xf>
    <xf numFmtId="0" fontId="24" fillId="0" borderId="12" xfId="0" applyFont="1" applyBorder="1" applyAlignment="1">
      <alignment horizontal="centerContinuous"/>
    </xf>
    <xf numFmtId="0" fontId="24" fillId="0" borderId="10" xfId="0" applyFont="1" applyBorder="1" applyAlignment="1">
      <alignment horizontal="centerContinuous"/>
    </xf>
    <xf numFmtId="0" fontId="24" fillId="0" borderId="9" xfId="0" applyFont="1" applyBorder="1"/>
    <xf numFmtId="0" fontId="24" fillId="0" borderId="10" xfId="0" applyFont="1" applyBorder="1"/>
    <xf numFmtId="0" fontId="25" fillId="0" borderId="0" xfId="0" applyFont="1" applyBorder="1" applyAlignment="1" applyProtection="1">
      <alignment horizontal="center"/>
      <protection locked="0"/>
    </xf>
    <xf numFmtId="0" fontId="24" fillId="0" borderId="9" xfId="0" applyFont="1" applyBorder="1" applyAlignment="1">
      <alignment vertical="top"/>
    </xf>
    <xf numFmtId="0" fontId="24" fillId="0" borderId="7" xfId="0" applyFont="1" applyBorder="1" applyAlignment="1">
      <alignment vertical="top"/>
    </xf>
    <xf numFmtId="0" fontId="27" fillId="0" borderId="2" xfId="0" applyFont="1" applyBorder="1" applyAlignment="1">
      <alignment horizontal="center" vertical="center"/>
    </xf>
    <xf numFmtId="170" fontId="27" fillId="0" borderId="2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170" fontId="23" fillId="0" borderId="0" xfId="0" applyNumberFormat="1" applyFont="1" applyBorder="1" applyAlignment="1">
      <alignment horizontal="left"/>
    </xf>
    <xf numFmtId="0" fontId="27" fillId="0" borderId="2" xfId="0" applyFont="1" applyBorder="1" applyAlignment="1" applyProtection="1">
      <alignment horizontal="center" vertical="center"/>
      <protection locked="0"/>
    </xf>
    <xf numFmtId="170" fontId="27" fillId="0" borderId="2" xfId="0" applyNumberFormat="1" applyFont="1" applyBorder="1" applyAlignment="1" applyProtection="1">
      <alignment horizontal="center" vertical="center"/>
      <protection locked="0"/>
    </xf>
    <xf numFmtId="170" fontId="23" fillId="0" borderId="15" xfId="0" applyNumberFormat="1" applyFont="1" applyBorder="1" applyAlignment="1">
      <alignment horizontal="center"/>
    </xf>
    <xf numFmtId="170" fontId="27" fillId="0" borderId="2" xfId="105" applyNumberFormat="1" applyFont="1" applyBorder="1" applyAlignment="1">
      <alignment horizontal="center" vertical="center"/>
    </xf>
    <xf numFmtId="0" fontId="25" fillId="0" borderId="0" xfId="0" applyFont="1" applyBorder="1" applyAlignment="1" applyProtection="1">
      <alignment horizontal="left"/>
      <protection locked="0"/>
    </xf>
    <xf numFmtId="170" fontId="25" fillId="0" borderId="0" xfId="0" applyNumberFormat="1" applyFont="1" applyAlignment="1" applyProtection="1">
      <alignment horizontal="center"/>
      <protection locked="0"/>
    </xf>
    <xf numFmtId="1" fontId="25" fillId="0" borderId="0" xfId="0" applyNumberFormat="1" applyFont="1" applyAlignment="1" applyProtection="1">
      <alignment horizontal="center"/>
      <protection locked="0"/>
    </xf>
    <xf numFmtId="0" fontId="29" fillId="0" borderId="0" xfId="0" applyFont="1"/>
    <xf numFmtId="0" fontId="23" fillId="0" borderId="0" xfId="0" applyFont="1" applyBorder="1" applyAlignment="1" applyProtection="1">
      <alignment horizontal="center"/>
      <protection locked="0"/>
    </xf>
    <xf numFmtId="170" fontId="23" fillId="0" borderId="0" xfId="0" applyNumberFormat="1" applyFont="1" applyAlignment="1" applyProtection="1">
      <alignment horizontal="center"/>
      <protection locked="0"/>
    </xf>
    <xf numFmtId="0" fontId="29" fillId="0" borderId="0" xfId="0" applyFont="1" applyAlignment="1">
      <alignment horizontal="center"/>
    </xf>
    <xf numFmtId="0" fontId="30" fillId="0" borderId="0" xfId="0" applyFont="1"/>
    <xf numFmtId="0" fontId="23" fillId="0" borderId="0" xfId="0" applyFont="1" applyAlignment="1" applyProtection="1">
      <alignment horizontal="center"/>
      <protection locked="0"/>
    </xf>
    <xf numFmtId="171" fontId="23" fillId="0" borderId="0" xfId="0" applyNumberFormat="1" applyFont="1" applyFill="1" applyBorder="1" applyAlignment="1">
      <alignment horizontal="center" vertical="center"/>
    </xf>
    <xf numFmtId="171" fontId="23" fillId="0" borderId="0" xfId="0" applyNumberFormat="1" applyFont="1" applyBorder="1" applyAlignment="1">
      <alignment horizontal="center" vertical="center"/>
    </xf>
    <xf numFmtId="175" fontId="25" fillId="0" borderId="0" xfId="0" applyNumberFormat="1" applyFont="1" applyAlignment="1" applyProtection="1">
      <alignment horizontal="center"/>
      <protection locked="0"/>
    </xf>
    <xf numFmtId="0" fontId="31" fillId="0" borderId="0" xfId="0" applyFont="1" applyAlignment="1">
      <alignment horizontal="center"/>
    </xf>
    <xf numFmtId="0" fontId="25" fillId="0" borderId="2" xfId="0" applyFont="1" applyBorder="1" applyAlignment="1">
      <alignment horizontal="center" vertical="center" wrapText="1"/>
    </xf>
    <xf numFmtId="170" fontId="23" fillId="0" borderId="2" xfId="0" applyNumberFormat="1" applyFont="1" applyBorder="1" applyAlignment="1">
      <alignment horizontal="center" vertical="center"/>
    </xf>
    <xf numFmtId="1" fontId="23" fillId="0" borderId="2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/>
    </xf>
    <xf numFmtId="175" fontId="25" fillId="0" borderId="0" xfId="0" applyNumberFormat="1" applyFont="1" applyBorder="1" applyAlignment="1" applyProtection="1">
      <alignment horizontal="center"/>
      <protection locked="0"/>
    </xf>
    <xf numFmtId="170" fontId="23" fillId="0" borderId="0" xfId="0" applyNumberFormat="1" applyFont="1" applyAlignment="1">
      <alignment horizontal="center"/>
    </xf>
    <xf numFmtId="0" fontId="23" fillId="0" borderId="7" xfId="0" applyFont="1" applyBorder="1" applyAlignment="1">
      <alignment vertical="center"/>
    </xf>
    <xf numFmtId="2" fontId="23" fillId="0" borderId="2" xfId="0" applyNumberFormat="1" applyFont="1" applyBorder="1" applyAlignment="1">
      <alignment horizontal="center" vertical="center"/>
    </xf>
    <xf numFmtId="171" fontId="23" fillId="0" borderId="2" xfId="0" applyNumberFormat="1" applyFont="1" applyBorder="1" applyAlignment="1">
      <alignment horizontal="center" vertical="center"/>
    </xf>
    <xf numFmtId="170" fontId="24" fillId="0" borderId="2" xfId="0" applyNumberFormat="1" applyFont="1" applyBorder="1" applyAlignment="1">
      <alignment horizontal="center" vertical="center"/>
    </xf>
    <xf numFmtId="1" fontId="24" fillId="0" borderId="2" xfId="0" applyNumberFormat="1" applyFont="1" applyBorder="1" applyAlignment="1">
      <alignment horizontal="center" vertical="center"/>
    </xf>
    <xf numFmtId="2" fontId="24" fillId="0" borderId="2" xfId="0" applyNumberFormat="1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24" fillId="0" borderId="7" xfId="0" applyFont="1" applyBorder="1" applyAlignment="1">
      <alignment vertical="center"/>
    </xf>
    <xf numFmtId="170" fontId="23" fillId="0" borderId="5" xfId="0" applyNumberFormat="1" applyFont="1" applyBorder="1" applyAlignment="1">
      <alignment horizontal="right"/>
    </xf>
    <xf numFmtId="0" fontId="23" fillId="0" borderId="5" xfId="0" applyFont="1" applyBorder="1" applyAlignment="1">
      <alignment horizontal="left"/>
    </xf>
    <xf numFmtId="2" fontId="24" fillId="0" borderId="5" xfId="0" applyNumberFormat="1" applyFont="1" applyBorder="1" applyAlignment="1">
      <alignment horizontal="left"/>
    </xf>
    <xf numFmtId="173" fontId="23" fillId="0" borderId="5" xfId="0" applyNumberFormat="1" applyFont="1" applyBorder="1" applyAlignment="1">
      <alignment horizontal="left"/>
    </xf>
    <xf numFmtId="173" fontId="24" fillId="0" borderId="10" xfId="0" applyNumberFormat="1" applyFont="1" applyBorder="1" applyAlignment="1">
      <alignment horizontal="left"/>
    </xf>
    <xf numFmtId="173" fontId="32" fillId="0" borderId="10" xfId="0" applyNumberFormat="1" applyFont="1" applyBorder="1" applyAlignment="1">
      <alignment horizontal="left"/>
    </xf>
    <xf numFmtId="0" fontId="23" fillId="0" borderId="10" xfId="0" applyNumberFormat="1" applyFont="1" applyBorder="1" applyAlignment="1">
      <alignment horizontal="left"/>
    </xf>
    <xf numFmtId="173" fontId="23" fillId="0" borderId="10" xfId="0" applyNumberFormat="1" applyFont="1" applyBorder="1" applyAlignment="1">
      <alignment horizontal="left"/>
    </xf>
    <xf numFmtId="172" fontId="23" fillId="0" borderId="10" xfId="0" applyNumberFormat="1" applyFont="1" applyBorder="1" applyAlignment="1">
      <alignment horizontal="left"/>
    </xf>
    <xf numFmtId="0" fontId="23" fillId="0" borderId="10" xfId="0" applyFont="1" applyBorder="1" applyAlignment="1">
      <alignment horizontal="left"/>
    </xf>
    <xf numFmtId="175" fontId="23" fillId="0" borderId="10" xfId="0" applyNumberFormat="1" applyFont="1" applyBorder="1" applyAlignment="1">
      <alignment horizontal="left"/>
    </xf>
    <xf numFmtId="173" fontId="24" fillId="0" borderId="0" xfId="0" applyNumberFormat="1" applyFont="1" applyBorder="1" applyAlignment="1">
      <alignment horizontal="left"/>
    </xf>
    <xf numFmtId="0" fontId="23" fillId="0" borderId="0" xfId="0" applyNumberFormat="1" applyFont="1" applyBorder="1" applyAlignment="1">
      <alignment horizontal="left"/>
    </xf>
    <xf numFmtId="173" fontId="23" fillId="0" borderId="0" xfId="0" applyNumberFormat="1" applyFont="1" applyBorder="1" applyAlignment="1">
      <alignment horizontal="left"/>
    </xf>
    <xf numFmtId="172" fontId="23" fillId="0" borderId="0" xfId="0" applyNumberFormat="1" applyFont="1" applyBorder="1" applyAlignment="1">
      <alignment horizontal="left"/>
    </xf>
    <xf numFmtId="0" fontId="24" fillId="0" borderId="22" xfId="0" applyFont="1" applyBorder="1" applyAlignment="1">
      <alignment horizontal="left"/>
    </xf>
    <xf numFmtId="0" fontId="23" fillId="0" borderId="22" xfId="0" applyFont="1" applyBorder="1"/>
    <xf numFmtId="0" fontId="25" fillId="0" borderId="0" xfId="0" applyFont="1" applyBorder="1"/>
    <xf numFmtId="0" fontId="25" fillId="0" borderId="0" xfId="0" applyFont="1"/>
    <xf numFmtId="0" fontId="25" fillId="0" borderId="0" xfId="0" applyFont="1" applyAlignment="1"/>
    <xf numFmtId="0" fontId="25" fillId="0" borderId="0" xfId="0" applyFont="1" applyAlignment="1">
      <alignment horizontal="centerContinuous"/>
    </xf>
    <xf numFmtId="0" fontId="25" fillId="0" borderId="0" xfId="0" applyFont="1" applyAlignment="1">
      <alignment horizontal="left"/>
    </xf>
    <xf numFmtId="170" fontId="34" fillId="0" borderId="0" xfId="0" applyNumberFormat="1" applyFont="1" applyAlignment="1" applyProtection="1">
      <alignment horizontal="center"/>
      <protection locked="0"/>
    </xf>
    <xf numFmtId="0" fontId="24" fillId="0" borderId="9" xfId="0" applyFont="1" applyBorder="1" applyAlignment="1">
      <alignment horizontal="center"/>
    </xf>
    <xf numFmtId="175" fontId="23" fillId="0" borderId="2" xfId="0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 wrapText="1"/>
    </xf>
    <xf numFmtId="175" fontId="24" fillId="0" borderId="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31" fillId="0" borderId="5" xfId="0" applyFont="1" applyBorder="1"/>
    <xf numFmtId="20" fontId="31" fillId="0" borderId="5" xfId="0" applyNumberFormat="1" applyFont="1" applyBorder="1"/>
    <xf numFmtId="0" fontId="31" fillId="0" borderId="5" xfId="0" applyFont="1" applyBorder="1" applyAlignment="1">
      <alignment horizontal="right"/>
    </xf>
    <xf numFmtId="170" fontId="31" fillId="0" borderId="5" xfId="0" applyNumberFormat="1" applyFont="1" applyBorder="1" applyAlignment="1">
      <alignment horizontal="center"/>
    </xf>
    <xf numFmtId="175" fontId="23" fillId="0" borderId="9" xfId="0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175" fontId="24" fillId="0" borderId="9" xfId="0" applyNumberFormat="1" applyFont="1" applyBorder="1" applyAlignment="1">
      <alignment horizontal="center" vertical="center"/>
    </xf>
    <xf numFmtId="170" fontId="24" fillId="0" borderId="0" xfId="0" applyNumberFormat="1" applyFont="1" applyBorder="1" applyAlignment="1">
      <alignment horizontal="center"/>
    </xf>
    <xf numFmtId="170" fontId="23" fillId="0" borderId="0" xfId="0" applyNumberFormat="1" applyFont="1" applyBorder="1" applyAlignment="1">
      <alignment horizontal="center" vertical="center"/>
    </xf>
    <xf numFmtId="192" fontId="25" fillId="0" borderId="0" xfId="0" applyNumberFormat="1" applyFont="1" applyAlignment="1" applyProtection="1">
      <alignment horizontal="center"/>
      <protection locked="0"/>
    </xf>
    <xf numFmtId="15" fontId="26" fillId="0" borderId="10" xfId="0" applyNumberFormat="1" applyFont="1" applyBorder="1" applyAlignment="1"/>
    <xf numFmtId="0" fontId="5" fillId="0" borderId="0" xfId="78"/>
    <xf numFmtId="0" fontId="5" fillId="0" borderId="7" xfId="78" applyBorder="1"/>
    <xf numFmtId="0" fontId="5" fillId="0" borderId="10" xfId="78" applyBorder="1"/>
    <xf numFmtId="0" fontId="5" fillId="0" borderId="0" xfId="78" applyFont="1" applyBorder="1" applyAlignment="1">
      <alignment horizontal="center"/>
    </xf>
    <xf numFmtId="12" fontId="5" fillId="0" borderId="11" xfId="78" applyNumberFormat="1" applyBorder="1" applyAlignment="1">
      <alignment horizontal="center"/>
    </xf>
    <xf numFmtId="2" fontId="5" fillId="0" borderId="12" xfId="103" applyNumberFormat="1" applyFont="1" applyBorder="1" applyAlignment="1">
      <alignment horizontal="center"/>
    </xf>
    <xf numFmtId="2" fontId="7" fillId="0" borderId="12" xfId="78" applyNumberFormat="1" applyFont="1" applyBorder="1"/>
    <xf numFmtId="170" fontId="7" fillId="0" borderId="12" xfId="103" applyNumberFormat="1" applyFont="1" applyBorder="1" applyAlignment="1" applyProtection="1">
      <alignment horizontal="center" vertical="center"/>
      <protection locked="0"/>
    </xf>
    <xf numFmtId="0" fontId="7" fillId="0" borderId="12" xfId="103" applyFont="1" applyBorder="1"/>
    <xf numFmtId="2" fontId="5" fillId="0" borderId="12" xfId="78" applyNumberFormat="1" applyBorder="1"/>
    <xf numFmtId="0" fontId="5" fillId="0" borderId="30" xfId="78" applyBorder="1"/>
    <xf numFmtId="12" fontId="5" fillId="0" borderId="27" xfId="78" applyNumberFormat="1" applyBorder="1" applyAlignment="1">
      <alignment horizontal="center"/>
    </xf>
    <xf numFmtId="12" fontId="10" fillId="0" borderId="5" xfId="103" applyNumberFormat="1" applyFont="1" applyBorder="1" applyAlignment="1">
      <alignment horizontal="center"/>
    </xf>
    <xf numFmtId="2" fontId="7" fillId="0" borderId="5" xfId="78" applyNumberFormat="1" applyFont="1" applyBorder="1"/>
    <xf numFmtId="170" fontId="7" fillId="0" borderId="5" xfId="103" applyNumberFormat="1" applyFont="1" applyBorder="1" applyAlignment="1" applyProtection="1">
      <alignment horizontal="center" vertical="center"/>
      <protection locked="0"/>
    </xf>
    <xf numFmtId="0" fontId="7" fillId="0" borderId="5" xfId="103" applyFont="1" applyBorder="1"/>
    <xf numFmtId="170" fontId="7" fillId="0" borderId="29" xfId="78" applyNumberFormat="1" applyFont="1" applyBorder="1"/>
    <xf numFmtId="0" fontId="5" fillId="0" borderId="0" xfId="78" applyAlignment="1">
      <alignment horizontal="center"/>
    </xf>
    <xf numFmtId="0" fontId="5" fillId="0" borderId="12" xfId="78" applyBorder="1"/>
    <xf numFmtId="0" fontId="38" fillId="0" borderId="27" xfId="78" applyFont="1" applyBorder="1" applyAlignment="1"/>
    <xf numFmtId="0" fontId="38" fillId="0" borderId="0" xfId="78" applyFont="1" applyBorder="1" applyAlignment="1"/>
    <xf numFmtId="0" fontId="5" fillId="0" borderId="0" xfId="78" applyBorder="1" applyAlignment="1"/>
    <xf numFmtId="0" fontId="38" fillId="0" borderId="0" xfId="78" applyFont="1" applyBorder="1" applyAlignment="1">
      <alignment horizontal="center" vertical="center"/>
    </xf>
    <xf numFmtId="0" fontId="5" fillId="0" borderId="0" xfId="78" applyBorder="1" applyAlignment="1">
      <alignment horizontal="center" vertical="center"/>
    </xf>
    <xf numFmtId="0" fontId="5" fillId="0" borderId="0" xfId="78" applyBorder="1"/>
    <xf numFmtId="0" fontId="38" fillId="0" borderId="0" xfId="78" applyFont="1" applyBorder="1" applyAlignment="1">
      <alignment horizontal="center"/>
    </xf>
    <xf numFmtId="0" fontId="5" fillId="0" borderId="28" xfId="78" applyBorder="1"/>
    <xf numFmtId="0" fontId="5" fillId="0" borderId="6" xfId="78" applyBorder="1"/>
    <xf numFmtId="170" fontId="5" fillId="0" borderId="23" xfId="78" applyNumberFormat="1" applyBorder="1"/>
    <xf numFmtId="170" fontId="5" fillId="0" borderId="0" xfId="78" applyNumberFormat="1" applyBorder="1"/>
    <xf numFmtId="170" fontId="5" fillId="0" borderId="24" xfId="78" applyNumberFormat="1" applyBorder="1"/>
    <xf numFmtId="0" fontId="5" fillId="0" borderId="32" xfId="78" applyFont="1" applyBorder="1"/>
    <xf numFmtId="175" fontId="5" fillId="0" borderId="24" xfId="78" applyNumberFormat="1" applyBorder="1"/>
    <xf numFmtId="0" fontId="5" fillId="0" borderId="24" xfId="78" applyBorder="1"/>
    <xf numFmtId="0" fontId="6" fillId="0" borderId="33" xfId="78" applyFont="1" applyBorder="1"/>
    <xf numFmtId="0" fontId="5" fillId="0" borderId="34" xfId="78" applyBorder="1"/>
    <xf numFmtId="0" fontId="5" fillId="0" borderId="8" xfId="78" applyBorder="1"/>
    <xf numFmtId="2" fontId="6" fillId="0" borderId="25" xfId="78" applyNumberFormat="1" applyFont="1" applyBorder="1"/>
    <xf numFmtId="0" fontId="5" fillId="0" borderId="0" xfId="73" applyFont="1" applyBorder="1"/>
    <xf numFmtId="0" fontId="5" fillId="0" borderId="0" xfId="73" applyBorder="1"/>
    <xf numFmtId="0" fontId="5" fillId="0" borderId="0" xfId="73"/>
    <xf numFmtId="2" fontId="5" fillId="0" borderId="0" xfId="73" applyNumberFormat="1" applyBorder="1"/>
    <xf numFmtId="2" fontId="22" fillId="2" borderId="2" xfId="0" applyNumberFormat="1" applyFont="1" applyFill="1" applyBorder="1" applyAlignment="1">
      <alignment horizontal="center"/>
    </xf>
    <xf numFmtId="0" fontId="22" fillId="0" borderId="2" xfId="0" applyFont="1" applyBorder="1"/>
    <xf numFmtId="2" fontId="0" fillId="0" borderId="2" xfId="0" applyNumberFormat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0" fontId="5" fillId="0" borderId="0" xfId="73" applyBorder="1" applyAlignment="1">
      <alignment horizontal="right"/>
    </xf>
    <xf numFmtId="0" fontId="5" fillId="0" borderId="0" xfId="73" applyAlignment="1">
      <alignment horizontal="right"/>
    </xf>
    <xf numFmtId="0" fontId="0" fillId="0" borderId="0" xfId="0" applyFont="1" applyFill="1" applyBorder="1"/>
    <xf numFmtId="0" fontId="0" fillId="0" borderId="0" xfId="0" applyBorder="1" applyAlignment="1">
      <alignment horizontal="center"/>
    </xf>
    <xf numFmtId="0" fontId="5" fillId="0" borderId="0" xfId="73" applyBorder="1" applyAlignment="1"/>
    <xf numFmtId="17" fontId="5" fillId="0" borderId="0" xfId="73" applyNumberFormat="1"/>
    <xf numFmtId="0" fontId="5" fillId="0" borderId="2" xfId="73" applyBorder="1"/>
    <xf numFmtId="0" fontId="5" fillId="0" borderId="0" xfId="73" applyBorder="1" applyAlignment="1">
      <alignment horizontal="center" vertical="center"/>
    </xf>
    <xf numFmtId="170" fontId="5" fillId="0" borderId="9" xfId="73" applyNumberFormat="1" applyBorder="1" applyAlignment="1"/>
    <xf numFmtId="2" fontId="5" fillId="0" borderId="9" xfId="73" applyNumberFormat="1" applyBorder="1" applyAlignment="1"/>
    <xf numFmtId="2" fontId="5" fillId="0" borderId="2" xfId="73" applyNumberFormat="1" applyBorder="1" applyAlignment="1"/>
    <xf numFmtId="0" fontId="5" fillId="0" borderId="9" xfId="73" applyBorder="1"/>
    <xf numFmtId="2" fontId="5" fillId="0" borderId="9" xfId="73" applyNumberFormat="1" applyBorder="1"/>
    <xf numFmtId="2" fontId="5" fillId="0" borderId="7" xfId="73" applyNumberFormat="1" applyBorder="1"/>
    <xf numFmtId="0" fontId="22" fillId="2" borderId="0" xfId="0" applyFont="1" applyFill="1" applyBorder="1" applyAlignment="1">
      <alignment horizontal="center"/>
    </xf>
    <xf numFmtId="0" fontId="5" fillId="0" borderId="0" xfId="73" applyBorder="1" applyAlignment="1">
      <alignment horizontal="left"/>
    </xf>
    <xf numFmtId="0" fontId="0" fillId="0" borderId="0" xfId="0" applyFont="1" applyAlignment="1">
      <alignment vertical="center"/>
    </xf>
    <xf numFmtId="2" fontId="5" fillId="0" borderId="0" xfId="73" applyNumberFormat="1"/>
    <xf numFmtId="0" fontId="20" fillId="0" borderId="35" xfId="78" applyFont="1" applyBorder="1" applyAlignment="1">
      <alignment horizontal="left"/>
    </xf>
    <xf numFmtId="0" fontId="20" fillId="0" borderId="32" xfId="78" applyFont="1" applyBorder="1" applyAlignment="1">
      <alignment horizontal="left"/>
    </xf>
    <xf numFmtId="170" fontId="5" fillId="0" borderId="2" xfId="73" applyNumberFormat="1" applyBorder="1"/>
    <xf numFmtId="0" fontId="22" fillId="2" borderId="9" xfId="0" applyFont="1" applyFill="1" applyBorder="1" applyAlignment="1"/>
    <xf numFmtId="0" fontId="22" fillId="2" borderId="10" xfId="0" applyFont="1" applyFill="1" applyBorder="1" applyAlignment="1"/>
    <xf numFmtId="0" fontId="22" fillId="2" borderId="7" xfId="0" applyFont="1" applyFill="1" applyBorder="1" applyAlignment="1"/>
    <xf numFmtId="0" fontId="22" fillId="2" borderId="2" xfId="0" applyFont="1" applyFill="1" applyBorder="1" applyAlignment="1"/>
    <xf numFmtId="0" fontId="24" fillId="0" borderId="9" xfId="0" applyFont="1" applyBorder="1" applyAlignment="1">
      <alignment horizontal="center"/>
    </xf>
    <xf numFmtId="175" fontId="23" fillId="0" borderId="9" xfId="0" applyNumberFormat="1" applyFont="1" applyBorder="1" applyAlignment="1">
      <alignment horizontal="center" vertical="center"/>
    </xf>
    <xf numFmtId="175" fontId="23" fillId="0" borderId="2" xfId="0" applyNumberFormat="1" applyFont="1" applyBorder="1" applyAlignment="1">
      <alignment horizontal="center" vertical="center"/>
    </xf>
    <xf numFmtId="0" fontId="23" fillId="0" borderId="5" xfId="0" applyNumberFormat="1" applyFont="1" applyBorder="1" applyAlignment="1">
      <alignment horizontal="center"/>
    </xf>
    <xf numFmtId="1" fontId="23" fillId="0" borderId="5" xfId="0" applyNumberFormat="1" applyFont="1" applyBorder="1" applyAlignment="1">
      <alignment horizontal="left"/>
    </xf>
    <xf numFmtId="175" fontId="23" fillId="0" borderId="5" xfId="0" applyNumberFormat="1" applyFont="1" applyBorder="1" applyAlignment="1">
      <alignment horizontal="left"/>
    </xf>
    <xf numFmtId="175" fontId="23" fillId="0" borderId="2" xfId="0" applyNumberFormat="1" applyFont="1" applyBorder="1" applyAlignment="1">
      <alignment horizontal="center" vertical="center"/>
    </xf>
    <xf numFmtId="190" fontId="23" fillId="0" borderId="0" xfId="0" applyNumberFormat="1" applyFont="1" applyBorder="1" applyAlignment="1"/>
    <xf numFmtId="0" fontId="36" fillId="0" borderId="0" xfId="76" applyFont="1" applyBorder="1"/>
    <xf numFmtId="190" fontId="37" fillId="0" borderId="0" xfId="0" applyNumberFormat="1" applyFont="1" applyBorder="1" applyAlignment="1"/>
    <xf numFmtId="0" fontId="24" fillId="0" borderId="10" xfId="0" applyFont="1" applyBorder="1" applyAlignment="1">
      <alignment horizontal="left"/>
    </xf>
    <xf numFmtId="175" fontId="24" fillId="0" borderId="2" xfId="0" applyNumberFormat="1" applyFont="1" applyBorder="1" applyAlignment="1">
      <alignment horizontal="center" vertical="center"/>
    </xf>
    <xf numFmtId="170" fontId="23" fillId="0" borderId="17" xfId="0" applyNumberFormat="1" applyFont="1" applyFill="1" applyBorder="1" applyAlignment="1">
      <alignment horizontal="center" vertical="center"/>
    </xf>
    <xf numFmtId="170" fontId="23" fillId="0" borderId="18" xfId="0" applyNumberFormat="1" applyFont="1" applyFill="1" applyBorder="1" applyAlignment="1">
      <alignment horizontal="center" vertical="center"/>
    </xf>
    <xf numFmtId="170" fontId="23" fillId="0" borderId="19" xfId="0" applyNumberFormat="1" applyFont="1" applyFill="1" applyBorder="1" applyAlignment="1">
      <alignment horizontal="center" vertical="center"/>
    </xf>
    <xf numFmtId="170" fontId="23" fillId="0" borderId="20" xfId="0" applyNumberFormat="1" applyFont="1" applyFill="1" applyBorder="1" applyAlignment="1">
      <alignment horizontal="center" vertical="center"/>
    </xf>
    <xf numFmtId="170" fontId="23" fillId="0" borderId="20" xfId="0" applyNumberFormat="1" applyFont="1" applyBorder="1" applyAlignment="1">
      <alignment horizontal="center" vertical="center"/>
    </xf>
    <xf numFmtId="175" fontId="24" fillId="0" borderId="2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3" fillId="0" borderId="5" xfId="104" applyFont="1" applyBorder="1"/>
    <xf numFmtId="0" fontId="24" fillId="0" borderId="0" xfId="0" applyFont="1" applyBorder="1" applyAlignment="1">
      <alignment horizontal="center" vertical="center"/>
    </xf>
    <xf numFmtId="0" fontId="24" fillId="0" borderId="0" xfId="0" applyFont="1" applyBorder="1" applyAlignment="1"/>
    <xf numFmtId="0" fontId="24" fillId="0" borderId="0" xfId="0" applyFont="1" applyBorder="1" applyAlignment="1">
      <alignment vertical="center"/>
    </xf>
    <xf numFmtId="170" fontId="24" fillId="0" borderId="0" xfId="0" applyNumberFormat="1" applyFont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 wrapText="1"/>
    </xf>
    <xf numFmtId="14" fontId="23" fillId="0" borderId="0" xfId="0" applyNumberFormat="1" applyFont="1" applyBorder="1" applyAlignment="1">
      <alignment horizontal="center" vertical="center" wrapText="1"/>
    </xf>
    <xf numFmtId="15" fontId="26" fillId="0" borderId="0" xfId="0" applyNumberFormat="1" applyFont="1" applyBorder="1" applyAlignment="1"/>
    <xf numFmtId="0" fontId="24" fillId="0" borderId="36" xfId="0" applyFont="1" applyBorder="1" applyAlignment="1">
      <alignment horizontal="center"/>
    </xf>
    <xf numFmtId="0" fontId="25" fillId="0" borderId="0" xfId="0" applyFont="1" applyBorder="1" applyAlignment="1">
      <alignment horizontal="center" vertical="center" wrapText="1"/>
    </xf>
    <xf numFmtId="193" fontId="23" fillId="0" borderId="0" xfId="0" applyNumberFormat="1" applyFont="1" applyBorder="1" applyAlignment="1">
      <alignment horizontal="center"/>
    </xf>
    <xf numFmtId="0" fontId="24" fillId="0" borderId="2" xfId="0" applyFont="1" applyBorder="1" applyAlignment="1">
      <alignment horizontal="center" vertical="center"/>
    </xf>
    <xf numFmtId="15" fontId="26" fillId="0" borderId="10" xfId="0" applyNumberFormat="1" applyFont="1" applyBorder="1" applyAlignment="1">
      <alignment horizontal="center" vertical="center"/>
    </xf>
    <xf numFmtId="190" fontId="39" fillId="0" borderId="10" xfId="0" applyNumberFormat="1" applyFont="1" applyBorder="1" applyAlignment="1" applyProtection="1">
      <alignment horizontal="center" vertical="center"/>
      <protection locked="0"/>
    </xf>
    <xf numFmtId="15" fontId="26" fillId="0" borderId="5" xfId="0" applyNumberFormat="1" applyFont="1" applyBorder="1" applyAlignment="1"/>
    <xf numFmtId="0" fontId="27" fillId="0" borderId="5" xfId="0" applyFont="1" applyBorder="1"/>
    <xf numFmtId="191" fontId="23" fillId="0" borderId="10" xfId="0" applyNumberFormat="1" applyFont="1" applyBorder="1" applyAlignment="1">
      <alignment horizontal="left"/>
    </xf>
    <xf numFmtId="191" fontId="33" fillId="0" borderId="10" xfId="0" applyNumberFormat="1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0" fillId="0" borderId="32" xfId="78" applyFont="1" applyBorder="1"/>
    <xf numFmtId="0" fontId="0" fillId="0" borderId="0" xfId="73" applyFont="1" applyBorder="1"/>
    <xf numFmtId="0" fontId="0" fillId="0" borderId="0" xfId="73" applyFont="1" applyBorder="1" applyAlignment="1">
      <alignment horizontal="left"/>
    </xf>
    <xf numFmtId="16" fontId="24" fillId="0" borderId="2" xfId="0" applyNumberFormat="1" applyFont="1" applyBorder="1" applyAlignment="1">
      <alignment horizontal="center" vertical="center"/>
    </xf>
    <xf numFmtId="0" fontId="23" fillId="0" borderId="2" xfId="105" applyFont="1" applyBorder="1" applyAlignment="1">
      <alignment horizontal="center" vertical="center"/>
    </xf>
    <xf numFmtId="0" fontId="25" fillId="0" borderId="2" xfId="0" applyFont="1" applyBorder="1" applyAlignment="1" applyProtection="1">
      <alignment horizontal="center" vertical="center"/>
      <protection locked="0"/>
    </xf>
    <xf numFmtId="0" fontId="23" fillId="0" borderId="29" xfId="0" applyFont="1" applyBorder="1" applyAlignment="1">
      <alignment vertical="center"/>
    </xf>
    <xf numFmtId="170" fontId="23" fillId="0" borderId="13" xfId="0" applyNumberFormat="1" applyFont="1" applyBorder="1" applyAlignment="1">
      <alignment horizontal="center" vertical="center"/>
    </xf>
    <xf numFmtId="170" fontId="23" fillId="0" borderId="14" xfId="0" applyNumberFormat="1" applyFont="1" applyBorder="1" applyAlignment="1">
      <alignment horizontal="center" vertical="center"/>
    </xf>
    <xf numFmtId="170" fontId="23" fillId="0" borderId="16" xfId="0" applyNumberFormat="1" applyFont="1" applyBorder="1" applyAlignment="1">
      <alignment horizontal="center" vertical="center"/>
    </xf>
    <xf numFmtId="170" fontId="24" fillId="0" borderId="14" xfId="0" applyNumberFormat="1" applyFont="1" applyBorder="1" applyAlignment="1">
      <alignment horizontal="center" vertical="center"/>
    </xf>
    <xf numFmtId="170" fontId="24" fillId="0" borderId="15" xfId="0" applyNumberFormat="1" applyFont="1" applyBorder="1" applyAlignment="1">
      <alignment horizontal="center" vertical="center"/>
    </xf>
    <xf numFmtId="0" fontId="23" fillId="0" borderId="16" xfId="0" applyFont="1" applyBorder="1" applyAlignment="1">
      <alignment vertical="center"/>
    </xf>
    <xf numFmtId="0" fontId="23" fillId="0" borderId="21" xfId="0" applyFont="1" applyBorder="1" applyAlignment="1">
      <alignment vertical="center"/>
    </xf>
    <xf numFmtId="0" fontId="23" fillId="0" borderId="0" xfId="0" applyFont="1" applyProtection="1"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23" fillId="0" borderId="0" xfId="0" applyFont="1" applyProtection="1"/>
    <xf numFmtId="0" fontId="23" fillId="0" borderId="0" xfId="0" applyFont="1" applyBorder="1" applyProtection="1"/>
    <xf numFmtId="0" fontId="23" fillId="0" borderId="0" xfId="0" applyFont="1" applyBorder="1" applyAlignment="1" applyProtection="1">
      <alignment horizontal="center" vertical="center"/>
    </xf>
    <xf numFmtId="0" fontId="23" fillId="0" borderId="0" xfId="0" applyFont="1" applyAlignment="1" applyProtection="1">
      <alignment horizontal="center" vertical="center"/>
    </xf>
    <xf numFmtId="0" fontId="27" fillId="4" borderId="2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23" fillId="0" borderId="9" xfId="0" applyFont="1" applyBorder="1" applyAlignment="1" applyProtection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0" fillId="0" borderId="0" xfId="0" applyBorder="1"/>
    <xf numFmtId="0" fontId="31" fillId="0" borderId="9" xfId="0" applyFont="1" applyBorder="1" applyAlignment="1" applyProtection="1">
      <alignment horizontal="center" vertical="center"/>
    </xf>
    <xf numFmtId="0" fontId="56" fillId="4" borderId="2" xfId="0" quotePrefix="1" applyFont="1" applyFill="1" applyBorder="1" applyAlignment="1" applyProtection="1">
      <alignment horizontal="center" vertical="center" wrapText="1"/>
    </xf>
    <xf numFmtId="0" fontId="27" fillId="4" borderId="0" xfId="0" quotePrefix="1" applyFont="1" applyFill="1" applyBorder="1" applyAlignment="1" applyProtection="1">
      <alignment horizontal="center" vertical="center" wrapText="1"/>
    </xf>
    <xf numFmtId="0" fontId="23" fillId="0" borderId="9" xfId="0" applyNumberFormat="1" applyFont="1" applyBorder="1" applyAlignment="1" applyProtection="1">
      <alignment horizontal="center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5" fillId="0" borderId="0" xfId="78" applyProtection="1"/>
    <xf numFmtId="0" fontId="49" fillId="4" borderId="10" xfId="89" applyFont="1" applyFill="1" applyBorder="1" applyAlignment="1" applyProtection="1">
      <alignment horizontal="left" vertical="center" wrapText="1"/>
    </xf>
    <xf numFmtId="0" fontId="7" fillId="4" borderId="12" xfId="78" applyFont="1" applyFill="1" applyBorder="1" applyAlignment="1" applyProtection="1">
      <alignment vertical="center"/>
    </xf>
    <xf numFmtId="0" fontId="5" fillId="0" borderId="0" xfId="78" applyFill="1" applyProtection="1"/>
    <xf numFmtId="0" fontId="43" fillId="0" borderId="0" xfId="78" applyFont="1" applyFill="1" applyProtection="1"/>
    <xf numFmtId="0" fontId="43" fillId="0" borderId="0" xfId="78" applyFont="1" applyProtection="1"/>
    <xf numFmtId="194" fontId="7" fillId="4" borderId="5" xfId="78" applyNumberFormat="1" applyFont="1" applyFill="1" applyBorder="1" applyAlignment="1" applyProtection="1">
      <alignment horizontal="left" vertical="center"/>
      <protection locked="0"/>
    </xf>
    <xf numFmtId="194" fontId="7" fillId="4" borderId="29" xfId="78" applyNumberFormat="1" applyFont="1" applyFill="1" applyBorder="1" applyAlignment="1" applyProtection="1">
      <alignment horizontal="left" vertical="center"/>
      <protection locked="0"/>
    </xf>
    <xf numFmtId="0" fontId="5" fillId="0" borderId="0" xfId="193" applyProtection="1"/>
    <xf numFmtId="0" fontId="48" fillId="4" borderId="49" xfId="193" applyFont="1" applyFill="1" applyBorder="1" applyAlignment="1" applyProtection="1">
      <alignment horizontal="left"/>
    </xf>
    <xf numFmtId="0" fontId="48" fillId="4" borderId="50" xfId="193" applyFont="1" applyFill="1" applyBorder="1" applyAlignment="1" applyProtection="1">
      <alignment horizontal="left"/>
    </xf>
    <xf numFmtId="0" fontId="48" fillId="4" borderId="51" xfId="193" applyFont="1" applyFill="1" applyBorder="1" applyAlignment="1" applyProtection="1">
      <alignment horizontal="left"/>
    </xf>
    <xf numFmtId="0" fontId="48" fillId="4" borderId="57" xfId="193" applyFont="1" applyFill="1" applyBorder="1" applyAlignment="1" applyProtection="1">
      <alignment horizontal="left"/>
    </xf>
    <xf numFmtId="0" fontId="48" fillId="4" borderId="58" xfId="193" applyFont="1" applyFill="1" applyBorder="1" applyAlignment="1" applyProtection="1">
      <alignment horizontal="left"/>
    </xf>
    <xf numFmtId="0" fontId="48" fillId="4" borderId="59" xfId="193" applyFont="1" applyFill="1" applyBorder="1" applyAlignment="1" applyProtection="1">
      <alignment horizontal="left"/>
    </xf>
    <xf numFmtId="2" fontId="43" fillId="0" borderId="12" xfId="193" applyNumberFormat="1" applyFont="1" applyBorder="1" applyProtection="1">
      <protection locked="0"/>
    </xf>
    <xf numFmtId="2" fontId="43" fillId="0" borderId="30" xfId="193" applyNumberFormat="1" applyFont="1" applyBorder="1" applyProtection="1">
      <protection locked="0"/>
    </xf>
    <xf numFmtId="2" fontId="43" fillId="0" borderId="11" xfId="193" applyNumberFormat="1" applyFont="1" applyBorder="1" applyProtection="1">
      <protection locked="0"/>
    </xf>
    <xf numFmtId="2" fontId="43" fillId="0" borderId="5" xfId="193" applyNumberFormat="1" applyFont="1" applyBorder="1" applyProtection="1">
      <protection locked="0"/>
    </xf>
    <xf numFmtId="2" fontId="43" fillId="0" borderId="29" xfId="193" applyNumberFormat="1" applyFont="1" applyBorder="1" applyProtection="1">
      <protection locked="0"/>
    </xf>
    <xf numFmtId="2" fontId="43" fillId="0" borderId="27" xfId="193" applyNumberFormat="1" applyFont="1" applyBorder="1" applyProtection="1">
      <protection locked="0"/>
    </xf>
    <xf numFmtId="0" fontId="5" fillId="0" borderId="26" xfId="193" applyBorder="1" applyAlignment="1" applyProtection="1"/>
    <xf numFmtId="0" fontId="5" fillId="0" borderId="0" xfId="193" applyBorder="1" applyAlignment="1" applyProtection="1"/>
    <xf numFmtId="0" fontId="48" fillId="4" borderId="49" xfId="193" applyFont="1" applyFill="1" applyBorder="1" applyProtection="1"/>
    <xf numFmtId="0" fontId="48" fillId="4" borderId="50" xfId="193" applyFont="1" applyFill="1" applyBorder="1" applyProtection="1"/>
    <xf numFmtId="0" fontId="48" fillId="4" borderId="51" xfId="193" applyFont="1" applyFill="1" applyBorder="1" applyAlignment="1" applyProtection="1">
      <alignment horizontal="center"/>
    </xf>
    <xf numFmtId="2" fontId="43" fillId="0" borderId="26" xfId="193" applyNumberFormat="1" applyFont="1" applyBorder="1" applyProtection="1"/>
    <xf numFmtId="2" fontId="43" fillId="0" borderId="0" xfId="193" applyNumberFormat="1" applyFont="1" applyBorder="1" applyProtection="1"/>
    <xf numFmtId="0" fontId="48" fillId="4" borderId="57" xfId="193" applyFont="1" applyFill="1" applyBorder="1" applyProtection="1"/>
    <xf numFmtId="0" fontId="48" fillId="4" borderId="58" xfId="193" applyFont="1" applyFill="1" applyBorder="1" applyProtection="1"/>
    <xf numFmtId="0" fontId="48" fillId="4" borderId="59" xfId="193" applyFont="1" applyFill="1" applyBorder="1" applyAlignment="1" applyProtection="1">
      <alignment horizontal="center"/>
    </xf>
    <xf numFmtId="0" fontId="50" fillId="4" borderId="59" xfId="193" applyFont="1" applyFill="1" applyBorder="1" applyAlignment="1" applyProtection="1">
      <alignment horizontal="center"/>
    </xf>
    <xf numFmtId="0" fontId="50" fillId="4" borderId="58" xfId="193" applyFont="1" applyFill="1" applyBorder="1" applyProtection="1"/>
    <xf numFmtId="0" fontId="48" fillId="4" borderId="59" xfId="193" applyFont="1" applyFill="1" applyBorder="1" applyProtection="1"/>
    <xf numFmtId="0" fontId="7" fillId="4" borderId="57" xfId="193" applyFont="1" applyFill="1" applyBorder="1" applyProtection="1"/>
    <xf numFmtId="0" fontId="8" fillId="4" borderId="58" xfId="193" applyFont="1" applyFill="1" applyBorder="1" applyProtection="1"/>
    <xf numFmtId="0" fontId="7" fillId="4" borderId="58" xfId="193" applyFont="1" applyFill="1" applyBorder="1" applyProtection="1"/>
    <xf numFmtId="0" fontId="7" fillId="4" borderId="59" xfId="193" applyFont="1" applyFill="1" applyBorder="1" applyProtection="1"/>
    <xf numFmtId="0" fontId="7" fillId="4" borderId="57" xfId="193" applyFont="1" applyFill="1" applyBorder="1" applyAlignment="1" applyProtection="1">
      <alignment horizontal="left"/>
    </xf>
    <xf numFmtId="0" fontId="8" fillId="4" borderId="58" xfId="193" applyFont="1" applyFill="1" applyBorder="1" applyAlignment="1" applyProtection="1">
      <alignment horizontal="justify"/>
    </xf>
    <xf numFmtId="0" fontId="7" fillId="4" borderId="58" xfId="193" applyFont="1" applyFill="1" applyBorder="1" applyAlignment="1" applyProtection="1">
      <alignment horizontal="justify"/>
    </xf>
    <xf numFmtId="0" fontId="7" fillId="4" borderId="80" xfId="193" applyFont="1" applyFill="1" applyBorder="1" applyProtection="1"/>
    <xf numFmtId="0" fontId="7" fillId="4" borderId="49" xfId="193" applyFont="1" applyFill="1" applyBorder="1" applyProtection="1"/>
    <xf numFmtId="0" fontId="7" fillId="4" borderId="50" xfId="193" applyFont="1" applyFill="1" applyBorder="1" applyProtection="1"/>
    <xf numFmtId="0" fontId="7" fillId="4" borderId="59" xfId="193" applyFont="1" applyFill="1" applyBorder="1" applyAlignment="1" applyProtection="1">
      <alignment horizontal="center"/>
    </xf>
    <xf numFmtId="0" fontId="7" fillId="4" borderId="70" xfId="193" applyFont="1" applyFill="1" applyBorder="1" applyProtection="1"/>
    <xf numFmtId="0" fontId="7" fillId="4" borderId="71" xfId="193" applyFont="1" applyFill="1" applyBorder="1" applyProtection="1"/>
    <xf numFmtId="0" fontId="7" fillId="4" borderId="89" xfId="193" applyFont="1" applyFill="1" applyBorder="1" applyAlignment="1" applyProtection="1">
      <alignment horizontal="center"/>
    </xf>
    <xf numFmtId="0" fontId="5" fillId="0" borderId="0" xfId="78" applyFill="1" applyAlignment="1" applyProtection="1">
      <alignment vertical="center"/>
    </xf>
    <xf numFmtId="0" fontId="5" fillId="0" borderId="0" xfId="78" applyAlignment="1" applyProtection="1">
      <alignment vertical="center"/>
    </xf>
    <xf numFmtId="0" fontId="43" fillId="3" borderId="11" xfId="150" applyFont="1" applyFill="1" applyBorder="1" applyAlignment="1" applyProtection="1">
      <alignment vertical="center"/>
    </xf>
    <xf numFmtId="0" fontId="43" fillId="3" borderId="12" xfId="150" applyFont="1" applyFill="1" applyBorder="1" applyAlignment="1" applyProtection="1">
      <alignment vertical="center"/>
    </xf>
    <xf numFmtId="0" fontId="8" fillId="3" borderId="26" xfId="82" applyFont="1" applyFill="1" applyBorder="1" applyAlignment="1" applyProtection="1">
      <alignment horizontal="left"/>
    </xf>
    <xf numFmtId="0" fontId="8" fillId="3" borderId="0" xfId="82" applyFont="1" applyFill="1" applyBorder="1" applyAlignment="1" applyProtection="1">
      <alignment vertical="center"/>
    </xf>
    <xf numFmtId="0" fontId="42" fillId="3" borderId="0" xfId="82" applyFont="1" applyFill="1" applyBorder="1" applyAlignment="1" applyProtection="1">
      <alignment vertical="center"/>
    </xf>
    <xf numFmtId="0" fontId="8" fillId="3" borderId="26" xfId="82" applyFont="1" applyFill="1" applyBorder="1" applyAlignment="1" applyProtection="1">
      <alignment vertical="center"/>
    </xf>
    <xf numFmtId="0" fontId="5" fillId="0" borderId="0" xfId="89" applyFont="1" applyFill="1" applyAlignment="1" applyProtection="1">
      <alignment vertical="center"/>
    </xf>
    <xf numFmtId="0" fontId="5" fillId="0" borderId="0" xfId="82" applyFont="1" applyFill="1" applyProtection="1"/>
    <xf numFmtId="0" fontId="27" fillId="4" borderId="9" xfId="0" applyFont="1" applyFill="1" applyBorder="1" applyAlignment="1" applyProtection="1">
      <alignment vertical="center" wrapText="1"/>
    </xf>
    <xf numFmtId="0" fontId="27" fillId="4" borderId="31" xfId="0" applyFont="1" applyFill="1" applyBorder="1" applyAlignment="1" applyProtection="1">
      <alignment vertical="center" wrapText="1"/>
    </xf>
    <xf numFmtId="0" fontId="5" fillId="0" borderId="0" xfId="193" applyAlignment="1" applyProtection="1">
      <alignment horizontal="center"/>
    </xf>
    <xf numFmtId="0" fontId="5" fillId="0" borderId="0" xfId="0" applyFont="1" applyFill="1" applyAlignment="1" applyProtection="1">
      <alignment vertical="center"/>
    </xf>
    <xf numFmtId="175" fontId="44" fillId="0" borderId="0" xfId="0" applyNumberFormat="1" applyFont="1" applyFill="1" applyAlignment="1" applyProtection="1">
      <alignment horizontal="center" vertical="center"/>
    </xf>
    <xf numFmtId="0" fontId="27" fillId="6" borderId="2" xfId="132" applyFont="1" applyFill="1" applyBorder="1" applyAlignment="1">
      <alignment horizontal="center" vertical="center" wrapText="1"/>
    </xf>
    <xf numFmtId="0" fontId="53" fillId="0" borderId="0" xfId="132" applyFont="1" applyAlignment="1">
      <alignment horizontal="center" vertical="center"/>
    </xf>
    <xf numFmtId="0" fontId="27" fillId="7" borderId="2" xfId="132" applyFont="1" applyFill="1" applyBorder="1" applyAlignment="1">
      <alignment horizontal="center" vertical="center" wrapText="1"/>
    </xf>
    <xf numFmtId="0" fontId="3" fillId="0" borderId="0" xfId="132"/>
    <xf numFmtId="0" fontId="54" fillId="0" borderId="0" xfId="132" applyFont="1"/>
    <xf numFmtId="0" fontId="0" fillId="0" borderId="0" xfId="0" quotePrefix="1" applyAlignment="1">
      <alignment horizontal="center" vertical="center"/>
    </xf>
    <xf numFmtId="0" fontId="62" fillId="0" borderId="0" xfId="151" applyFont="1" applyAlignment="1">
      <alignment horizontal="center" vertical="top" wrapText="1"/>
    </xf>
    <xf numFmtId="0" fontId="64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62" fillId="0" borderId="0" xfId="149" applyFont="1" applyAlignment="1">
      <alignment horizontal="left" vertical="center" wrapText="1"/>
    </xf>
    <xf numFmtId="189" fontId="51" fillId="0" borderId="0" xfId="0" applyNumberFormat="1" applyFont="1" applyAlignment="1">
      <alignment horizontal="left"/>
    </xf>
    <xf numFmtId="0" fontId="23" fillId="0" borderId="0" xfId="0" applyFont="1" applyBorder="1" applyAlignment="1" applyProtection="1">
      <alignment horizontal="center" vertical="center" wrapText="1"/>
    </xf>
    <xf numFmtId="0" fontId="63" fillId="0" borderId="0" xfId="0" applyFont="1" applyBorder="1" applyProtection="1">
      <protection locked="0"/>
    </xf>
    <xf numFmtId="170" fontId="61" fillId="0" borderId="0" xfId="0" applyNumberFormat="1" applyFont="1" applyBorder="1" applyAlignment="1">
      <alignment horizontal="center" vertical="center"/>
    </xf>
    <xf numFmtId="175" fontId="61" fillId="0" borderId="0" xfId="0" applyNumberFormat="1" applyFont="1" applyBorder="1" applyAlignment="1">
      <alignment horizontal="center" vertical="center"/>
    </xf>
    <xf numFmtId="0" fontId="63" fillId="0" borderId="0" xfId="0" applyFont="1" applyBorder="1"/>
    <xf numFmtId="0" fontId="0" fillId="0" borderId="0" xfId="0" applyFont="1" applyFill="1" applyAlignment="1" applyProtection="1">
      <alignment vertical="center"/>
    </xf>
    <xf numFmtId="0" fontId="66" fillId="0" borderId="0" xfId="0" applyFont="1" applyBorder="1" applyProtection="1">
      <protection locked="0"/>
    </xf>
    <xf numFmtId="0" fontId="0" fillId="0" borderId="0" xfId="0" applyFont="1" applyBorder="1"/>
    <xf numFmtId="0" fontId="8" fillId="0" borderId="0" xfId="0" applyFont="1" applyBorder="1" applyAlignment="1" applyProtection="1">
      <alignment vertical="center"/>
    </xf>
    <xf numFmtId="0" fontId="7" fillId="0" borderId="12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8" fillId="0" borderId="12" xfId="0" applyFont="1" applyBorder="1" applyAlignment="1" applyProtection="1">
      <alignment vertical="center"/>
    </xf>
    <xf numFmtId="0" fontId="8" fillId="0" borderId="11" xfId="0" applyFont="1" applyBorder="1" applyAlignment="1" applyProtection="1">
      <alignment vertical="center"/>
    </xf>
    <xf numFmtId="189" fontId="7" fillId="0" borderId="12" xfId="0" applyNumberFormat="1" applyFont="1" applyBorder="1" applyAlignment="1" applyProtection="1"/>
    <xf numFmtId="189" fontId="7" fillId="0" borderId="30" xfId="0" applyNumberFormat="1" applyFont="1" applyBorder="1" applyAlignment="1" applyProtection="1"/>
    <xf numFmtId="0" fontId="8" fillId="0" borderId="26" xfId="104" applyFont="1" applyBorder="1" applyAlignment="1" applyProtection="1">
      <alignment vertical="center"/>
    </xf>
    <xf numFmtId="0" fontId="8" fillId="0" borderId="0" xfId="104" applyFont="1" applyBorder="1" applyAlignment="1" applyProtection="1">
      <alignment vertical="center"/>
    </xf>
    <xf numFmtId="189" fontId="7" fillId="0" borderId="31" xfId="0" applyNumberFormat="1" applyFont="1" applyBorder="1" applyAlignment="1" applyProtection="1"/>
    <xf numFmtId="194" fontId="7" fillId="0" borderId="0" xfId="0" applyNumberFormat="1" applyFont="1" applyBorder="1" applyAlignment="1" applyProtection="1">
      <alignment vertical="center"/>
    </xf>
    <xf numFmtId="194" fontId="7" fillId="0" borderId="31" xfId="0" applyNumberFormat="1" applyFont="1" applyBorder="1" applyAlignment="1" applyProtection="1">
      <alignment vertical="center"/>
    </xf>
    <xf numFmtId="0" fontId="8" fillId="0" borderId="26" xfId="0" applyFont="1" applyBorder="1" applyAlignment="1" applyProtection="1">
      <alignment vertical="center"/>
    </xf>
    <xf numFmtId="0" fontId="42" fillId="0" borderId="3" xfId="89" applyFont="1" applyFill="1" applyBorder="1" applyAlignment="1" applyProtection="1">
      <protection locked="0"/>
    </xf>
    <xf numFmtId="0" fontId="43" fillId="0" borderId="1" xfId="89" applyFont="1" applyFill="1" applyBorder="1" applyAlignment="1" applyProtection="1">
      <protection locked="0"/>
    </xf>
    <xf numFmtId="0" fontId="5" fillId="4" borderId="1" xfId="89" applyFont="1" applyFill="1" applyBorder="1" applyAlignment="1" applyProtection="1">
      <protection locked="0"/>
    </xf>
    <xf numFmtId="0" fontId="5" fillId="0" borderId="1" xfId="89" applyFont="1" applyFill="1" applyBorder="1" applyAlignment="1" applyProtection="1">
      <protection locked="0"/>
    </xf>
    <xf numFmtId="0" fontId="69" fillId="0" borderId="4" xfId="89" applyFont="1" applyFill="1" applyBorder="1" applyAlignment="1" applyProtection="1">
      <protection locked="0"/>
    </xf>
    <xf numFmtId="0" fontId="7" fillId="8" borderId="0" xfId="90" applyFont="1" applyFill="1" applyBorder="1" applyAlignment="1" applyProtection="1">
      <alignment vertical="center"/>
    </xf>
    <xf numFmtId="0" fontId="8" fillId="4" borderId="0" xfId="82" applyFont="1" applyFill="1" applyBorder="1" applyAlignment="1" applyProtection="1">
      <alignment vertical="center" wrapText="1"/>
    </xf>
    <xf numFmtId="0" fontId="70" fillId="4" borderId="0" xfId="82" applyFont="1" applyFill="1" applyBorder="1" applyAlignment="1" applyProtection="1">
      <alignment vertical="center"/>
    </xf>
    <xf numFmtId="0" fontId="69" fillId="4" borderId="0" xfId="82" applyFont="1" applyFill="1" applyBorder="1" applyAlignment="1" applyProtection="1">
      <alignment vertical="center" wrapText="1"/>
    </xf>
    <xf numFmtId="0" fontId="5" fillId="0" borderId="0" xfId="89" applyFont="1" applyFill="1" applyBorder="1" applyAlignment="1" applyProtection="1">
      <protection locked="0"/>
    </xf>
    <xf numFmtId="0" fontId="42" fillId="4" borderId="12" xfId="0" applyFont="1" applyFill="1" applyBorder="1" applyAlignment="1" applyProtection="1">
      <alignment horizontal="center" vertical="center" wrapText="1"/>
    </xf>
    <xf numFmtId="12" fontId="43" fillId="4" borderId="30" xfId="0" applyNumberFormat="1" applyFont="1" applyFill="1" applyBorder="1" applyAlignment="1" applyProtection="1">
      <alignment horizontal="center" vertical="center" wrapText="1"/>
    </xf>
    <xf numFmtId="0" fontId="42" fillId="4" borderId="0" xfId="0" applyFont="1" applyFill="1" applyBorder="1" applyAlignment="1" applyProtection="1">
      <alignment horizontal="center" vertical="center" wrapText="1"/>
    </xf>
    <xf numFmtId="12" fontId="43" fillId="4" borderId="31" xfId="0" applyNumberFormat="1" applyFont="1" applyFill="1" applyBorder="1" applyAlignment="1" applyProtection="1">
      <alignment horizontal="center" vertical="center" wrapText="1"/>
    </xf>
    <xf numFmtId="0" fontId="42" fillId="4" borderId="0" xfId="0" applyFont="1" applyFill="1" applyBorder="1" applyAlignment="1" applyProtection="1">
      <alignment horizontal="center" vertical="center" wrapText="1"/>
    </xf>
    <xf numFmtId="0" fontId="43" fillId="4" borderId="31" xfId="0" applyFont="1" applyFill="1" applyBorder="1" applyAlignment="1" applyProtection="1">
      <alignment horizontal="center" vertical="center"/>
    </xf>
    <xf numFmtId="0" fontId="43" fillId="4" borderId="29" xfId="0" applyFont="1" applyFill="1" applyBorder="1" applyAlignment="1" applyProtection="1">
      <alignment horizontal="center" vertical="center"/>
    </xf>
    <xf numFmtId="0" fontId="43" fillId="4" borderId="26" xfId="0" applyFont="1" applyFill="1" applyBorder="1" applyAlignment="1" applyProtection="1">
      <alignment horizontal="left" vertical="center" wrapText="1"/>
    </xf>
    <xf numFmtId="12" fontId="42" fillId="4" borderId="39" xfId="0" applyNumberFormat="1" applyFont="1" applyFill="1" applyBorder="1" applyAlignment="1" applyProtection="1">
      <alignment horizontal="center" vertical="center" wrapText="1"/>
    </xf>
    <xf numFmtId="0" fontId="42" fillId="4" borderId="40" xfId="0" applyFont="1" applyFill="1" applyBorder="1" applyAlignment="1" applyProtection="1">
      <alignment horizontal="center" vertical="center"/>
    </xf>
    <xf numFmtId="0" fontId="42" fillId="4" borderId="41" xfId="0" applyFont="1" applyFill="1" applyBorder="1" applyAlignment="1" applyProtection="1">
      <alignment horizontal="center" vertical="center"/>
    </xf>
    <xf numFmtId="0" fontId="42" fillId="4" borderId="42" xfId="0" applyFont="1" applyFill="1" applyBorder="1" applyAlignment="1" applyProtection="1">
      <alignment horizontal="center" vertical="center"/>
    </xf>
    <xf numFmtId="170" fontId="73" fillId="4" borderId="26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0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38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31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26" xfId="0" applyNumberFormat="1" applyFont="1" applyFill="1" applyBorder="1" applyAlignment="1" applyProtection="1">
      <alignment horizontal="center" vertical="center" wrapText="1"/>
    </xf>
    <xf numFmtId="170" fontId="73" fillId="4" borderId="0" xfId="0" applyNumberFormat="1" applyFont="1" applyFill="1" applyBorder="1" applyAlignment="1" applyProtection="1">
      <alignment horizontal="center" vertical="center" wrapText="1"/>
    </xf>
    <xf numFmtId="170" fontId="73" fillId="4" borderId="38" xfId="0" applyNumberFormat="1" applyFont="1" applyFill="1" applyBorder="1" applyAlignment="1" applyProtection="1">
      <alignment horizontal="center" vertical="center" wrapText="1"/>
    </xf>
    <xf numFmtId="170" fontId="73" fillId="4" borderId="31" xfId="0" applyNumberFormat="1" applyFont="1" applyFill="1" applyBorder="1" applyAlignment="1" applyProtection="1">
      <alignment horizontal="center" vertical="center" wrapText="1"/>
    </xf>
    <xf numFmtId="0" fontId="74" fillId="4" borderId="31" xfId="0" applyFont="1" applyFill="1" applyBorder="1" applyAlignment="1" applyProtection="1">
      <alignment horizontal="center" vertical="center"/>
    </xf>
    <xf numFmtId="175" fontId="73" fillId="4" borderId="26" xfId="0" applyNumberFormat="1" applyFont="1" applyFill="1" applyBorder="1" applyAlignment="1" applyProtection="1">
      <alignment horizontal="center" vertical="center" wrapText="1"/>
    </xf>
    <xf numFmtId="175" fontId="73" fillId="4" borderId="0" xfId="0" applyNumberFormat="1" applyFont="1" applyFill="1" applyBorder="1" applyAlignment="1" applyProtection="1">
      <alignment horizontal="center" vertical="center" wrapText="1"/>
    </xf>
    <xf numFmtId="175" fontId="73" fillId="4" borderId="38" xfId="0" applyNumberFormat="1" applyFont="1" applyFill="1" applyBorder="1" applyAlignment="1" applyProtection="1">
      <alignment horizontal="center" vertical="center" wrapText="1"/>
    </xf>
    <xf numFmtId="175" fontId="73" fillId="4" borderId="31" xfId="0" applyNumberFormat="1" applyFont="1" applyFill="1" applyBorder="1" applyAlignment="1" applyProtection="1">
      <alignment horizontal="center" vertical="center" wrapText="1"/>
    </xf>
    <xf numFmtId="1" fontId="73" fillId="4" borderId="26" xfId="0" applyNumberFormat="1" applyFont="1" applyFill="1" applyBorder="1" applyAlignment="1" applyProtection="1">
      <alignment horizontal="center" vertical="center" wrapText="1"/>
    </xf>
    <xf numFmtId="1" fontId="73" fillId="4" borderId="0" xfId="0" applyNumberFormat="1" applyFont="1" applyFill="1" applyBorder="1" applyAlignment="1" applyProtection="1">
      <alignment horizontal="center" vertical="center" wrapText="1"/>
    </xf>
    <xf numFmtId="1" fontId="73" fillId="4" borderId="38" xfId="0" applyNumberFormat="1" applyFont="1" applyFill="1" applyBorder="1" applyAlignment="1" applyProtection="1">
      <alignment horizontal="center" vertical="center" wrapText="1"/>
    </xf>
    <xf numFmtId="1" fontId="73" fillId="4" borderId="31" xfId="0" applyNumberFormat="1" applyFont="1" applyFill="1" applyBorder="1" applyAlignment="1" applyProtection="1">
      <alignment horizontal="center" vertical="center" wrapText="1"/>
    </xf>
    <xf numFmtId="0" fontId="74" fillId="4" borderId="11" xfId="0" applyFont="1" applyFill="1" applyBorder="1" applyAlignment="1" applyProtection="1">
      <alignment vertical="center"/>
    </xf>
    <xf numFmtId="0" fontId="74" fillId="4" borderId="12" xfId="0" applyFont="1" applyFill="1" applyBorder="1" applyAlignment="1" applyProtection="1">
      <alignment vertical="center"/>
    </xf>
    <xf numFmtId="0" fontId="43" fillId="4" borderId="12" xfId="0" applyFont="1" applyFill="1" applyBorder="1" applyAlignment="1" applyProtection="1">
      <alignment horizontal="right" vertical="center"/>
    </xf>
    <xf numFmtId="1" fontId="75" fillId="4" borderId="12" xfId="0" applyNumberFormat="1" applyFont="1" applyFill="1" applyBorder="1" applyAlignment="1" applyProtection="1">
      <alignment horizontal="center" vertical="center" wrapText="1"/>
    </xf>
    <xf numFmtId="1" fontId="75" fillId="4" borderId="30" xfId="0" applyNumberFormat="1" applyFont="1" applyFill="1" applyBorder="1" applyAlignment="1" applyProtection="1">
      <alignment horizontal="center" vertical="center" wrapText="1"/>
    </xf>
    <xf numFmtId="0" fontId="43" fillId="4" borderId="0" xfId="0" applyFont="1" applyFill="1" applyBorder="1" applyAlignment="1" applyProtection="1">
      <alignment horizontal="right" vertical="center"/>
    </xf>
    <xf numFmtId="1" fontId="75" fillId="4" borderId="0" xfId="0" applyNumberFormat="1" applyFont="1" applyFill="1" applyBorder="1" applyAlignment="1" applyProtection="1">
      <alignment horizontal="center" vertical="center" wrapText="1"/>
    </xf>
    <xf numFmtId="0" fontId="74" fillId="4" borderId="26" xfId="0" applyFont="1" applyFill="1" applyBorder="1" applyAlignment="1" applyProtection="1">
      <alignment vertical="center"/>
    </xf>
    <xf numFmtId="1" fontId="75" fillId="4" borderId="31" xfId="0" applyNumberFormat="1" applyFont="1" applyFill="1" applyBorder="1" applyAlignment="1" applyProtection="1">
      <alignment horizontal="center" vertical="center" wrapText="1"/>
    </xf>
    <xf numFmtId="0" fontId="74" fillId="4" borderId="27" xfId="0" applyFont="1" applyFill="1" applyBorder="1" applyAlignment="1" applyProtection="1">
      <alignment vertical="center"/>
    </xf>
    <xf numFmtId="0" fontId="74" fillId="4" borderId="5" xfId="0" applyFont="1" applyFill="1" applyBorder="1" applyAlignment="1" applyProtection="1">
      <alignment vertical="center"/>
    </xf>
    <xf numFmtId="0" fontId="43" fillId="4" borderId="5" xfId="0" applyFont="1" applyFill="1" applyBorder="1" applyAlignment="1" applyProtection="1">
      <alignment horizontal="right" vertical="center"/>
    </xf>
    <xf numFmtId="1" fontId="75" fillId="4" borderId="5" xfId="0" applyNumberFormat="1" applyFont="1" applyFill="1" applyBorder="1" applyAlignment="1" applyProtection="1">
      <alignment horizontal="center" vertical="center" wrapText="1"/>
    </xf>
    <xf numFmtId="1" fontId="75" fillId="4" borderId="29" xfId="0" applyNumberFormat="1" applyFont="1" applyFill="1" applyBorder="1" applyAlignment="1" applyProtection="1">
      <alignment horizontal="center" vertical="center" wrapText="1"/>
    </xf>
    <xf numFmtId="0" fontId="7" fillId="4" borderId="0" xfId="82" applyFont="1" applyFill="1" applyBorder="1" applyAlignment="1" applyProtection="1">
      <alignment vertical="center" wrapText="1"/>
    </xf>
    <xf numFmtId="170" fontId="73" fillId="4" borderId="0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31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26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3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0" applyFont="1" applyFill="1" applyBorder="1" applyAlignment="1" applyProtection="1">
      <alignment vertical="center"/>
      <protection locked="0"/>
    </xf>
    <xf numFmtId="0" fontId="0" fillId="0" borderId="25" xfId="0" applyFont="1" applyFill="1" applyBorder="1" applyAlignment="1" applyProtection="1">
      <alignment vertical="center"/>
      <protection locked="0"/>
    </xf>
    <xf numFmtId="0" fontId="0" fillId="0" borderId="24" xfId="0" applyFont="1" applyFill="1" applyBorder="1" applyAlignment="1" applyProtection="1">
      <alignment vertical="center"/>
      <protection locked="0"/>
    </xf>
    <xf numFmtId="0" fontId="0" fillId="0" borderId="110" xfId="0" applyFont="1" applyFill="1" applyBorder="1" applyAlignment="1" applyProtection="1">
      <alignment vertical="center"/>
      <protection locked="0"/>
    </xf>
    <xf numFmtId="0" fontId="0" fillId="0" borderId="109" xfId="0" applyFont="1" applyFill="1" applyBorder="1" applyAlignment="1" applyProtection="1">
      <alignment vertical="center"/>
      <protection locked="0"/>
    </xf>
    <xf numFmtId="0" fontId="0" fillId="0" borderId="108" xfId="0" applyFont="1" applyFill="1" applyBorder="1" applyAlignment="1" applyProtection="1">
      <alignment vertical="center"/>
      <protection locked="0"/>
    </xf>
    <xf numFmtId="175" fontId="44" fillId="0" borderId="7" xfId="0" applyNumberFormat="1" applyFont="1" applyFill="1" applyBorder="1" applyAlignment="1" applyProtection="1">
      <alignment horizontal="center" vertical="center"/>
      <protection locked="0"/>
    </xf>
    <xf numFmtId="175" fontId="44" fillId="0" borderId="8" xfId="0" applyNumberFormat="1" applyFont="1" applyFill="1" applyBorder="1" applyAlignment="1" applyProtection="1">
      <alignment horizontal="center" vertical="center"/>
      <protection locked="0"/>
    </xf>
    <xf numFmtId="175" fontId="44" fillId="0" borderId="6" xfId="0" applyNumberFormat="1" applyFont="1" applyFill="1" applyBorder="1" applyAlignment="1" applyProtection="1">
      <alignment horizontal="center" vertical="center"/>
      <protection locked="0"/>
    </xf>
    <xf numFmtId="12" fontId="42" fillId="4" borderId="2" xfId="0" applyNumberFormat="1" applyFont="1" applyFill="1" applyBorder="1" applyAlignment="1" applyProtection="1">
      <alignment horizontal="center" vertical="center" wrapText="1"/>
    </xf>
    <xf numFmtId="175" fontId="44" fillId="0" borderId="2" xfId="0" applyNumberFormat="1" applyFont="1" applyFill="1" applyBorder="1" applyAlignment="1" applyProtection="1">
      <alignment horizontal="center" vertical="center"/>
    </xf>
    <xf numFmtId="12" fontId="42" fillId="4" borderId="39" xfId="0" applyNumberFormat="1" applyFont="1" applyFill="1" applyBorder="1" applyAlignment="1" applyProtection="1">
      <alignment horizontal="center" vertical="center" wrapText="1"/>
      <protection locked="0"/>
    </xf>
    <xf numFmtId="0" fontId="42" fillId="4" borderId="40" xfId="0" applyFont="1" applyFill="1" applyBorder="1" applyAlignment="1" applyProtection="1">
      <alignment horizontal="center" vertical="center"/>
      <protection locked="0"/>
    </xf>
    <xf numFmtId="0" fontId="42" fillId="4" borderId="41" xfId="0" applyFont="1" applyFill="1" applyBorder="1" applyAlignment="1" applyProtection="1">
      <alignment horizontal="center" vertical="center"/>
      <protection locked="0"/>
    </xf>
    <xf numFmtId="0" fontId="42" fillId="4" borderId="42" xfId="0" applyFont="1" applyFill="1" applyBorder="1" applyAlignment="1" applyProtection="1">
      <alignment horizontal="center" vertical="center"/>
      <protection locked="0"/>
    </xf>
    <xf numFmtId="0" fontId="67" fillId="4" borderId="26" xfId="0" applyFont="1" applyFill="1" applyBorder="1" applyAlignment="1" applyProtection="1">
      <alignment vertical="center"/>
    </xf>
    <xf numFmtId="0" fontId="67" fillId="4" borderId="31" xfId="0" applyFont="1" applyFill="1" applyBorder="1" applyAlignment="1" applyProtection="1">
      <alignment vertical="center"/>
    </xf>
    <xf numFmtId="0" fontId="67" fillId="4" borderId="26" xfId="0" applyFont="1" applyFill="1" applyBorder="1" applyAlignment="1" applyProtection="1">
      <alignment vertical="top"/>
    </xf>
    <xf numFmtId="0" fontId="67" fillId="4" borderId="31" xfId="0" applyFont="1" applyFill="1" applyBorder="1" applyAlignment="1" applyProtection="1">
      <alignment vertical="top"/>
    </xf>
    <xf numFmtId="0" fontId="67" fillId="4" borderId="106" xfId="0" applyFont="1" applyFill="1" applyBorder="1" applyAlignment="1" applyProtection="1">
      <alignment vertical="top"/>
    </xf>
    <xf numFmtId="0" fontId="67" fillId="4" borderId="107" xfId="0" applyFont="1" applyFill="1" applyBorder="1" applyAlignment="1" applyProtection="1">
      <alignment vertical="top"/>
    </xf>
    <xf numFmtId="0" fontId="5" fillId="0" borderId="108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12" fontId="43" fillId="4" borderId="26" xfId="0" applyNumberFormat="1" applyFont="1" applyFill="1" applyBorder="1" applyAlignment="1" applyProtection="1">
      <alignment horizontal="left" vertical="center" wrapText="1"/>
    </xf>
    <xf numFmtId="12" fontId="43" fillId="4" borderId="0" xfId="0" applyNumberFormat="1" applyFont="1" applyFill="1" applyBorder="1" applyAlignment="1" applyProtection="1">
      <alignment horizontal="left" vertical="center" wrapText="1"/>
    </xf>
    <xf numFmtId="0" fontId="5" fillId="0" borderId="6" xfId="0" applyFont="1" applyFill="1" applyBorder="1" applyAlignment="1" applyProtection="1">
      <alignment horizontal="center" vertical="center"/>
      <protection locked="0"/>
    </xf>
    <xf numFmtId="175" fontId="61" fillId="0" borderId="113" xfId="0" applyNumberFormat="1" applyFont="1" applyFill="1" applyBorder="1" applyAlignment="1" applyProtection="1">
      <alignment horizontal="center" vertical="center"/>
      <protection locked="0"/>
    </xf>
    <xf numFmtId="175" fontId="61" fillId="0" borderId="111" xfId="0" applyNumberFormat="1" applyFont="1" applyFill="1" applyBorder="1" applyAlignment="1" applyProtection="1">
      <alignment horizontal="center" vertical="center"/>
      <protection locked="0"/>
    </xf>
    <xf numFmtId="175" fontId="61" fillId="0" borderId="112" xfId="0" applyNumberFormat="1" applyFont="1" applyFill="1" applyBorder="1" applyAlignment="1" applyProtection="1">
      <alignment horizontal="center" vertical="center"/>
      <protection locked="0"/>
    </xf>
    <xf numFmtId="0" fontId="43" fillId="4" borderId="26" xfId="0" applyFont="1" applyFill="1" applyBorder="1" applyAlignment="1" applyProtection="1">
      <alignment horizontal="left" vertical="center"/>
    </xf>
    <xf numFmtId="0" fontId="43" fillId="4" borderId="0" xfId="0" applyFont="1" applyFill="1" applyBorder="1" applyAlignment="1" applyProtection="1">
      <alignment horizontal="left" vertical="center"/>
    </xf>
    <xf numFmtId="0" fontId="43" fillId="4" borderId="26" xfId="0" applyFont="1" applyFill="1" applyBorder="1" applyAlignment="1" applyProtection="1">
      <alignment horizontal="left" vertical="center" wrapText="1"/>
    </xf>
    <xf numFmtId="0" fontId="43" fillId="4" borderId="0" xfId="0" applyFont="1" applyFill="1" applyBorder="1" applyAlignment="1" applyProtection="1">
      <alignment horizontal="left" vertical="center" wrapText="1"/>
    </xf>
    <xf numFmtId="0" fontId="43" fillId="4" borderId="11" xfId="0" applyFont="1" applyFill="1" applyBorder="1" applyAlignment="1" applyProtection="1">
      <alignment horizontal="left" vertical="center" wrapText="1"/>
    </xf>
    <xf numFmtId="0" fontId="43" fillId="4" borderId="12" xfId="0" applyFont="1" applyFill="1" applyBorder="1" applyAlignment="1" applyProtection="1">
      <alignment horizontal="left" vertical="center" wrapText="1"/>
    </xf>
    <xf numFmtId="0" fontId="42" fillId="4" borderId="11" xfId="0" applyFont="1" applyFill="1" applyBorder="1" applyAlignment="1" applyProtection="1">
      <alignment horizontal="center" vertical="center" wrapText="1"/>
    </xf>
    <xf numFmtId="0" fontId="42" fillId="4" borderId="12" xfId="0" applyFont="1" applyFill="1" applyBorder="1" applyAlignment="1" applyProtection="1">
      <alignment horizontal="center" vertical="center" wrapText="1"/>
    </xf>
    <xf numFmtId="0" fontId="42" fillId="4" borderId="93" xfId="0" applyFont="1" applyFill="1" applyBorder="1" applyAlignment="1" applyProtection="1">
      <alignment horizontal="center" vertical="center" wrapText="1"/>
    </xf>
    <xf numFmtId="0" fontId="42" fillId="4" borderId="95" xfId="0" applyFont="1" applyFill="1" applyBorder="1" applyAlignment="1" applyProtection="1">
      <alignment horizontal="center" vertical="center" wrapText="1"/>
    </xf>
    <xf numFmtId="0" fontId="42" fillId="4" borderId="30" xfId="0" applyFont="1" applyFill="1" applyBorder="1" applyAlignment="1" applyProtection="1">
      <alignment horizontal="center" vertical="center" wrapText="1"/>
    </xf>
    <xf numFmtId="0" fontId="42" fillId="4" borderId="96" xfId="0" applyFont="1" applyFill="1" applyBorder="1" applyAlignment="1" applyProtection="1">
      <alignment horizontal="center" vertical="center" wrapText="1"/>
    </xf>
    <xf numFmtId="0" fontId="42" fillId="4" borderId="0" xfId="0" applyFont="1" applyFill="1" applyBorder="1" applyAlignment="1" applyProtection="1">
      <alignment horizontal="center" vertical="center" wrapText="1"/>
    </xf>
    <xf numFmtId="0" fontId="42" fillId="4" borderId="31" xfId="0" applyFont="1" applyFill="1" applyBorder="1" applyAlignment="1" applyProtection="1">
      <alignment horizontal="center" vertical="center" wrapText="1"/>
    </xf>
    <xf numFmtId="170" fontId="73" fillId="4" borderId="26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0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38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27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5" xfId="0" applyNumberFormat="1" applyFont="1" applyFill="1" applyBorder="1" applyAlignment="1" applyProtection="1">
      <alignment horizontal="center" vertical="center" wrapText="1"/>
      <protection locked="0"/>
    </xf>
    <xf numFmtId="12" fontId="42" fillId="4" borderId="26" xfId="0" applyNumberFormat="1" applyFont="1" applyFill="1" applyBorder="1" applyAlignment="1" applyProtection="1">
      <alignment horizontal="center" vertical="center" wrapText="1"/>
      <protection locked="0"/>
    </xf>
    <xf numFmtId="12" fontId="42" fillId="4" borderId="0" xfId="0" applyNumberFormat="1" applyFont="1" applyFill="1" applyBorder="1" applyAlignment="1" applyProtection="1">
      <alignment horizontal="center" vertical="center" wrapText="1"/>
      <protection locked="0"/>
    </xf>
    <xf numFmtId="12" fontId="42" fillId="4" borderId="38" xfId="0" applyNumberFormat="1" applyFont="1" applyFill="1" applyBorder="1" applyAlignment="1" applyProtection="1">
      <alignment horizontal="center" vertical="center" wrapText="1"/>
      <protection locked="0"/>
    </xf>
    <xf numFmtId="0" fontId="42" fillId="4" borderId="97" xfId="0" applyFont="1" applyFill="1" applyBorder="1" applyAlignment="1" applyProtection="1">
      <alignment horizontal="center" vertical="center"/>
    </xf>
    <xf numFmtId="0" fontId="42" fillId="4" borderId="0" xfId="0" applyFont="1" applyFill="1" applyBorder="1" applyAlignment="1" applyProtection="1">
      <alignment horizontal="center" vertical="center"/>
    </xf>
    <xf numFmtId="0" fontId="42" fillId="4" borderId="31" xfId="0" applyFont="1" applyFill="1" applyBorder="1" applyAlignment="1" applyProtection="1">
      <alignment horizontal="center" vertical="center"/>
    </xf>
    <xf numFmtId="170" fontId="73" fillId="4" borderId="97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31" xfId="0" applyNumberFormat="1" applyFont="1" applyFill="1" applyBorder="1" applyAlignment="1" applyProtection="1">
      <alignment horizontal="center" vertical="center" wrapText="1"/>
      <protection locked="0"/>
    </xf>
    <xf numFmtId="1" fontId="73" fillId="4" borderId="97" xfId="0" applyNumberFormat="1" applyFont="1" applyFill="1" applyBorder="1" applyAlignment="1" applyProtection="1">
      <alignment horizontal="center" vertical="center" wrapText="1"/>
      <protection locked="0"/>
    </xf>
    <xf numFmtId="1" fontId="73" fillId="4" borderId="0" xfId="0" applyNumberFormat="1" applyFont="1" applyFill="1" applyBorder="1" applyAlignment="1" applyProtection="1">
      <alignment horizontal="center" vertical="center" wrapText="1"/>
      <protection locked="0"/>
    </xf>
    <xf numFmtId="1" fontId="73" fillId="4" borderId="31" xfId="0" applyNumberFormat="1" applyFont="1" applyFill="1" applyBorder="1" applyAlignment="1" applyProtection="1">
      <alignment horizontal="center" vertical="center" wrapText="1"/>
      <protection locked="0"/>
    </xf>
    <xf numFmtId="0" fontId="74" fillId="4" borderId="26" xfId="0" applyFont="1" applyFill="1" applyBorder="1" applyAlignment="1" applyProtection="1">
      <alignment horizontal="left" vertical="center"/>
    </xf>
    <xf numFmtId="0" fontId="74" fillId="4" borderId="0" xfId="0" applyFont="1" applyFill="1" applyBorder="1" applyAlignment="1" applyProtection="1">
      <alignment horizontal="left" vertical="center"/>
    </xf>
    <xf numFmtId="0" fontId="43" fillId="4" borderId="27" xfId="0" applyFont="1" applyFill="1" applyBorder="1" applyAlignment="1" applyProtection="1">
      <alignment horizontal="left" vertical="center"/>
    </xf>
    <xf numFmtId="0" fontId="43" fillId="4" borderId="5" xfId="0" applyFont="1" applyFill="1" applyBorder="1" applyAlignment="1" applyProtection="1">
      <alignment horizontal="left" vertical="center"/>
    </xf>
    <xf numFmtId="0" fontId="74" fillId="4" borderId="27" xfId="0" applyFont="1" applyFill="1" applyBorder="1" applyAlignment="1" applyProtection="1">
      <alignment horizontal="left" vertical="center"/>
    </xf>
    <xf numFmtId="0" fontId="74" fillId="4" borderId="5" xfId="0" applyFont="1" applyFill="1" applyBorder="1" applyAlignment="1" applyProtection="1">
      <alignment horizontal="left" vertical="center"/>
    </xf>
    <xf numFmtId="1" fontId="75" fillId="4" borderId="11" xfId="0" applyNumberFormat="1" applyFont="1" applyFill="1" applyBorder="1" applyAlignment="1" applyProtection="1">
      <alignment horizontal="center" vertical="center" wrapText="1"/>
    </xf>
    <xf numFmtId="1" fontId="75" fillId="4" borderId="12" xfId="0" applyNumberFormat="1" applyFont="1" applyFill="1" applyBorder="1" applyAlignment="1" applyProtection="1">
      <alignment horizontal="center" vertical="center" wrapText="1"/>
    </xf>
    <xf numFmtId="1" fontId="75" fillId="4" borderId="30" xfId="0" applyNumberFormat="1" applyFont="1" applyFill="1" applyBorder="1" applyAlignment="1" applyProtection="1">
      <alignment horizontal="center" vertical="center" wrapText="1"/>
    </xf>
    <xf numFmtId="170" fontId="73" fillId="4" borderId="99" xfId="0" applyNumberFormat="1" applyFont="1" applyFill="1" applyBorder="1" applyAlignment="1" applyProtection="1">
      <alignment horizontal="center" vertical="center" wrapText="1"/>
    </xf>
    <xf numFmtId="170" fontId="73" fillId="4" borderId="100" xfId="0" applyNumberFormat="1" applyFont="1" applyFill="1" applyBorder="1" applyAlignment="1" applyProtection="1">
      <alignment horizontal="center" vertical="center" wrapText="1"/>
    </xf>
    <xf numFmtId="170" fontId="73" fillId="4" borderId="101" xfId="0" applyNumberFormat="1" applyFont="1" applyFill="1" applyBorder="1" applyAlignment="1" applyProtection="1">
      <alignment horizontal="center" vertical="center" wrapText="1"/>
    </xf>
    <xf numFmtId="170" fontId="73" fillId="4" borderId="102" xfId="0" applyNumberFormat="1" applyFont="1" applyFill="1" applyBorder="1" applyAlignment="1" applyProtection="1">
      <alignment horizontal="center" vertical="center" wrapText="1"/>
    </xf>
    <xf numFmtId="170" fontId="73" fillId="4" borderId="103" xfId="0" applyNumberFormat="1" applyFont="1" applyFill="1" applyBorder="1" applyAlignment="1" applyProtection="1">
      <alignment horizontal="center" vertical="center" wrapText="1"/>
    </xf>
    <xf numFmtId="170" fontId="73" fillId="4" borderId="104" xfId="0" applyNumberFormat="1" applyFont="1" applyFill="1" applyBorder="1" applyAlignment="1" applyProtection="1">
      <alignment horizontal="center" vertical="center" wrapText="1"/>
    </xf>
    <xf numFmtId="170" fontId="73" fillId="4" borderId="117" xfId="0" applyNumberFormat="1" applyFont="1" applyFill="1" applyBorder="1" applyAlignment="1" applyProtection="1">
      <alignment horizontal="center" vertical="center" wrapText="1"/>
    </xf>
    <xf numFmtId="170" fontId="73" fillId="4" borderId="118" xfId="0" applyNumberFormat="1" applyFont="1" applyFill="1" applyBorder="1" applyAlignment="1" applyProtection="1">
      <alignment horizontal="center" vertical="center" wrapText="1"/>
    </xf>
    <xf numFmtId="170" fontId="73" fillId="4" borderId="119" xfId="0" applyNumberFormat="1" applyFont="1" applyFill="1" applyBorder="1" applyAlignment="1" applyProtection="1">
      <alignment horizontal="center" vertical="center" wrapText="1"/>
    </xf>
    <xf numFmtId="170" fontId="73" fillId="4" borderId="114" xfId="0" applyNumberFormat="1" applyFont="1" applyFill="1" applyBorder="1" applyAlignment="1" applyProtection="1">
      <alignment horizontal="center" vertical="center" wrapText="1"/>
    </xf>
    <xf numFmtId="170" fontId="73" fillId="4" borderId="115" xfId="0" applyNumberFormat="1" applyFont="1" applyFill="1" applyBorder="1" applyAlignment="1" applyProtection="1">
      <alignment horizontal="center" vertical="center" wrapText="1"/>
    </xf>
    <xf numFmtId="170" fontId="73" fillId="4" borderId="116" xfId="0" applyNumberFormat="1" applyFont="1" applyFill="1" applyBorder="1" applyAlignment="1" applyProtection="1">
      <alignment horizontal="center" vertical="center" wrapText="1"/>
    </xf>
    <xf numFmtId="0" fontId="74" fillId="4" borderId="9" xfId="0" applyFont="1" applyFill="1" applyBorder="1" applyAlignment="1" applyProtection="1">
      <alignment horizontal="left" vertical="center"/>
    </xf>
    <xf numFmtId="0" fontId="74" fillId="4" borderId="10" xfId="0" applyFont="1" applyFill="1" applyBorder="1" applyAlignment="1" applyProtection="1">
      <alignment horizontal="left" vertical="center"/>
    </xf>
    <xf numFmtId="0" fontId="43" fillId="4" borderId="10" xfId="0" applyFont="1" applyFill="1" applyBorder="1" applyAlignment="1" applyProtection="1">
      <alignment horizontal="center" vertical="center"/>
    </xf>
    <xf numFmtId="0" fontId="43" fillId="4" borderId="7" xfId="0" applyFont="1" applyFill="1" applyBorder="1" applyAlignment="1" applyProtection="1">
      <alignment horizontal="center" vertical="center"/>
    </xf>
    <xf numFmtId="0" fontId="27" fillId="4" borderId="26" xfId="0" applyFont="1" applyFill="1" applyBorder="1" applyAlignment="1" applyProtection="1">
      <alignment horizontal="center" vertical="center" wrapText="1"/>
    </xf>
    <xf numFmtId="0" fontId="27" fillId="4" borderId="0" xfId="0" applyFont="1" applyFill="1" applyBorder="1" applyAlignment="1" applyProtection="1">
      <alignment horizontal="center" vertical="center" wrapText="1"/>
    </xf>
    <xf numFmtId="0" fontId="72" fillId="3" borderId="91" xfId="0" applyFont="1" applyFill="1" applyBorder="1" applyAlignment="1">
      <alignment horizontal="center" vertical="center"/>
    </xf>
    <xf numFmtId="0" fontId="46" fillId="0" borderId="0" xfId="149" applyFont="1" applyBorder="1" applyAlignment="1">
      <alignment horizontal="center" wrapText="1"/>
    </xf>
    <xf numFmtId="0" fontId="46" fillId="0" borderId="0" xfId="151" applyFont="1" applyBorder="1" applyAlignment="1">
      <alignment horizontal="center" wrapText="1"/>
    </xf>
    <xf numFmtId="170" fontId="73" fillId="4" borderId="98" xfId="0" applyNumberFormat="1" applyFont="1" applyFill="1" applyBorder="1" applyAlignment="1" applyProtection="1">
      <alignment horizontal="center" vertical="center" wrapText="1"/>
      <protection locked="0"/>
    </xf>
    <xf numFmtId="170" fontId="73" fillId="4" borderId="29" xfId="0" applyNumberFormat="1" applyFont="1" applyFill="1" applyBorder="1" applyAlignment="1" applyProtection="1">
      <alignment horizontal="center" vertical="center" wrapText="1"/>
      <protection locked="0"/>
    </xf>
    <xf numFmtId="0" fontId="42" fillId="3" borderId="9" xfId="0" applyFont="1" applyFill="1" applyBorder="1" applyAlignment="1" applyProtection="1">
      <alignment horizontal="center" vertical="center" wrapText="1"/>
    </xf>
    <xf numFmtId="0" fontId="42" fillId="3" borderId="10" xfId="0" applyFont="1" applyFill="1" applyBorder="1" applyAlignment="1" applyProtection="1">
      <alignment horizontal="center" vertical="center" wrapText="1"/>
    </xf>
    <xf numFmtId="0" fontId="42" fillId="3" borderId="7" xfId="0" applyFont="1" applyFill="1" applyBorder="1" applyAlignment="1" applyProtection="1">
      <alignment horizontal="center" vertical="center" wrapText="1"/>
    </xf>
    <xf numFmtId="0" fontId="42" fillId="4" borderId="26" xfId="0" applyFont="1" applyFill="1" applyBorder="1" applyAlignment="1" applyProtection="1">
      <alignment horizontal="center" vertical="center" wrapText="1"/>
      <protection locked="0"/>
    </xf>
    <xf numFmtId="0" fontId="42" fillId="4" borderId="0" xfId="0" applyFont="1" applyFill="1" applyBorder="1" applyAlignment="1" applyProtection="1">
      <alignment horizontal="center" vertical="center" wrapText="1"/>
      <protection locked="0"/>
    </xf>
    <xf numFmtId="0" fontId="42" fillId="4" borderId="94" xfId="0" applyFont="1" applyFill="1" applyBorder="1" applyAlignment="1" applyProtection="1">
      <alignment horizontal="center" vertical="center" wrapText="1"/>
      <protection locked="0"/>
    </xf>
    <xf numFmtId="0" fontId="42" fillId="4" borderId="46" xfId="0" applyFont="1" applyFill="1" applyBorder="1" applyAlignment="1" applyProtection="1">
      <alignment horizontal="center" vertical="center" wrapText="1"/>
    </xf>
    <xf numFmtId="0" fontId="42" fillId="4" borderId="44" xfId="0" applyFont="1" applyFill="1" applyBorder="1" applyAlignment="1" applyProtection="1">
      <alignment horizontal="center" vertical="center" wrapText="1"/>
    </xf>
    <xf numFmtId="0" fontId="42" fillId="4" borderId="47" xfId="0" applyFont="1" applyFill="1" applyBorder="1" applyAlignment="1" applyProtection="1">
      <alignment horizontal="center" vertical="center" wrapText="1"/>
    </xf>
    <xf numFmtId="0" fontId="71" fillId="3" borderId="9" xfId="0" applyFont="1" applyFill="1" applyBorder="1" applyAlignment="1" applyProtection="1">
      <alignment horizontal="center" vertical="center" wrapText="1"/>
    </xf>
    <xf numFmtId="0" fontId="71" fillId="3" borderId="10" xfId="0" applyFont="1" applyFill="1" applyBorder="1" applyAlignment="1" applyProtection="1">
      <alignment horizontal="center" vertical="center" wrapText="1"/>
    </xf>
    <xf numFmtId="0" fontId="71" fillId="3" borderId="7" xfId="0" applyFont="1" applyFill="1" applyBorder="1" applyAlignment="1" applyProtection="1">
      <alignment horizontal="center" vertical="center" wrapText="1"/>
    </xf>
    <xf numFmtId="0" fontId="42" fillId="4" borderId="43" xfId="0" applyFont="1" applyFill="1" applyBorder="1" applyAlignment="1" applyProtection="1">
      <alignment horizontal="center" vertical="center" wrapText="1"/>
    </xf>
    <xf numFmtId="0" fontId="42" fillId="4" borderId="45" xfId="0" applyFont="1" applyFill="1" applyBorder="1" applyAlignment="1" applyProtection="1">
      <alignment horizontal="center" vertical="center" wrapText="1"/>
    </xf>
    <xf numFmtId="0" fontId="68" fillId="0" borderId="2" xfId="149" applyFont="1" applyBorder="1" applyAlignment="1" applyProtection="1">
      <alignment horizontal="left" vertical="center" wrapText="1"/>
    </xf>
    <xf numFmtId="0" fontId="69" fillId="4" borderId="0" xfId="82" applyFont="1" applyFill="1" applyBorder="1" applyAlignment="1" applyProtection="1">
      <alignment horizontal="right" vertical="center" wrapText="1"/>
    </xf>
    <xf numFmtId="0" fontId="0" fillId="0" borderId="11" xfId="0" applyFont="1" applyFill="1" applyBorder="1" applyAlignment="1" applyProtection="1">
      <alignment horizontal="center"/>
    </xf>
    <xf numFmtId="0" fontId="0" fillId="0" borderId="30" xfId="0" applyFont="1" applyFill="1" applyBorder="1" applyAlignment="1" applyProtection="1">
      <alignment horizontal="center"/>
    </xf>
    <xf numFmtId="0" fontId="0" fillId="0" borderId="26" xfId="0" applyFont="1" applyFill="1" applyBorder="1" applyAlignment="1" applyProtection="1">
      <alignment horizontal="center"/>
    </xf>
    <xf numFmtId="0" fontId="0" fillId="0" borderId="31" xfId="0" applyFont="1" applyFill="1" applyBorder="1" applyAlignment="1" applyProtection="1">
      <alignment horizontal="center"/>
    </xf>
    <xf numFmtId="0" fontId="0" fillId="0" borderId="27" xfId="0" applyFont="1" applyFill="1" applyBorder="1" applyAlignment="1" applyProtection="1">
      <alignment horizontal="center"/>
    </xf>
    <xf numFmtId="0" fontId="0" fillId="0" borderId="29" xfId="0" applyFont="1" applyFill="1" applyBorder="1" applyAlignment="1" applyProtection="1">
      <alignment horizontal="center"/>
    </xf>
    <xf numFmtId="0" fontId="67" fillId="0" borderId="2" xfId="0" applyFont="1" applyFill="1" applyBorder="1" applyAlignment="1" applyProtection="1">
      <alignment horizontal="center" vertical="center" wrapText="1"/>
    </xf>
    <xf numFmtId="0" fontId="70" fillId="4" borderId="0" xfId="82" applyFont="1" applyFill="1" applyBorder="1" applyAlignment="1" applyProtection="1">
      <alignment horizontal="right" vertical="center"/>
    </xf>
    <xf numFmtId="0" fontId="5" fillId="0" borderId="0" xfId="89" applyFont="1" applyFill="1" applyBorder="1" applyAlignment="1" applyProtection="1">
      <alignment horizontal="left"/>
      <protection locked="0"/>
    </xf>
    <xf numFmtId="0" fontId="66" fillId="4" borderId="0" xfId="0" applyFont="1" applyFill="1" applyBorder="1" applyAlignment="1" applyProtection="1">
      <alignment horizontal="justify" vertical="top"/>
      <protection locked="0"/>
    </xf>
    <xf numFmtId="0" fontId="66" fillId="4" borderId="105" xfId="0" applyFont="1" applyFill="1" applyBorder="1" applyAlignment="1" applyProtection="1">
      <alignment horizontal="justify" vertical="top"/>
      <protection locked="0"/>
    </xf>
    <xf numFmtId="0" fontId="5" fillId="4" borderId="0" xfId="82" applyFont="1" applyFill="1" applyBorder="1" applyAlignment="1" applyProtection="1">
      <alignment horizontal="left" vertical="center" wrapText="1"/>
    </xf>
    <xf numFmtId="194" fontId="5" fillId="4" borderId="0" xfId="82" applyNumberFormat="1" applyFont="1" applyFill="1" applyBorder="1" applyAlignment="1" applyProtection="1">
      <alignment horizontal="left" vertical="center" wrapText="1"/>
      <protection locked="0"/>
    </xf>
    <xf numFmtId="0" fontId="67" fillId="4" borderId="12" xfId="0" applyFont="1" applyFill="1" applyBorder="1" applyAlignment="1" applyProtection="1">
      <alignment horizontal="center" vertical="center"/>
    </xf>
    <xf numFmtId="0" fontId="67" fillId="4" borderId="12" xfId="0" applyFont="1" applyFill="1" applyBorder="1" applyAlignment="1" applyProtection="1">
      <alignment horizontal="left" vertical="center"/>
    </xf>
    <xf numFmtId="0" fontId="5" fillId="4" borderId="11" xfId="78" applyFont="1" applyFill="1" applyBorder="1" applyAlignment="1" applyProtection="1">
      <alignment horizontal="center"/>
    </xf>
    <xf numFmtId="0" fontId="5" fillId="4" borderId="12" xfId="78" applyFont="1" applyFill="1" applyBorder="1" applyAlignment="1" applyProtection="1">
      <alignment horizontal="center"/>
    </xf>
    <xf numFmtId="0" fontId="5" fillId="4" borderId="30" xfId="78" applyFont="1" applyFill="1" applyBorder="1" applyAlignment="1" applyProtection="1">
      <alignment horizontal="center"/>
    </xf>
    <xf numFmtId="0" fontId="5" fillId="4" borderId="26" xfId="78" applyFont="1" applyFill="1" applyBorder="1" applyAlignment="1" applyProtection="1">
      <alignment horizontal="center"/>
    </xf>
    <xf numFmtId="0" fontId="5" fillId="4" borderId="0" xfId="78" applyFont="1" applyFill="1" applyBorder="1" applyAlignment="1" applyProtection="1">
      <alignment horizontal="center"/>
    </xf>
    <xf numFmtId="0" fontId="5" fillId="4" borderId="31" xfId="78" applyFont="1" applyFill="1" applyBorder="1" applyAlignment="1" applyProtection="1">
      <alignment horizontal="center"/>
    </xf>
    <xf numFmtId="0" fontId="5" fillId="4" borderId="27" xfId="78" applyFont="1" applyFill="1" applyBorder="1" applyAlignment="1" applyProtection="1">
      <alignment horizontal="center"/>
    </xf>
    <xf numFmtId="0" fontId="5" fillId="4" borderId="5" xfId="78" applyFont="1" applyFill="1" applyBorder="1" applyAlignment="1" applyProtection="1">
      <alignment horizontal="center"/>
    </xf>
    <xf numFmtId="0" fontId="5" fillId="4" borderId="29" xfId="78" applyFont="1" applyFill="1" applyBorder="1" applyAlignment="1" applyProtection="1">
      <alignment horizontal="center"/>
    </xf>
    <xf numFmtId="0" fontId="42" fillId="4" borderId="11" xfId="78" applyFont="1" applyFill="1" applyBorder="1" applyAlignment="1" applyProtection="1">
      <alignment horizontal="center" vertical="center"/>
    </xf>
    <xf numFmtId="0" fontId="42" fillId="4" borderId="12" xfId="78" applyFont="1" applyFill="1" applyBorder="1" applyAlignment="1" applyProtection="1">
      <alignment horizontal="center" vertical="center"/>
    </xf>
    <xf numFmtId="0" fontId="42" fillId="4" borderId="30" xfId="78" applyFont="1" applyFill="1" applyBorder="1" applyAlignment="1" applyProtection="1">
      <alignment horizontal="center" vertical="center"/>
    </xf>
    <xf numFmtId="0" fontId="42" fillId="4" borderId="26" xfId="78" applyFont="1" applyFill="1" applyBorder="1" applyAlignment="1" applyProtection="1">
      <alignment horizontal="center" vertical="center" wrapText="1"/>
    </xf>
    <xf numFmtId="0" fontId="42" fillId="4" borderId="0" xfId="78" applyFont="1" applyFill="1" applyBorder="1" applyAlignment="1" applyProtection="1">
      <alignment horizontal="center" vertical="center" wrapText="1"/>
    </xf>
    <xf numFmtId="0" fontId="42" fillId="4" borderId="31" xfId="78" applyFont="1" applyFill="1" applyBorder="1" applyAlignment="1" applyProtection="1">
      <alignment horizontal="center" vertical="center" wrapText="1"/>
    </xf>
    <xf numFmtId="0" fontId="42" fillId="4" borderId="27" xfId="78" applyFont="1" applyFill="1" applyBorder="1" applyAlignment="1" applyProtection="1">
      <alignment horizontal="center" vertical="center" wrapText="1"/>
    </xf>
    <xf numFmtId="0" fontId="42" fillId="4" borderId="5" xfId="78" applyFont="1" applyFill="1" applyBorder="1" applyAlignment="1" applyProtection="1">
      <alignment horizontal="center" vertical="center" wrapText="1"/>
    </xf>
    <xf numFmtId="0" fontId="42" fillId="4" borderId="29" xfId="78" applyFont="1" applyFill="1" applyBorder="1" applyAlignment="1" applyProtection="1">
      <alignment horizontal="center" vertical="center" wrapText="1"/>
    </xf>
    <xf numFmtId="0" fontId="49" fillId="4" borderId="9" xfId="89" applyFont="1" applyFill="1" applyBorder="1" applyAlignment="1" applyProtection="1">
      <alignment horizontal="left" vertical="center" wrapText="1"/>
    </xf>
    <xf numFmtId="0" fontId="49" fillId="4" borderId="10" xfId="89" applyFont="1" applyFill="1" applyBorder="1" applyAlignment="1" applyProtection="1">
      <alignment horizontal="left" vertical="center" wrapText="1"/>
    </xf>
    <xf numFmtId="0" fontId="49" fillId="4" borderId="7" xfId="89" applyFont="1" applyFill="1" applyBorder="1" applyAlignment="1" applyProtection="1">
      <alignment horizontal="left" vertical="center" wrapText="1"/>
    </xf>
    <xf numFmtId="0" fontId="49" fillId="4" borderId="9" xfId="89" applyFont="1" applyFill="1" applyBorder="1" applyAlignment="1" applyProtection="1">
      <alignment horizontal="left" vertical="center"/>
    </xf>
    <xf numFmtId="0" fontId="49" fillId="4" borderId="10" xfId="89" applyFont="1" applyFill="1" applyBorder="1" applyAlignment="1" applyProtection="1">
      <alignment horizontal="left" vertical="center"/>
    </xf>
    <xf numFmtId="0" fontId="49" fillId="4" borderId="7" xfId="89" applyFont="1" applyFill="1" applyBorder="1" applyAlignment="1" applyProtection="1">
      <alignment horizontal="left" vertical="center"/>
    </xf>
    <xf numFmtId="0" fontId="8" fillId="4" borderId="11" xfId="78" applyFont="1" applyFill="1" applyBorder="1" applyAlignment="1" applyProtection="1">
      <alignment horizontal="left" vertical="center"/>
    </xf>
    <xf numFmtId="0" fontId="8" fillId="4" borderId="12" xfId="78" applyFont="1" applyFill="1" applyBorder="1" applyAlignment="1" applyProtection="1">
      <alignment horizontal="left" vertical="center"/>
    </xf>
    <xf numFmtId="0" fontId="7" fillId="4" borderId="12" xfId="78" applyFont="1" applyFill="1" applyBorder="1" applyAlignment="1" applyProtection="1">
      <alignment horizontal="left" vertical="center"/>
      <protection locked="0"/>
    </xf>
    <xf numFmtId="0" fontId="8" fillId="4" borderId="12" xfId="192" applyFont="1" applyFill="1" applyBorder="1" applyAlignment="1" applyProtection="1">
      <alignment vertical="center"/>
    </xf>
    <xf numFmtId="0" fontId="7" fillId="4" borderId="12" xfId="78" applyFont="1" applyFill="1" applyBorder="1" applyAlignment="1" applyProtection="1">
      <alignment vertical="center"/>
      <protection locked="0"/>
    </xf>
    <xf numFmtId="0" fontId="7" fillId="4" borderId="30" xfId="78" applyFont="1" applyFill="1" applyBorder="1" applyAlignment="1" applyProtection="1">
      <alignment vertical="center"/>
      <protection locked="0"/>
    </xf>
    <xf numFmtId="0" fontId="8" fillId="4" borderId="26" xfId="78" applyFont="1" applyFill="1" applyBorder="1" applyAlignment="1" applyProtection="1">
      <alignment horizontal="left" vertical="center"/>
    </xf>
    <xf numFmtId="0" fontId="8" fillId="4" borderId="0" xfId="78" applyFont="1" applyFill="1" applyBorder="1" applyAlignment="1" applyProtection="1">
      <alignment horizontal="left" vertical="center"/>
    </xf>
    <xf numFmtId="0" fontId="7" fillId="4" borderId="0" xfId="78" applyFont="1" applyFill="1" applyBorder="1" applyAlignment="1" applyProtection="1">
      <alignment vertical="center" wrapText="1"/>
      <protection locked="0"/>
    </xf>
    <xf numFmtId="0" fontId="8" fillId="4" borderId="0" xfId="78" applyFont="1" applyFill="1" applyBorder="1" applyAlignment="1" applyProtection="1">
      <alignment horizontal="left" vertical="center" wrapText="1"/>
    </xf>
    <xf numFmtId="0" fontId="7" fillId="4" borderId="0" xfId="78" applyFont="1" applyFill="1" applyBorder="1" applyAlignment="1" applyProtection="1">
      <alignment horizontal="left" vertical="top" wrapText="1"/>
      <protection locked="0"/>
    </xf>
    <xf numFmtId="0" fontId="8" fillId="4" borderId="0" xfId="192" applyFont="1" applyFill="1" applyBorder="1" applyAlignment="1" applyProtection="1">
      <alignment vertical="center"/>
    </xf>
    <xf numFmtId="0" fontId="7" fillId="4" borderId="31" xfId="78" applyFont="1" applyFill="1" applyBorder="1" applyAlignment="1" applyProtection="1">
      <alignment vertical="center" wrapText="1"/>
      <protection locked="0"/>
    </xf>
    <xf numFmtId="0" fontId="7" fillId="4" borderId="0" xfId="78" applyFont="1" applyFill="1" applyBorder="1" applyAlignment="1" applyProtection="1">
      <alignment horizontal="center" vertical="center" wrapText="1"/>
      <protection locked="0"/>
    </xf>
    <xf numFmtId="0" fontId="8" fillId="4" borderId="0" xfId="78" applyFont="1" applyFill="1" applyBorder="1" applyAlignment="1" applyProtection="1">
      <alignment vertical="center"/>
    </xf>
    <xf numFmtId="0" fontId="7" fillId="4" borderId="0" xfId="78" applyFont="1" applyFill="1" applyBorder="1" applyAlignment="1" applyProtection="1">
      <alignment horizontal="left" vertical="center"/>
      <protection locked="0"/>
    </xf>
    <xf numFmtId="0" fontId="7" fillId="4" borderId="31" xfId="78" applyFont="1" applyFill="1" applyBorder="1" applyAlignment="1" applyProtection="1">
      <alignment horizontal="left" vertical="center"/>
      <protection locked="0"/>
    </xf>
    <xf numFmtId="0" fontId="8" fillId="4" borderId="27" xfId="192" applyFont="1" applyFill="1" applyBorder="1" applyAlignment="1" applyProtection="1">
      <alignment horizontal="left" vertical="center"/>
    </xf>
    <xf numFmtId="0" fontId="8" fillId="4" borderId="5" xfId="192" applyFont="1" applyFill="1" applyBorder="1" applyAlignment="1" applyProtection="1">
      <alignment horizontal="left" vertical="center"/>
    </xf>
    <xf numFmtId="194" fontId="7" fillId="4" borderId="5" xfId="78" applyNumberFormat="1" applyFont="1" applyFill="1" applyBorder="1" applyAlignment="1" applyProtection="1">
      <alignment horizontal="left" vertical="center"/>
      <protection locked="0"/>
    </xf>
    <xf numFmtId="0" fontId="8" fillId="4" borderId="5" xfId="192" applyFont="1" applyFill="1" applyBorder="1" applyAlignment="1" applyProtection="1">
      <alignment vertical="center"/>
    </xf>
    <xf numFmtId="0" fontId="7" fillId="2" borderId="11" xfId="193" applyFont="1" applyFill="1" applyBorder="1" applyAlignment="1" applyProtection="1">
      <alignment horizontal="center" vertical="center"/>
    </xf>
    <xf numFmtId="0" fontId="7" fillId="2" borderId="12" xfId="193" applyFont="1" applyFill="1" applyBorder="1" applyAlignment="1" applyProtection="1">
      <alignment horizontal="center" vertical="center"/>
    </xf>
    <xf numFmtId="0" fontId="7" fillId="2" borderId="30" xfId="193" applyFont="1" applyFill="1" applyBorder="1" applyAlignment="1" applyProtection="1">
      <alignment horizontal="center" vertical="center"/>
    </xf>
    <xf numFmtId="1" fontId="7" fillId="2" borderId="11" xfId="193" applyNumberFormat="1" applyFont="1" applyFill="1" applyBorder="1" applyAlignment="1" applyProtection="1">
      <alignment horizontal="center" vertical="center"/>
    </xf>
    <xf numFmtId="1" fontId="7" fillId="2" borderId="12" xfId="193" applyNumberFormat="1" applyFont="1" applyFill="1" applyBorder="1" applyAlignment="1" applyProtection="1">
      <alignment horizontal="center" vertical="center"/>
    </xf>
    <xf numFmtId="1" fontId="7" fillId="2" borderId="30" xfId="193" applyNumberFormat="1" applyFont="1" applyFill="1" applyBorder="1" applyAlignment="1" applyProtection="1">
      <alignment horizontal="center" vertical="center"/>
    </xf>
    <xf numFmtId="1" fontId="48" fillId="0" borderId="52" xfId="193" applyNumberFormat="1" applyFont="1" applyFill="1" applyBorder="1" applyAlignment="1" applyProtection="1">
      <alignment horizontal="center"/>
      <protection locked="0"/>
    </xf>
    <xf numFmtId="1" fontId="48" fillId="0" borderId="53" xfId="193" applyNumberFormat="1" applyFont="1" applyFill="1" applyBorder="1" applyAlignment="1" applyProtection="1">
      <alignment horizontal="center"/>
      <protection locked="0"/>
    </xf>
    <xf numFmtId="1" fontId="48" fillId="0" borderId="54" xfId="193" applyNumberFormat="1" applyFont="1" applyFill="1" applyBorder="1" applyAlignment="1" applyProtection="1">
      <alignment horizontal="center"/>
      <protection locked="0"/>
    </xf>
    <xf numFmtId="1" fontId="48" fillId="0" borderId="55" xfId="193" applyNumberFormat="1" applyFont="1" applyFill="1" applyBorder="1" applyAlignment="1" applyProtection="1">
      <alignment horizontal="center"/>
      <protection locked="0"/>
    </xf>
    <xf numFmtId="1" fontId="48" fillId="0" borderId="56" xfId="193" applyNumberFormat="1" applyFont="1" applyFill="1" applyBorder="1" applyAlignment="1" applyProtection="1">
      <alignment horizontal="center"/>
      <protection locked="0"/>
    </xf>
    <xf numFmtId="170" fontId="48" fillId="0" borderId="60" xfId="193" applyNumberFormat="1" applyFont="1" applyFill="1" applyBorder="1" applyAlignment="1" applyProtection="1">
      <alignment horizontal="center"/>
      <protection locked="0"/>
    </xf>
    <xf numFmtId="170" fontId="48" fillId="0" borderId="61" xfId="193" applyNumberFormat="1" applyFont="1" applyFill="1" applyBorder="1" applyAlignment="1" applyProtection="1">
      <alignment horizontal="center"/>
      <protection locked="0"/>
    </xf>
    <xf numFmtId="170" fontId="48" fillId="0" borderId="62" xfId="193" applyNumberFormat="1" applyFont="1" applyFill="1" applyBorder="1" applyAlignment="1" applyProtection="1">
      <alignment horizontal="center"/>
      <protection locked="0"/>
    </xf>
    <xf numFmtId="170" fontId="48" fillId="0" borderId="63" xfId="193" applyNumberFormat="1" applyFont="1" applyFill="1" applyBorder="1" applyAlignment="1" applyProtection="1">
      <alignment horizontal="center"/>
      <protection locked="0"/>
    </xf>
    <xf numFmtId="170" fontId="48" fillId="0" borderId="64" xfId="193" applyNumberFormat="1" applyFont="1" applyFill="1" applyBorder="1" applyAlignment="1" applyProtection="1">
      <alignment horizontal="center"/>
      <protection locked="0"/>
    </xf>
    <xf numFmtId="0" fontId="5" fillId="0" borderId="7" xfId="193" applyBorder="1" applyAlignment="1" applyProtection="1">
      <alignment horizontal="center"/>
    </xf>
    <xf numFmtId="0" fontId="5" fillId="0" borderId="2" xfId="193" applyBorder="1" applyAlignment="1" applyProtection="1">
      <alignment horizontal="center"/>
    </xf>
    <xf numFmtId="170" fontId="48" fillId="0" borderId="57" xfId="193" applyNumberFormat="1" applyFont="1" applyFill="1" applyBorder="1" applyAlignment="1" applyProtection="1">
      <alignment horizontal="center"/>
    </xf>
    <xf numFmtId="170" fontId="48" fillId="0" borderId="58" xfId="193" applyNumberFormat="1" applyFont="1" applyFill="1" applyBorder="1" applyAlignment="1" applyProtection="1">
      <alignment horizontal="center"/>
    </xf>
    <xf numFmtId="170" fontId="48" fillId="0" borderId="65" xfId="193" applyNumberFormat="1" applyFont="1" applyFill="1" applyBorder="1" applyAlignment="1" applyProtection="1">
      <alignment horizontal="center"/>
    </xf>
    <xf numFmtId="170" fontId="48" fillId="0" borderId="63" xfId="193" applyNumberFormat="1" applyFont="1" applyFill="1" applyBorder="1" applyAlignment="1" applyProtection="1">
      <alignment horizontal="center"/>
    </xf>
    <xf numFmtId="170" fontId="48" fillId="0" borderId="61" xfId="193" applyNumberFormat="1" applyFont="1" applyFill="1" applyBorder="1" applyAlignment="1" applyProtection="1">
      <alignment horizontal="center"/>
    </xf>
    <xf numFmtId="170" fontId="48" fillId="0" borderId="64" xfId="193" applyNumberFormat="1" applyFont="1" applyFill="1" applyBorder="1" applyAlignment="1" applyProtection="1">
      <alignment horizontal="center"/>
    </xf>
    <xf numFmtId="170" fontId="48" fillId="4" borderId="61" xfId="193" applyNumberFormat="1" applyFont="1" applyFill="1" applyBorder="1" applyAlignment="1" applyProtection="1">
      <alignment horizontal="center"/>
      <protection locked="0"/>
    </xf>
    <xf numFmtId="170" fontId="48" fillId="4" borderId="62" xfId="193" applyNumberFormat="1" applyFont="1" applyFill="1" applyBorder="1" applyAlignment="1" applyProtection="1">
      <alignment horizontal="center"/>
      <protection locked="0"/>
    </xf>
    <xf numFmtId="170" fontId="48" fillId="4" borderId="63" xfId="193" applyNumberFormat="1" applyFont="1" applyFill="1" applyBorder="1" applyAlignment="1" applyProtection="1">
      <alignment horizontal="center"/>
      <protection locked="0"/>
    </xf>
    <xf numFmtId="175" fontId="48" fillId="4" borderId="60" xfId="193" applyNumberFormat="1" applyFont="1" applyFill="1" applyBorder="1" applyAlignment="1" applyProtection="1">
      <alignment horizontal="center"/>
    </xf>
    <xf numFmtId="175" fontId="48" fillId="4" borderId="61" xfId="193" applyNumberFormat="1" applyFont="1" applyFill="1" applyBorder="1" applyAlignment="1" applyProtection="1">
      <alignment horizontal="center"/>
    </xf>
    <xf numFmtId="175" fontId="48" fillId="4" borderId="62" xfId="193" applyNumberFormat="1" applyFont="1" applyFill="1" applyBorder="1" applyAlignment="1" applyProtection="1">
      <alignment horizontal="center"/>
    </xf>
    <xf numFmtId="175" fontId="48" fillId="4" borderId="63" xfId="193" applyNumberFormat="1" applyFont="1" applyFill="1" applyBorder="1" applyAlignment="1" applyProtection="1">
      <alignment horizontal="center"/>
    </xf>
    <xf numFmtId="175" fontId="48" fillId="4" borderId="64" xfId="193" applyNumberFormat="1" applyFont="1" applyFill="1" applyBorder="1" applyAlignment="1" applyProtection="1">
      <alignment horizontal="center"/>
    </xf>
    <xf numFmtId="170" fontId="48" fillId="4" borderId="60" xfId="193" applyNumberFormat="1" applyFont="1" applyFill="1" applyBorder="1" applyAlignment="1" applyProtection="1">
      <alignment horizontal="center"/>
    </xf>
    <xf numFmtId="170" fontId="48" fillId="4" borderId="61" xfId="193" applyNumberFormat="1" applyFont="1" applyFill="1" applyBorder="1" applyAlignment="1" applyProtection="1">
      <alignment horizontal="center"/>
    </xf>
    <xf numFmtId="170" fontId="48" fillId="4" borderId="62" xfId="193" applyNumberFormat="1" applyFont="1" applyFill="1" applyBorder="1" applyAlignment="1" applyProtection="1">
      <alignment horizontal="center"/>
    </xf>
    <xf numFmtId="170" fontId="48" fillId="4" borderId="63" xfId="193" applyNumberFormat="1" applyFont="1" applyFill="1" applyBorder="1" applyAlignment="1" applyProtection="1">
      <alignment horizontal="center"/>
    </xf>
    <xf numFmtId="170" fontId="48" fillId="4" borderId="64" xfId="193" applyNumberFormat="1" applyFont="1" applyFill="1" applyBorder="1" applyAlignment="1" applyProtection="1">
      <alignment horizontal="center"/>
    </xf>
    <xf numFmtId="170" fontId="48" fillId="0" borderId="60" xfId="108" applyNumberFormat="1" applyFont="1" applyFill="1" applyBorder="1" applyAlignment="1" applyProtection="1">
      <alignment horizontal="center"/>
    </xf>
    <xf numFmtId="170" fontId="48" fillId="0" borderId="61" xfId="108" applyNumberFormat="1" applyFont="1" applyFill="1" applyBorder="1" applyAlignment="1" applyProtection="1">
      <alignment horizontal="center"/>
    </xf>
    <xf numFmtId="170" fontId="48" fillId="0" borderId="62" xfId="108" applyNumberFormat="1" applyFont="1" applyFill="1" applyBorder="1" applyAlignment="1" applyProtection="1">
      <alignment horizontal="center"/>
    </xf>
    <xf numFmtId="170" fontId="48" fillId="0" borderId="63" xfId="108" applyNumberFormat="1" applyFont="1" applyFill="1" applyBorder="1" applyAlignment="1" applyProtection="1">
      <alignment horizontal="center"/>
    </xf>
    <xf numFmtId="170" fontId="48" fillId="0" borderId="64" xfId="108" applyNumberFormat="1" applyFont="1" applyFill="1" applyBorder="1" applyAlignment="1" applyProtection="1">
      <alignment horizontal="center"/>
    </xf>
    <xf numFmtId="175" fontId="48" fillId="0" borderId="60" xfId="193" applyNumberFormat="1" applyFont="1" applyFill="1" applyBorder="1" applyAlignment="1" applyProtection="1">
      <alignment horizontal="center"/>
      <protection locked="0"/>
    </xf>
    <xf numFmtId="175" fontId="48" fillId="0" borderId="61" xfId="193" applyNumberFormat="1" applyFont="1" applyFill="1" applyBorder="1" applyAlignment="1" applyProtection="1">
      <alignment horizontal="center"/>
      <protection locked="0"/>
    </xf>
    <xf numFmtId="175" fontId="48" fillId="0" borderId="61" xfId="193" applyNumberFormat="1" applyFont="1" applyFill="1" applyBorder="1" applyAlignment="1" applyProtection="1">
      <alignment horizontal="center"/>
    </xf>
    <xf numFmtId="175" fontId="48" fillId="0" borderId="62" xfId="193" applyNumberFormat="1" applyFont="1" applyFill="1" applyBorder="1" applyAlignment="1" applyProtection="1">
      <alignment horizontal="center"/>
    </xf>
    <xf numFmtId="175" fontId="48" fillId="0" borderId="63" xfId="193" applyNumberFormat="1" applyFont="1" applyFill="1" applyBorder="1" applyAlignment="1" applyProtection="1">
      <alignment horizontal="center"/>
    </xf>
    <xf numFmtId="175" fontId="48" fillId="0" borderId="64" xfId="193" applyNumberFormat="1" applyFont="1" applyFill="1" applyBorder="1" applyAlignment="1" applyProtection="1">
      <alignment horizontal="center"/>
    </xf>
    <xf numFmtId="0" fontId="7" fillId="5" borderId="66" xfId="192" applyFont="1" applyFill="1" applyBorder="1" applyAlignment="1" applyProtection="1">
      <alignment horizontal="center" vertical="center"/>
    </xf>
    <xf numFmtId="0" fontId="7" fillId="5" borderId="67" xfId="192" applyFont="1" applyFill="1" applyBorder="1" applyAlignment="1" applyProtection="1">
      <alignment horizontal="center" vertical="center"/>
    </xf>
    <xf numFmtId="0" fontId="7" fillId="5" borderId="68" xfId="192" applyFont="1" applyFill="1" applyBorder="1" applyAlignment="1" applyProtection="1">
      <alignment horizontal="center" vertical="center"/>
    </xf>
    <xf numFmtId="0" fontId="7" fillId="5" borderId="49" xfId="192" applyFont="1" applyFill="1" applyBorder="1" applyAlignment="1" applyProtection="1">
      <alignment horizontal="center" vertical="center"/>
    </xf>
    <xf numFmtId="0" fontId="7" fillId="5" borderId="50" xfId="192" applyFont="1" applyFill="1" applyBorder="1" applyAlignment="1" applyProtection="1">
      <alignment horizontal="center" vertical="center"/>
    </xf>
    <xf numFmtId="0" fontId="7" fillId="5" borderId="69" xfId="192" applyFont="1" applyFill="1" applyBorder="1" applyAlignment="1" applyProtection="1">
      <alignment horizontal="center" vertical="center"/>
    </xf>
    <xf numFmtId="2" fontId="48" fillId="4" borderId="63" xfId="193" applyNumberFormat="1" applyFont="1" applyFill="1" applyBorder="1" applyAlignment="1" applyProtection="1">
      <alignment horizontal="center"/>
      <protection locked="0"/>
    </xf>
    <xf numFmtId="2" fontId="48" fillId="4" borderId="61" xfId="193" applyNumberFormat="1" applyFont="1" applyFill="1" applyBorder="1" applyAlignment="1" applyProtection="1">
      <alignment horizontal="center"/>
      <protection locked="0"/>
    </xf>
    <xf numFmtId="2" fontId="48" fillId="4" borderId="64" xfId="193" applyNumberFormat="1" applyFont="1" applyFill="1" applyBorder="1" applyAlignment="1" applyProtection="1">
      <alignment horizontal="center"/>
      <protection locked="0"/>
    </xf>
    <xf numFmtId="1" fontId="48" fillId="4" borderId="63" xfId="193" applyNumberFormat="1" applyFont="1" applyFill="1" applyBorder="1" applyAlignment="1" applyProtection="1">
      <alignment horizontal="center"/>
    </xf>
    <xf numFmtId="1" fontId="48" fillId="4" borderId="61" xfId="193" applyNumberFormat="1" applyFont="1" applyFill="1" applyBorder="1" applyAlignment="1" applyProtection="1">
      <alignment horizontal="center"/>
    </xf>
    <xf numFmtId="1" fontId="48" fillId="4" borderId="64" xfId="193" applyNumberFormat="1" applyFont="1" applyFill="1" applyBorder="1" applyAlignment="1" applyProtection="1">
      <alignment horizontal="center"/>
    </xf>
    <xf numFmtId="170" fontId="48" fillId="0" borderId="60" xfId="193" applyNumberFormat="1" applyFont="1" applyFill="1" applyBorder="1" applyAlignment="1" applyProtection="1">
      <alignment horizontal="center"/>
    </xf>
    <xf numFmtId="170" fontId="48" fillId="0" borderId="62" xfId="193" applyNumberFormat="1" applyFont="1" applyFill="1" applyBorder="1" applyAlignment="1" applyProtection="1">
      <alignment horizontal="center"/>
    </xf>
    <xf numFmtId="0" fontId="7" fillId="4" borderId="57" xfId="193" applyFont="1" applyFill="1" applyBorder="1" applyAlignment="1" applyProtection="1">
      <alignment horizontal="left"/>
    </xf>
    <xf numFmtId="0" fontId="7" fillId="4" borderId="58" xfId="193" applyFont="1" applyFill="1" applyBorder="1" applyAlignment="1" applyProtection="1">
      <alignment horizontal="left"/>
    </xf>
    <xf numFmtId="170" fontId="51" fillId="4" borderId="60" xfId="193" applyNumberFormat="1" applyFont="1" applyFill="1" applyBorder="1" applyAlignment="1" applyProtection="1">
      <alignment horizontal="center"/>
    </xf>
    <xf numFmtId="170" fontId="51" fillId="4" borderId="61" xfId="193" applyNumberFormat="1" applyFont="1" applyFill="1" applyBorder="1" applyAlignment="1" applyProtection="1">
      <alignment horizontal="center"/>
    </xf>
    <xf numFmtId="170" fontId="51" fillId="4" borderId="62" xfId="193" applyNumberFormat="1" applyFont="1" applyFill="1" applyBorder="1" applyAlignment="1" applyProtection="1">
      <alignment horizontal="center"/>
    </xf>
    <xf numFmtId="170" fontId="51" fillId="4" borderId="63" xfId="193" applyNumberFormat="1" applyFont="1" applyFill="1" applyBorder="1" applyAlignment="1" applyProtection="1">
      <alignment horizontal="center"/>
    </xf>
    <xf numFmtId="170" fontId="51" fillId="4" borderId="64" xfId="193" applyNumberFormat="1" applyFont="1" applyFill="1" applyBorder="1" applyAlignment="1" applyProtection="1">
      <alignment horizontal="center"/>
    </xf>
    <xf numFmtId="0" fontId="7" fillId="4" borderId="70" xfId="193" applyFont="1" applyFill="1" applyBorder="1" applyAlignment="1" applyProtection="1">
      <alignment horizontal="left"/>
    </xf>
    <xf numFmtId="0" fontId="7" fillId="4" borderId="71" xfId="193" applyFont="1" applyFill="1" applyBorder="1" applyAlignment="1" applyProtection="1">
      <alignment horizontal="left"/>
    </xf>
    <xf numFmtId="170" fontId="51" fillId="4" borderId="72" xfId="193" applyNumberFormat="1" applyFont="1" applyFill="1" applyBorder="1" applyAlignment="1" applyProtection="1">
      <alignment horizontal="center"/>
    </xf>
    <xf numFmtId="170" fontId="51" fillId="4" borderId="73" xfId="193" applyNumberFormat="1" applyFont="1" applyFill="1" applyBorder="1" applyAlignment="1" applyProtection="1">
      <alignment horizontal="center"/>
    </xf>
    <xf numFmtId="170" fontId="51" fillId="4" borderId="74" xfId="193" applyNumberFormat="1" applyFont="1" applyFill="1" applyBorder="1" applyAlignment="1" applyProtection="1">
      <alignment horizontal="center"/>
    </xf>
    <xf numFmtId="170" fontId="51" fillId="4" borderId="75" xfId="193" applyNumberFormat="1" applyFont="1" applyFill="1" applyBorder="1" applyAlignment="1" applyProtection="1">
      <alignment horizontal="center"/>
    </xf>
    <xf numFmtId="170" fontId="51" fillId="4" borderId="76" xfId="193" applyNumberFormat="1" applyFont="1" applyFill="1" applyBorder="1" applyAlignment="1" applyProtection="1">
      <alignment horizontal="center"/>
    </xf>
    <xf numFmtId="0" fontId="7" fillId="4" borderId="59" xfId="193" applyFont="1" applyFill="1" applyBorder="1" applyAlignment="1" applyProtection="1">
      <alignment horizontal="left"/>
    </xf>
    <xf numFmtId="175" fontId="51" fillId="4" borderId="60" xfId="193" applyNumberFormat="1" applyFont="1" applyFill="1" applyBorder="1" applyAlignment="1" applyProtection="1">
      <alignment horizontal="center"/>
    </xf>
    <xf numFmtId="175" fontId="51" fillId="4" borderId="61" xfId="193" applyNumberFormat="1" applyFont="1" applyFill="1" applyBorder="1" applyAlignment="1" applyProtection="1">
      <alignment horizontal="center"/>
    </xf>
    <xf numFmtId="175" fontId="51" fillId="4" borderId="62" xfId="193" applyNumberFormat="1" applyFont="1" applyFill="1" applyBorder="1" applyAlignment="1" applyProtection="1">
      <alignment horizontal="center"/>
    </xf>
    <xf numFmtId="175" fontId="51" fillId="4" borderId="63" xfId="193" applyNumberFormat="1" applyFont="1" applyFill="1" applyBorder="1" applyAlignment="1" applyProtection="1">
      <alignment horizontal="center"/>
    </xf>
    <xf numFmtId="175" fontId="51" fillId="4" borderId="64" xfId="193" applyNumberFormat="1" applyFont="1" applyFill="1" applyBorder="1" applyAlignment="1" applyProtection="1">
      <alignment horizontal="center"/>
    </xf>
    <xf numFmtId="0" fontId="7" fillId="2" borderId="11" xfId="193" applyFont="1" applyFill="1" applyBorder="1" applyAlignment="1" applyProtection="1">
      <alignment horizontal="left" vertical="center"/>
    </xf>
    <xf numFmtId="0" fontId="7" fillId="2" borderId="12" xfId="193" applyFont="1" applyFill="1" applyBorder="1" applyAlignment="1" applyProtection="1">
      <alignment horizontal="left" vertical="center"/>
    </xf>
    <xf numFmtId="0" fontId="7" fillId="2" borderId="30" xfId="193" applyFont="1" applyFill="1" applyBorder="1" applyAlignment="1" applyProtection="1">
      <alignment horizontal="left" vertical="center"/>
    </xf>
    <xf numFmtId="0" fontId="7" fillId="2" borderId="11" xfId="193" applyFont="1" applyFill="1" applyBorder="1" applyAlignment="1" applyProtection="1">
      <alignment horizontal="center" vertical="center" wrapText="1"/>
    </xf>
    <xf numFmtId="0" fontId="7" fillId="2" borderId="12" xfId="193" applyFont="1" applyFill="1" applyBorder="1" applyAlignment="1" applyProtection="1">
      <alignment horizontal="center" vertical="center" wrapText="1"/>
    </xf>
    <xf numFmtId="0" fontId="7" fillId="2" borderId="30" xfId="193" applyFont="1" applyFill="1" applyBorder="1" applyAlignment="1" applyProtection="1">
      <alignment horizontal="center" vertical="center" wrapText="1"/>
    </xf>
    <xf numFmtId="0" fontId="5" fillId="0" borderId="9" xfId="193" applyBorder="1" applyAlignment="1" applyProtection="1">
      <alignment horizontal="center"/>
    </xf>
    <xf numFmtId="0" fontId="5" fillId="0" borderId="10" xfId="193" applyBorder="1" applyAlignment="1" applyProtection="1">
      <alignment horizontal="center"/>
    </xf>
    <xf numFmtId="0" fontId="7" fillId="5" borderId="52" xfId="192" applyFont="1" applyFill="1" applyBorder="1" applyAlignment="1" applyProtection="1">
      <alignment horizontal="center" vertical="center"/>
    </xf>
    <xf numFmtId="0" fontId="7" fillId="5" borderId="53" xfId="192" applyFont="1" applyFill="1" applyBorder="1" applyAlignment="1" applyProtection="1">
      <alignment horizontal="center" vertical="center"/>
    </xf>
    <xf numFmtId="0" fontId="7" fillId="5" borderId="56" xfId="192" applyFont="1" applyFill="1" applyBorder="1" applyAlignment="1" applyProtection="1">
      <alignment horizontal="center" vertical="center"/>
    </xf>
    <xf numFmtId="170" fontId="48" fillId="0" borderId="77" xfId="193" applyNumberFormat="1" applyFont="1" applyFill="1" applyBorder="1" applyAlignment="1" applyProtection="1">
      <alignment horizontal="center"/>
    </xf>
    <xf numFmtId="1" fontId="48" fillId="4" borderId="60" xfId="193" applyNumberFormat="1" applyFont="1" applyFill="1" applyBorder="1" applyAlignment="1" applyProtection="1">
      <alignment horizontal="center"/>
    </xf>
    <xf numFmtId="1" fontId="48" fillId="4" borderId="62" xfId="193" applyNumberFormat="1" applyFont="1" applyFill="1" applyBorder="1" applyAlignment="1" applyProtection="1">
      <alignment horizontal="center"/>
    </xf>
    <xf numFmtId="0" fontId="7" fillId="5" borderId="79" xfId="192" applyFont="1" applyFill="1" applyBorder="1" applyAlignment="1" applyProtection="1">
      <alignment horizontal="center" vertical="center"/>
    </xf>
    <xf numFmtId="0" fontId="7" fillId="5" borderId="80" xfId="192" applyFont="1" applyFill="1" applyBorder="1" applyAlignment="1" applyProtection="1">
      <alignment horizontal="center" vertical="center"/>
    </xf>
    <xf numFmtId="170" fontId="51" fillId="4" borderId="63" xfId="108" applyNumberFormat="1" applyFont="1" applyFill="1" applyBorder="1" applyAlignment="1" applyProtection="1">
      <alignment horizontal="center"/>
    </xf>
    <xf numFmtId="170" fontId="51" fillId="4" borderId="61" xfId="108" applyNumberFormat="1" applyFont="1" applyFill="1" applyBorder="1" applyAlignment="1" applyProtection="1">
      <alignment horizontal="center"/>
    </xf>
    <xf numFmtId="170" fontId="51" fillId="4" borderId="64" xfId="108" applyNumberFormat="1" applyFont="1" applyFill="1" applyBorder="1" applyAlignment="1" applyProtection="1">
      <alignment horizontal="center"/>
    </xf>
    <xf numFmtId="0" fontId="7" fillId="5" borderId="26" xfId="192" applyFont="1" applyFill="1" applyBorder="1" applyAlignment="1" applyProtection="1">
      <alignment horizontal="center" vertical="center"/>
    </xf>
    <xf numFmtId="0" fontId="7" fillId="5" borderId="0" xfId="192" applyFont="1" applyFill="1" applyBorder="1" applyAlignment="1" applyProtection="1">
      <alignment horizontal="center" vertical="center"/>
    </xf>
    <xf numFmtId="0" fontId="7" fillId="5" borderId="78" xfId="192" applyFont="1" applyFill="1" applyBorder="1" applyAlignment="1" applyProtection="1">
      <alignment horizontal="center" vertical="center"/>
    </xf>
    <xf numFmtId="1" fontId="48" fillId="0" borderId="63" xfId="193" applyNumberFormat="1" applyFont="1" applyFill="1" applyBorder="1" applyAlignment="1" applyProtection="1">
      <alignment horizontal="center"/>
    </xf>
    <xf numFmtId="1" fontId="48" fillId="0" borderId="61" xfId="193" applyNumberFormat="1" applyFont="1" applyFill="1" applyBorder="1" applyAlignment="1" applyProtection="1">
      <alignment horizontal="center"/>
    </xf>
    <xf numFmtId="1" fontId="48" fillId="0" borderId="64" xfId="193" applyNumberFormat="1" applyFont="1" applyFill="1" applyBorder="1" applyAlignment="1" applyProtection="1">
      <alignment horizontal="center"/>
    </xf>
    <xf numFmtId="170" fontId="48" fillId="4" borderId="63" xfId="108" applyNumberFormat="1" applyFont="1" applyFill="1" applyBorder="1" applyAlignment="1" applyProtection="1">
      <alignment horizontal="center"/>
    </xf>
    <xf numFmtId="170" fontId="48" fillId="4" borderId="61" xfId="108" applyNumberFormat="1" applyFont="1" applyFill="1" applyBorder="1" applyAlignment="1" applyProtection="1">
      <alignment horizontal="center"/>
    </xf>
    <xf numFmtId="170" fontId="48" fillId="4" borderId="64" xfId="108" applyNumberFormat="1" applyFont="1" applyFill="1" applyBorder="1" applyAlignment="1" applyProtection="1">
      <alignment horizontal="center"/>
    </xf>
    <xf numFmtId="0" fontId="7" fillId="4" borderId="66" xfId="193" applyFont="1" applyFill="1" applyBorder="1" applyAlignment="1" applyProtection="1">
      <alignment horizontal="left"/>
    </xf>
    <xf numFmtId="0" fontId="7" fillId="4" borderId="67" xfId="193" applyFont="1" applyFill="1" applyBorder="1" applyAlignment="1" applyProtection="1">
      <alignment horizontal="left"/>
    </xf>
    <xf numFmtId="170" fontId="52" fillId="4" borderId="86" xfId="108" applyNumberFormat="1" applyFont="1" applyFill="1" applyBorder="1" applyAlignment="1" applyProtection="1">
      <alignment horizontal="center"/>
    </xf>
    <xf numFmtId="170" fontId="52" fillId="4" borderId="87" xfId="108" applyNumberFormat="1" applyFont="1" applyFill="1" applyBorder="1" applyAlignment="1" applyProtection="1">
      <alignment horizontal="center"/>
    </xf>
    <xf numFmtId="170" fontId="52" fillId="4" borderId="88" xfId="108" applyNumberFormat="1" applyFont="1" applyFill="1" applyBorder="1" applyAlignment="1" applyProtection="1">
      <alignment horizontal="center"/>
    </xf>
    <xf numFmtId="0" fontId="7" fillId="4" borderId="50" xfId="193" applyFont="1" applyFill="1" applyBorder="1" applyAlignment="1" applyProtection="1">
      <alignment horizontal="right"/>
    </xf>
    <xf numFmtId="0" fontId="7" fillId="4" borderId="51" xfId="193" applyFont="1" applyFill="1" applyBorder="1" applyAlignment="1" applyProtection="1">
      <alignment horizontal="right"/>
    </xf>
    <xf numFmtId="170" fontId="52" fillId="4" borderId="27" xfId="108" applyNumberFormat="1" applyFont="1" applyFill="1" applyBorder="1" applyAlignment="1" applyProtection="1">
      <alignment horizontal="center"/>
    </xf>
    <xf numFmtId="170" fontId="52" fillId="4" borderId="5" xfId="108" applyNumberFormat="1" applyFont="1" applyFill="1" applyBorder="1" applyAlignment="1" applyProtection="1">
      <alignment horizontal="center"/>
    </xf>
    <xf numFmtId="170" fontId="52" fillId="4" borderId="29" xfId="108" applyNumberFormat="1" applyFont="1" applyFill="1" applyBorder="1" applyAlignment="1" applyProtection="1">
      <alignment horizontal="center"/>
    </xf>
    <xf numFmtId="0" fontId="51" fillId="4" borderId="52" xfId="193" applyFont="1" applyFill="1" applyBorder="1" applyAlignment="1" applyProtection="1">
      <alignment horizontal="center"/>
    </xf>
    <xf numFmtId="0" fontId="51" fillId="4" borderId="53" xfId="193" applyFont="1" applyFill="1" applyBorder="1" applyAlignment="1" applyProtection="1">
      <alignment horizontal="center"/>
    </xf>
    <xf numFmtId="0" fontId="52" fillId="4" borderId="53" xfId="193" applyFont="1" applyFill="1" applyBorder="1" applyAlignment="1" applyProtection="1">
      <alignment horizontal="center"/>
    </xf>
    <xf numFmtId="171" fontId="52" fillId="4" borderId="53" xfId="108" applyNumberFormat="1" applyFont="1" applyFill="1" applyBorder="1" applyAlignment="1" applyProtection="1">
      <alignment horizontal="center"/>
    </xf>
    <xf numFmtId="0" fontId="51" fillId="5" borderId="53" xfId="192" applyFont="1" applyFill="1" applyBorder="1" applyAlignment="1" applyProtection="1">
      <alignment horizontal="center" vertical="center"/>
    </xf>
    <xf numFmtId="0" fontId="51" fillId="5" borderId="56" xfId="192" applyFont="1" applyFill="1" applyBorder="1" applyAlignment="1" applyProtection="1">
      <alignment horizontal="center" vertical="center"/>
    </xf>
    <xf numFmtId="0" fontId="51" fillId="5" borderId="57" xfId="192" applyFont="1" applyFill="1" applyBorder="1" applyAlignment="1" applyProtection="1">
      <alignment horizontal="center" vertical="center"/>
    </xf>
    <xf numFmtId="0" fontId="51" fillId="5" borderId="58" xfId="192" applyFont="1" applyFill="1" applyBorder="1" applyAlignment="1" applyProtection="1">
      <alignment horizontal="center" vertical="center"/>
    </xf>
    <xf numFmtId="170" fontId="51" fillId="4" borderId="81" xfId="108" applyNumberFormat="1" applyFont="1" applyFill="1" applyBorder="1" applyAlignment="1" applyProtection="1">
      <alignment horizontal="center"/>
    </xf>
    <xf numFmtId="170" fontId="51" fillId="4" borderId="82" xfId="108" applyNumberFormat="1" applyFont="1" applyFill="1" applyBorder="1" applyAlignment="1" applyProtection="1">
      <alignment horizontal="center"/>
    </xf>
    <xf numFmtId="170" fontId="51" fillId="4" borderId="83" xfId="108" applyNumberFormat="1" applyFont="1" applyFill="1" applyBorder="1" applyAlignment="1" applyProtection="1">
      <alignment horizontal="center"/>
    </xf>
    <xf numFmtId="0" fontId="51" fillId="5" borderId="84" xfId="192" applyFont="1" applyFill="1" applyBorder="1" applyAlignment="1" applyProtection="1">
      <alignment horizontal="center" vertical="center"/>
    </xf>
    <xf numFmtId="0" fontId="51" fillId="5" borderId="82" xfId="192" applyFont="1" applyFill="1" applyBorder="1" applyAlignment="1" applyProtection="1">
      <alignment horizontal="center" vertical="center"/>
    </xf>
    <xf numFmtId="0" fontId="51" fillId="5" borderId="85" xfId="192" applyFont="1" applyFill="1" applyBorder="1" applyAlignment="1" applyProtection="1">
      <alignment horizontal="center" vertical="center"/>
    </xf>
    <xf numFmtId="0" fontId="8" fillId="4" borderId="11" xfId="82" applyFont="1" applyFill="1" applyBorder="1" applyAlignment="1" applyProtection="1">
      <alignment horizontal="left" vertical="top" wrapText="1"/>
    </xf>
    <xf numFmtId="0" fontId="8" fillId="4" borderId="12" xfId="82" applyFont="1" applyFill="1" applyBorder="1" applyAlignment="1" applyProtection="1">
      <alignment horizontal="left" vertical="top" wrapText="1"/>
    </xf>
    <xf numFmtId="0" fontId="8" fillId="4" borderId="30" xfId="82" applyFont="1" applyFill="1" applyBorder="1" applyAlignment="1" applyProtection="1">
      <alignment horizontal="left" vertical="top" wrapText="1"/>
    </xf>
    <xf numFmtId="0" fontId="42" fillId="3" borderId="11" xfId="150" applyFont="1" applyFill="1" applyBorder="1" applyAlignment="1" applyProtection="1">
      <alignment horizontal="center" vertical="center"/>
    </xf>
    <xf numFmtId="0" fontId="42" fillId="3" borderId="12" xfId="150" applyFont="1" applyFill="1" applyBorder="1" applyAlignment="1" applyProtection="1">
      <alignment horizontal="center" vertical="center"/>
    </xf>
    <xf numFmtId="0" fontId="42" fillId="3" borderId="30" xfId="150" applyFont="1" applyFill="1" applyBorder="1" applyAlignment="1" applyProtection="1">
      <alignment horizontal="center" vertical="center"/>
    </xf>
    <xf numFmtId="0" fontId="5" fillId="0" borderId="26" xfId="89" applyFont="1" applyFill="1" applyBorder="1" applyAlignment="1" applyProtection="1">
      <alignment horizontal="center" vertical="center"/>
    </xf>
    <xf numFmtId="0" fontId="5" fillId="0" borderId="0" xfId="89" applyFont="1" applyFill="1" applyBorder="1" applyAlignment="1" applyProtection="1">
      <alignment horizontal="center" vertical="center"/>
    </xf>
    <xf numFmtId="0" fontId="5" fillId="0" borderId="31" xfId="89" applyFont="1" applyFill="1" applyBorder="1" applyAlignment="1" applyProtection="1">
      <alignment horizontal="center" vertical="center"/>
    </xf>
    <xf numFmtId="0" fontId="5" fillId="0" borderId="26" xfId="89" applyFont="1" applyFill="1" applyBorder="1" applyAlignment="1" applyProtection="1">
      <alignment vertical="center"/>
    </xf>
    <xf numFmtId="0" fontId="5" fillId="0" borderId="0" xfId="89" applyFont="1" applyFill="1" applyBorder="1" applyAlignment="1" applyProtection="1">
      <alignment vertical="center"/>
    </xf>
    <xf numFmtId="0" fontId="5" fillId="0" borderId="31" xfId="89" applyFont="1" applyFill="1" applyBorder="1" applyAlignment="1" applyProtection="1">
      <alignment vertical="center"/>
    </xf>
    <xf numFmtId="0" fontId="51" fillId="4" borderId="81" xfId="193" applyFont="1" applyFill="1" applyBorder="1" applyAlignment="1" applyProtection="1">
      <alignment horizontal="center"/>
    </xf>
    <xf numFmtId="0" fontId="51" fillId="4" borderId="82" xfId="193" applyFont="1" applyFill="1" applyBorder="1" applyAlignment="1" applyProtection="1">
      <alignment horizontal="center"/>
    </xf>
    <xf numFmtId="9" fontId="52" fillId="4" borderId="82" xfId="108" applyFont="1" applyFill="1" applyBorder="1" applyAlignment="1" applyProtection="1">
      <alignment horizontal="center"/>
    </xf>
    <xf numFmtId="171" fontId="52" fillId="4" borderId="82" xfId="108" applyNumberFormat="1" applyFont="1" applyFill="1" applyBorder="1" applyAlignment="1" applyProtection="1">
      <alignment horizontal="center"/>
    </xf>
    <xf numFmtId="171" fontId="52" fillId="4" borderId="85" xfId="108" applyNumberFormat="1" applyFont="1" applyFill="1" applyBorder="1" applyAlignment="1" applyProtection="1">
      <alignment horizontal="center"/>
    </xf>
    <xf numFmtId="0" fontId="58" fillId="3" borderId="90" xfId="150" applyFont="1" applyFill="1" applyBorder="1" applyAlignment="1" applyProtection="1">
      <alignment horizontal="center" vertical="center"/>
    </xf>
    <xf numFmtId="0" fontId="58" fillId="3" borderId="91" xfId="150" applyFont="1" applyFill="1" applyBorder="1" applyAlignment="1" applyProtection="1">
      <alignment horizontal="center" vertical="center"/>
    </xf>
    <xf numFmtId="0" fontId="58" fillId="3" borderId="92" xfId="150" applyFont="1" applyFill="1" applyBorder="1" applyAlignment="1" applyProtection="1">
      <alignment horizontal="center" vertical="center"/>
    </xf>
    <xf numFmtId="0" fontId="46" fillId="0" borderId="37" xfId="149" applyFont="1" applyBorder="1" applyAlignment="1" applyProtection="1">
      <alignment horizontal="center" wrapText="1"/>
    </xf>
    <xf numFmtId="0" fontId="46" fillId="0" borderId="48" xfId="151" applyFont="1" applyFill="1" applyBorder="1" applyAlignment="1" applyProtection="1">
      <alignment horizontal="center" vertical="center" wrapText="1"/>
    </xf>
    <xf numFmtId="0" fontId="43" fillId="0" borderId="26" xfId="89" quotePrefix="1" applyFont="1" applyFill="1" applyBorder="1" applyAlignment="1" applyProtection="1">
      <alignment horizontal="center" vertical="center"/>
      <protection locked="0"/>
    </xf>
    <xf numFmtId="0" fontId="43" fillId="0" borderId="0" xfId="89" applyFont="1" applyFill="1" applyBorder="1" applyAlignment="1" applyProtection="1">
      <alignment horizontal="center" vertical="center"/>
      <protection locked="0"/>
    </xf>
    <xf numFmtId="0" fontId="43" fillId="0" borderId="31" xfId="89" applyFont="1" applyFill="1" applyBorder="1" applyAlignment="1" applyProtection="1">
      <alignment horizontal="center" vertical="center"/>
      <protection locked="0"/>
    </xf>
    <xf numFmtId="0" fontId="43" fillId="0" borderId="26" xfId="89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24" fillId="0" borderId="9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175" fontId="24" fillId="0" borderId="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75" fontId="23" fillId="0" borderId="9" xfId="0" applyNumberFormat="1" applyFont="1" applyBorder="1" applyAlignment="1">
      <alignment horizontal="center" vertical="center"/>
    </xf>
    <xf numFmtId="175" fontId="23" fillId="0" borderId="7" xfId="0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30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31" xfId="0" applyFont="1" applyFill="1" applyBorder="1" applyAlignment="1">
      <alignment horizontal="center" vertical="center" wrapText="1"/>
    </xf>
    <xf numFmtId="0" fontId="27" fillId="0" borderId="27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29" xfId="0" applyFont="1" applyFill="1" applyBorder="1" applyAlignment="1">
      <alignment horizontal="center" vertical="center" wrapText="1"/>
    </xf>
    <xf numFmtId="170" fontId="24" fillId="0" borderId="9" xfId="0" applyNumberFormat="1" applyFont="1" applyBorder="1" applyAlignment="1">
      <alignment horizontal="center"/>
    </xf>
    <xf numFmtId="170" fontId="24" fillId="0" borderId="10" xfId="0" applyNumberFormat="1" applyFont="1" applyBorder="1" applyAlignment="1">
      <alignment horizontal="center"/>
    </xf>
    <xf numFmtId="170" fontId="24" fillId="0" borderId="7" xfId="0" applyNumberFormat="1" applyFont="1" applyBorder="1" applyAlignment="1">
      <alignment horizontal="center"/>
    </xf>
    <xf numFmtId="0" fontId="23" fillId="0" borderId="0" xfId="104" applyFont="1" applyBorder="1" applyAlignment="1">
      <alignment horizontal="left"/>
    </xf>
    <xf numFmtId="0" fontId="23" fillId="0" borderId="12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24" fillId="0" borderId="2" xfId="0" applyFont="1" applyBorder="1" applyAlignment="1">
      <alignment horizontal="center"/>
    </xf>
    <xf numFmtId="0" fontId="23" fillId="0" borderId="10" xfId="104" applyFont="1" applyBorder="1" applyAlignment="1">
      <alignment horizontal="left"/>
    </xf>
    <xf numFmtId="1" fontId="24" fillId="0" borderId="9" xfId="0" applyNumberFormat="1" applyFont="1" applyBorder="1" applyAlignment="1">
      <alignment horizontal="justify" vertical="center" wrapText="1"/>
    </xf>
    <xf numFmtId="1" fontId="24" fillId="0" borderId="7" xfId="0" applyNumberFormat="1" applyFont="1" applyBorder="1" applyAlignment="1">
      <alignment horizontal="justify" vertical="center" wrapText="1"/>
    </xf>
    <xf numFmtId="0" fontId="23" fillId="0" borderId="2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3" fillId="0" borderId="9" xfId="0" applyFont="1" applyFill="1" applyBorder="1" applyAlignment="1">
      <alignment horizontal="left" vertical="center" wrapText="1"/>
    </xf>
    <xf numFmtId="0" fontId="23" fillId="0" borderId="7" xfId="0" applyFont="1" applyFill="1" applyBorder="1" applyAlignment="1">
      <alignment horizontal="left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3" fillId="0" borderId="11" xfId="0" applyFont="1" applyFill="1" applyBorder="1" applyAlignment="1">
      <alignment horizontal="center"/>
    </xf>
    <xf numFmtId="0" fontId="23" fillId="0" borderId="30" xfId="0" applyFont="1" applyFill="1" applyBorder="1" applyAlignment="1">
      <alignment horizontal="center"/>
    </xf>
    <xf numFmtId="0" fontId="23" fillId="0" borderId="26" xfId="0" applyFont="1" applyFill="1" applyBorder="1" applyAlignment="1">
      <alignment horizontal="center"/>
    </xf>
    <xf numFmtId="0" fontId="23" fillId="0" borderId="31" xfId="0" applyFont="1" applyFill="1" applyBorder="1" applyAlignment="1">
      <alignment horizontal="center"/>
    </xf>
    <xf numFmtId="0" fontId="23" fillId="0" borderId="27" xfId="0" applyFont="1" applyFill="1" applyBorder="1" applyAlignment="1">
      <alignment horizontal="center"/>
    </xf>
    <xf numFmtId="0" fontId="23" fillId="0" borderId="29" xfId="0" applyFont="1" applyFill="1" applyBorder="1" applyAlignment="1">
      <alignment horizontal="center"/>
    </xf>
    <xf numFmtId="0" fontId="23" fillId="0" borderId="3" xfId="0" applyFont="1" applyBorder="1" applyAlignment="1">
      <alignment horizontal="left" wrapText="1"/>
    </xf>
    <xf numFmtId="0" fontId="23" fillId="0" borderId="4" xfId="0" applyFont="1" applyBorder="1" applyAlignment="1">
      <alignment horizontal="left" wrapText="1"/>
    </xf>
    <xf numFmtId="14" fontId="23" fillId="0" borderId="11" xfId="0" applyNumberFormat="1" applyFont="1" applyBorder="1" applyAlignment="1">
      <alignment horizontal="center" vertical="center" wrapText="1"/>
    </xf>
    <xf numFmtId="14" fontId="23" fillId="0" borderId="30" xfId="0" applyNumberFormat="1" applyFont="1" applyBorder="1" applyAlignment="1">
      <alignment horizontal="center" vertical="center" wrapText="1"/>
    </xf>
    <xf numFmtId="14" fontId="23" fillId="0" borderId="27" xfId="0" applyNumberFormat="1" applyFont="1" applyBorder="1" applyAlignment="1">
      <alignment horizontal="center" vertical="center" wrapText="1"/>
    </xf>
    <xf numFmtId="14" fontId="23" fillId="0" borderId="29" xfId="0" applyNumberFormat="1" applyFont="1" applyBorder="1" applyAlignment="1">
      <alignment horizontal="center" vertical="center" wrapText="1"/>
    </xf>
    <xf numFmtId="189" fontId="26" fillId="0" borderId="10" xfId="0" applyNumberFormat="1" applyFont="1" applyBorder="1" applyAlignment="1">
      <alignment horizontal="center"/>
    </xf>
    <xf numFmtId="170" fontId="24" fillId="0" borderId="2" xfId="0" applyNumberFormat="1" applyFont="1" applyBorder="1" applyAlignment="1">
      <alignment horizontal="center" vertical="center"/>
    </xf>
    <xf numFmtId="170" fontId="23" fillId="0" borderId="2" xfId="0" applyNumberFormat="1" applyFont="1" applyBorder="1" applyAlignment="1">
      <alignment horizontal="center" vertical="center"/>
    </xf>
    <xf numFmtId="0" fontId="5" fillId="0" borderId="0" xfId="73" applyBorder="1" applyAlignment="1">
      <alignment horizontal="right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5" fillId="0" borderId="0" xfId="78" applyBorder="1" applyAlignment="1">
      <alignment horizontal="right"/>
    </xf>
    <xf numFmtId="0" fontId="22" fillId="2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175" fontId="5" fillId="0" borderId="2" xfId="73" applyNumberFormat="1" applyBorder="1" applyAlignment="1">
      <alignment horizontal="center"/>
    </xf>
    <xf numFmtId="0" fontId="22" fillId="2" borderId="9" xfId="0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</cellXfs>
  <cellStyles count="194">
    <cellStyle name="CIENTOS" xfId="1"/>
    <cellStyle name="CIENTOS 2D" xfId="2"/>
    <cellStyle name="CIENTOS 3D" xfId="3"/>
    <cellStyle name="CIENTOS 4D" xfId="4"/>
    <cellStyle name="CIENTOS_Acta 01 Sep15 a Oct 31_07 Rogelio" xfId="5"/>
    <cellStyle name="Comma" xfId="6"/>
    <cellStyle name="Comma0" xfId="7"/>
    <cellStyle name="Comma0 - Modelo5" xfId="8"/>
    <cellStyle name="Comma1 - Modelo1" xfId="9"/>
    <cellStyle name="Curren - Modelo2" xfId="10"/>
    <cellStyle name="Curren - Modelo6" xfId="11"/>
    <cellStyle name="Currency" xfId="12"/>
    <cellStyle name="Currency0" xfId="13"/>
    <cellStyle name="Date" xfId="14"/>
    <cellStyle name="Date - Modelo4" xfId="15"/>
    <cellStyle name="Euro" xfId="16"/>
    <cellStyle name="Euro 2" xfId="17"/>
    <cellStyle name="Euro 3" xfId="18"/>
    <cellStyle name="Euro 4" xfId="19"/>
    <cellStyle name="Euro 5" xfId="20"/>
    <cellStyle name="Euro_ACTAS DE OBRA CONTRATO" xfId="21"/>
    <cellStyle name="F2" xfId="22"/>
    <cellStyle name="F3" xfId="23"/>
    <cellStyle name="F4" xfId="24"/>
    <cellStyle name="F5" xfId="25"/>
    <cellStyle name="F6" xfId="26"/>
    <cellStyle name="F7" xfId="27"/>
    <cellStyle name="F8" xfId="28"/>
    <cellStyle name="Fixed" xfId="29"/>
    <cellStyle name="Heading 1" xfId="30"/>
    <cellStyle name="Heading 2" xfId="31"/>
    <cellStyle name="Heading1" xfId="32"/>
    <cellStyle name="Heading2" xfId="33"/>
    <cellStyle name="MILE DE MILLONES" xfId="34"/>
    <cellStyle name="MILES" xfId="35"/>
    <cellStyle name="Millares [0] 2" xfId="36"/>
    <cellStyle name="Millares [0] 2 2" xfId="37"/>
    <cellStyle name="Millares [0] 2 2 2" xfId="127"/>
    <cellStyle name="Millares [0] 2 2 2 2" xfId="170"/>
    <cellStyle name="Millares [0] 2 3" xfId="38"/>
    <cellStyle name="Millares [0] 2 3 2" xfId="128"/>
    <cellStyle name="Millares [0] 2 3 2 2" xfId="171"/>
    <cellStyle name="Millares [0] 2 4" xfId="39"/>
    <cellStyle name="Millares [0] 2 4 2" xfId="129"/>
    <cellStyle name="Millares [0] 2 4 2 2" xfId="172"/>
    <cellStyle name="Millares [0] 2 5" xfId="40"/>
    <cellStyle name="Millares [0] 2 5 2" xfId="130"/>
    <cellStyle name="Millares [0] 2 5 2 2" xfId="173"/>
    <cellStyle name="Millares [0] 2 6" xfId="126"/>
    <cellStyle name="Millares [0] 2 6 2" xfId="169"/>
    <cellStyle name="Millares 10" xfId="41"/>
    <cellStyle name="Millares 11" xfId="42"/>
    <cellStyle name="Millares 12" xfId="43"/>
    <cellStyle name="Millares 13" xfId="44"/>
    <cellStyle name="Millares 14" xfId="45"/>
    <cellStyle name="Millares 15" xfId="46"/>
    <cellStyle name="Millares 2" xfId="47"/>
    <cellStyle name="Millares 2 2" xfId="125"/>
    <cellStyle name="Millares 2 2 2" xfId="148"/>
    <cellStyle name="Millares 2 2 2 2" xfId="191"/>
    <cellStyle name="Millares 2 2 3" xfId="168"/>
    <cellStyle name="Millares 3" xfId="48"/>
    <cellStyle name="Millares 3 2" xfId="49"/>
    <cellStyle name="Millares 3 2 2" xfId="131"/>
    <cellStyle name="Millares 3 2 2 2" xfId="174"/>
    <cellStyle name="Millares 4" xfId="50"/>
    <cellStyle name="Millares 5" xfId="51"/>
    <cellStyle name="Millares 6" xfId="52"/>
    <cellStyle name="Millares 7" xfId="53"/>
    <cellStyle name="Millares 8" xfId="54"/>
    <cellStyle name="Millares 9" xfId="55"/>
    <cellStyle name="MILLONES" xfId="56"/>
    <cellStyle name="Moneda 10" xfId="57"/>
    <cellStyle name="Moneda 11" xfId="58"/>
    <cellStyle name="Moneda 12" xfId="59"/>
    <cellStyle name="Moneda 13" xfId="60"/>
    <cellStyle name="Moneda 2" xfId="61"/>
    <cellStyle name="Moneda 3" xfId="62"/>
    <cellStyle name="Moneda 4" xfId="63"/>
    <cellStyle name="Moneda 5" xfId="64"/>
    <cellStyle name="Moneda 6" xfId="65"/>
    <cellStyle name="Moneda 7" xfId="66"/>
    <cellStyle name="Moneda 8" xfId="67"/>
    <cellStyle name="Moneda 9" xfId="68"/>
    <cellStyle name="Monetario0" xfId="69"/>
    <cellStyle name="Nïrmal_PROINVER" xfId="70"/>
    <cellStyle name="No. punto" xfId="71"/>
    <cellStyle name="Normal" xfId="0" builtinId="0"/>
    <cellStyle name="Normal 10" xfId="72"/>
    <cellStyle name="Normal 10 2" xfId="132"/>
    <cellStyle name="Normal 10 2 2" xfId="175"/>
    <cellStyle name="Normal 10 3" xfId="73"/>
    <cellStyle name="Normal 10 4" xfId="152"/>
    <cellStyle name="Normal 11" xfId="74"/>
    <cellStyle name="Normal 12" xfId="123"/>
    <cellStyle name="Normal 12 2" xfId="146"/>
    <cellStyle name="Normal 12 2 2" xfId="189"/>
    <cellStyle name="Normal 12 3" xfId="166"/>
    <cellStyle name="Normal 13" xfId="75"/>
    <cellStyle name="Normal 15 2 2" xfId="192"/>
    <cellStyle name="Normal 2" xfId="76"/>
    <cellStyle name="Normal 2 2" xfId="77"/>
    <cellStyle name="Normal 2 2 2" xfId="78"/>
    <cellStyle name="Normal 2 2 3" xfId="79"/>
    <cellStyle name="Normal 2 2 4" xfId="80"/>
    <cellStyle name="Normal 2 2 5" xfId="133"/>
    <cellStyle name="Normal 2 2 5 2" xfId="176"/>
    <cellStyle name="Normal 2 2 6" xfId="153"/>
    <cellStyle name="Normal 2 3" xfId="81"/>
    <cellStyle name="Normal 2 3 3" xfId="150"/>
    <cellStyle name="Normal 2 4" xfId="82"/>
    <cellStyle name="Normal 2 5" xfId="83"/>
    <cellStyle name="Normal 2 6" xfId="84"/>
    <cellStyle name="Normal 2 7" xfId="85"/>
    <cellStyle name="Normal 2 8" xfId="86"/>
    <cellStyle name="Normal 2 8 2" xfId="134"/>
    <cellStyle name="Normal 2 8 2 2" xfId="177"/>
    <cellStyle name="Normal 2 8 3" xfId="154"/>
    <cellStyle name="Normal 2 9" xfId="87"/>
    <cellStyle name="Normal 2 9 2" xfId="135"/>
    <cellStyle name="Normal 2 9 2 2" xfId="178"/>
    <cellStyle name="Normal 2 9 3" xfId="155"/>
    <cellStyle name="Normal 3" xfId="88"/>
    <cellStyle name="Normal 3 2" xfId="89"/>
    <cellStyle name="Normal 3 3" xfId="124"/>
    <cellStyle name="Normal 3 3 2" xfId="147"/>
    <cellStyle name="Normal 3 3 2 2" xfId="190"/>
    <cellStyle name="Normal 3 3 3" xfId="167"/>
    <cellStyle name="Normal 4" xfId="90"/>
    <cellStyle name="Normal 4 2" xfId="136"/>
    <cellStyle name="Normal 4 2 2" xfId="179"/>
    <cellStyle name="Normal 4 3" xfId="156"/>
    <cellStyle name="Normal 5" xfId="91"/>
    <cellStyle name="Normal 5 2" xfId="92"/>
    <cellStyle name="Normal 5 3" xfId="93"/>
    <cellStyle name="Normal 5 4" xfId="94"/>
    <cellStyle name="Normal 5 5" xfId="95"/>
    <cellStyle name="Normal 5 6" xfId="149"/>
    <cellStyle name="Normal 6" xfId="96"/>
    <cellStyle name="Normal 6 2" xfId="97"/>
    <cellStyle name="Normal 6 2 2" xfId="137"/>
    <cellStyle name="Normal 6 2 2 2" xfId="180"/>
    <cellStyle name="Normal 6 2 3" xfId="157"/>
    <cellStyle name="Normal 6 3" xfId="98"/>
    <cellStyle name="Normal 6 3 2" xfId="138"/>
    <cellStyle name="Normal 6 3 2 2" xfId="181"/>
    <cellStyle name="Normal 6 3 3" xfId="158"/>
    <cellStyle name="Normal 6 4" xfId="99"/>
    <cellStyle name="Normal 6 4 2" xfId="139"/>
    <cellStyle name="Normal 6 4 2 2" xfId="182"/>
    <cellStyle name="Normal 6 4 3" xfId="159"/>
    <cellStyle name="Normal 7" xfId="100"/>
    <cellStyle name="Normal 7 2" xfId="140"/>
    <cellStyle name="Normal 7 2 2" xfId="183"/>
    <cellStyle name="Normal 7 3" xfId="160"/>
    <cellStyle name="Normal 8" xfId="101"/>
    <cellStyle name="Normal 8 2" xfId="141"/>
    <cellStyle name="Normal 8 2 2" xfId="184"/>
    <cellStyle name="Normal 8 3" xfId="161"/>
    <cellStyle name="Normal 9" xfId="102"/>
    <cellStyle name="Normal 9 2" xfId="142"/>
    <cellStyle name="Normal 9 2 2" xfId="185"/>
    <cellStyle name="Normal 9 3" xfId="162"/>
    <cellStyle name="Normal_EXTRACCION" xfId="103"/>
    <cellStyle name="Normal_Grad. Lim. Auto 1-4" xfId="151"/>
    <cellStyle name="Normal_GRADACION (2)" xfId="104"/>
    <cellStyle name="Normal_MEZCLAR4  " xfId="105"/>
    <cellStyle name="Normal_TSR-DISEÑO" xfId="193"/>
    <cellStyle name="Percen - Modelo3" xfId="106"/>
    <cellStyle name="Percent" xfId="107"/>
    <cellStyle name="Porcentaje 2" xfId="108"/>
    <cellStyle name="Porcentual 2" xfId="109"/>
    <cellStyle name="Porcentual 2 2" xfId="110"/>
    <cellStyle name="Porcentual 2 2 2" xfId="111"/>
    <cellStyle name="Porcentual 2 2 3" xfId="112"/>
    <cellStyle name="Porcentual 2 2 4" xfId="113"/>
    <cellStyle name="Porcentual 2 2 5" xfId="143"/>
    <cellStyle name="Porcentual 2 2 5 2" xfId="186"/>
    <cellStyle name="Porcentual 2 2 6" xfId="163"/>
    <cellStyle name="Porcentual 2 3" xfId="114"/>
    <cellStyle name="Porcentual 2 4" xfId="115"/>
    <cellStyle name="Porcentual 2 5" xfId="116"/>
    <cellStyle name="Porcentual 2 6" xfId="117"/>
    <cellStyle name="Porcentual 2 7" xfId="118"/>
    <cellStyle name="Porcentual 2 8" xfId="119"/>
    <cellStyle name="Porcentual 2 8 2" xfId="144"/>
    <cellStyle name="Porcentual 2 8 2 2" xfId="187"/>
    <cellStyle name="Porcentual 2 8 3" xfId="164"/>
    <cellStyle name="Porcentual 2 9" xfId="120"/>
    <cellStyle name="Porcentual 2 9 2" xfId="145"/>
    <cellStyle name="Porcentual 2 9 2 2" xfId="188"/>
    <cellStyle name="Porcentual 2 9 3" xfId="165"/>
    <cellStyle name="Porcentual 3" xfId="121"/>
    <cellStyle name="resaltado" xfId="122"/>
  </cellStyles>
  <dxfs count="1">
    <dxf>
      <fill>
        <patternFill>
          <bgColor indexed="13"/>
        </patternFill>
      </fill>
    </dxf>
  </dxfs>
  <tableStyles count="0" defaultTableStyle="TableStyleMedium9" defaultPivotStyle="PivotStyleLight16"/>
  <colors>
    <mruColors>
      <color rgb="FFE46C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sharedStrings" Target="sharedStrings.xml"/><Relationship Id="rId8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901423989730207E-2"/>
          <c:y val="0.13923097917366475"/>
          <c:w val="0.87071783537445879"/>
          <c:h val="0.65957446808512465"/>
        </c:manualLayout>
      </c:layout>
      <c:scatterChart>
        <c:scatterStyle val="lineMarker"/>
        <c:varyColors val="0"/>
        <c:ser>
          <c:idx val="1"/>
          <c:order val="0"/>
          <c:tx>
            <c:v>Granulometría</c:v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Formato!$C$17:$K$17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>
                  <c:v>2</c:v>
                </c:pt>
                <c:pt idx="6">
                  <c:v>0.42499999999999999</c:v>
                </c:pt>
                <c:pt idx="7">
                  <c:v>0.18</c:v>
                </c:pt>
                <c:pt idx="8">
                  <c:v>7.4999999999999997E-2</c:v>
                </c:pt>
              </c:numCache>
            </c:numRef>
          </c:xVal>
          <c:yVal>
            <c:numRef>
              <c:f>Formato!$C$20:$K$20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9C-4779-8F5D-8AC417DD2BCA}"/>
            </c:ext>
          </c:extLst>
        </c:ser>
        <c:ser>
          <c:idx val="2"/>
          <c:order val="1"/>
          <c:tx>
            <c:v>Esp.Inf</c:v>
          </c:tx>
          <c:spPr>
            <a:ln w="15875">
              <a:solidFill>
                <a:srgbClr val="000000"/>
              </a:solidFill>
              <a:prstDash val="dash"/>
            </a:ln>
          </c:spPr>
          <c:marker>
            <c:symbol val="none"/>
          </c:marker>
          <c:xVal>
            <c:numRef>
              <c:f>Formato!$C$17:$K$17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>
                  <c:v>2</c:v>
                </c:pt>
                <c:pt idx="6">
                  <c:v>0.42499999999999999</c:v>
                </c:pt>
                <c:pt idx="7">
                  <c:v>0.18</c:v>
                </c:pt>
                <c:pt idx="8">
                  <c:v>7.4999999999999997E-2</c:v>
                </c:pt>
              </c:numCache>
            </c:numRef>
          </c:xVal>
          <c:yVal>
            <c:numRef>
              <c:f>Formato!$C$21:$K$21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80</c:v>
                </c:pt>
                <c:pt idx="3">
                  <c:v>71</c:v>
                </c:pt>
                <c:pt idx="4">
                  <c:v>49</c:v>
                </c:pt>
                <c:pt idx="5">
                  <c:v>30</c:v>
                </c:pt>
                <c:pt idx="6">
                  <c:v>14</c:v>
                </c:pt>
                <c:pt idx="7">
                  <c:v>8</c:v>
                </c:pt>
                <c:pt idx="8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9C-4779-8F5D-8AC417DD2BCA}"/>
            </c:ext>
          </c:extLst>
        </c:ser>
        <c:ser>
          <c:idx val="4"/>
          <c:order val="2"/>
          <c:tx>
            <c:v>Esp.Sup</c:v>
          </c:tx>
          <c:spPr>
            <a:ln w="15875">
              <a:solidFill>
                <a:srgbClr val="000000"/>
              </a:solidFill>
              <a:prstDash val="dash"/>
            </a:ln>
          </c:spPr>
          <c:marker>
            <c:symbol val="none"/>
          </c:marker>
          <c:xVal>
            <c:numRef>
              <c:f>Formato!$C$17:$K$17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>
                  <c:v>2</c:v>
                </c:pt>
                <c:pt idx="6">
                  <c:v>0.42499999999999999</c:v>
                </c:pt>
                <c:pt idx="7">
                  <c:v>0.18</c:v>
                </c:pt>
                <c:pt idx="8">
                  <c:v>7.4999999999999997E-2</c:v>
                </c:pt>
              </c:numCache>
            </c:numRef>
          </c:xVal>
          <c:yVal>
            <c:numRef>
              <c:f>Formato!$C$22:$K$22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87</c:v>
                </c:pt>
                <c:pt idx="4">
                  <c:v>65</c:v>
                </c:pt>
                <c:pt idx="5">
                  <c:v>44</c:v>
                </c:pt>
                <c:pt idx="6">
                  <c:v>22</c:v>
                </c:pt>
                <c:pt idx="7">
                  <c:v>16</c:v>
                </c:pt>
                <c:pt idx="8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9C-4779-8F5D-8AC417DD2BCA}"/>
            </c:ext>
          </c:extLst>
        </c:ser>
        <c:ser>
          <c:idx val="3"/>
          <c:order val="3"/>
          <c:tx>
            <c:v>1"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 rot="-5400000" vert="horz"/>
                <a:lstStyle/>
                <a:p>
                  <a:pPr algn="ctr">
                    <a:defRPr lang="es-ES" sz="8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C-4779-8F5D-8AC417DD2B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Formato!$AI$26:$AI$27</c:f>
              <c:numCache>
                <c:formatCode>General</c:formatCode>
                <c:ptCount val="2"/>
                <c:pt idx="0">
                  <c:v>25.4</c:v>
                </c:pt>
                <c:pt idx="1">
                  <c:v>25.4</c:v>
                </c:pt>
              </c:numCache>
            </c:numRef>
          </c:xVal>
          <c:yVal>
            <c:numRef>
              <c:f>Formato!$AJ$26:$AJ$27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9C-4779-8F5D-8AC417DD2BCA}"/>
            </c:ext>
          </c:extLst>
        </c:ser>
        <c:ser>
          <c:idx val="6"/>
          <c:order val="4"/>
          <c:tx>
            <c:v>3/4"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 rot="-5400000" vert="horz"/>
                <a:lstStyle/>
                <a:p>
                  <a:pPr algn="ctr">
                    <a:defRPr lang="es-ES" sz="8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C-4779-8F5D-8AC417DD2B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Formato!$AI$28:$AI$29</c:f>
              <c:numCache>
                <c:formatCode>General</c:formatCode>
                <c:ptCount val="2"/>
                <c:pt idx="0">
                  <c:v>19</c:v>
                </c:pt>
                <c:pt idx="1">
                  <c:v>19</c:v>
                </c:pt>
              </c:numCache>
            </c:numRef>
          </c:xVal>
          <c:yVal>
            <c:numRef>
              <c:f>Formato!$AJ$28:$AJ$29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9C-4779-8F5D-8AC417DD2BCA}"/>
            </c:ext>
          </c:extLst>
        </c:ser>
        <c:ser>
          <c:idx val="7"/>
          <c:order val="5"/>
          <c:tx>
            <c:v>1/2"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 rot="-5400000" vert="horz"/>
                <a:lstStyle/>
                <a:p>
                  <a:pPr algn="ctr">
                    <a:defRPr lang="es-ES" sz="8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C-4779-8F5D-8AC417DD2B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Formato!$AI$30:$AI$31</c:f>
              <c:numCache>
                <c:formatCode>General</c:formatCode>
                <c:ptCount val="2"/>
                <c:pt idx="0">
                  <c:v>12.5</c:v>
                </c:pt>
                <c:pt idx="1">
                  <c:v>12.5</c:v>
                </c:pt>
              </c:numCache>
            </c:numRef>
          </c:xVal>
          <c:yVal>
            <c:numRef>
              <c:f>Formato!$AJ$30:$AJ$31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79C-4779-8F5D-8AC417DD2BCA}"/>
            </c:ext>
          </c:extLst>
        </c:ser>
        <c:ser>
          <c:idx val="8"/>
          <c:order val="6"/>
          <c:tx>
            <c:v>3/8"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 rot="-5400000" vert="horz"/>
                <a:lstStyle/>
                <a:p>
                  <a:pPr algn="ctr">
                    <a:defRPr lang="es-ES" sz="8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C-4779-8F5D-8AC417DD2B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Formato!$AI$32:$AI$33</c:f>
              <c:numCache>
                <c:formatCode>General</c:formatCode>
                <c:ptCount val="2"/>
                <c:pt idx="0">
                  <c:v>9.5</c:v>
                </c:pt>
                <c:pt idx="1">
                  <c:v>9.5</c:v>
                </c:pt>
              </c:numCache>
            </c:numRef>
          </c:xVal>
          <c:yVal>
            <c:numRef>
              <c:f>Formato!$AJ$32:$AJ$33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79C-4779-8F5D-8AC417DD2BCA}"/>
            </c:ext>
          </c:extLst>
        </c:ser>
        <c:ser>
          <c:idx val="9"/>
          <c:order val="7"/>
          <c:tx>
            <c:v>No.4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 rot="-5400000" vert="horz"/>
                <a:lstStyle/>
                <a:p>
                  <a:pPr algn="ctr">
                    <a:defRPr lang="es-ES" sz="8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9C-4779-8F5D-8AC417DD2B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Formato!$AI$34:$AI$35</c:f>
              <c:numCache>
                <c:formatCode>General</c:formatCode>
                <c:ptCount val="2"/>
                <c:pt idx="0">
                  <c:v>4.76</c:v>
                </c:pt>
                <c:pt idx="1">
                  <c:v>4.76</c:v>
                </c:pt>
              </c:numCache>
            </c:numRef>
          </c:xVal>
          <c:yVal>
            <c:numRef>
              <c:f>Formato!$AJ$34:$AJ$35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79C-4779-8F5D-8AC417DD2BCA}"/>
            </c:ext>
          </c:extLst>
        </c:ser>
        <c:ser>
          <c:idx val="10"/>
          <c:order val="8"/>
          <c:tx>
            <c:v>No.10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 rot="-5400000" vert="horz"/>
                <a:lstStyle/>
                <a:p>
                  <a:pPr algn="ctr">
                    <a:defRPr lang="es-ES" sz="8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9C-4779-8F5D-8AC417DD2B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Formato!$AI$36:$AI$37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xVal>
          <c:yVal>
            <c:numRef>
              <c:f>Formato!$AJ$36:$AJ$37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79C-4779-8F5D-8AC417DD2BCA}"/>
            </c:ext>
          </c:extLst>
        </c:ser>
        <c:ser>
          <c:idx val="11"/>
          <c:order val="9"/>
          <c:tx>
            <c:v>No.40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 rot="-5400000" vert="horz"/>
                <a:lstStyle/>
                <a:p>
                  <a:pPr algn="ctr">
                    <a:defRPr lang="es-ES" sz="8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9C-4779-8F5D-8AC417DD2B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Formato!$AI$38:$AI$39</c:f>
              <c:numCache>
                <c:formatCode>General</c:formatCode>
                <c:ptCount val="2"/>
                <c:pt idx="0">
                  <c:v>0.42499999999999999</c:v>
                </c:pt>
                <c:pt idx="1">
                  <c:v>0.42499999999999999</c:v>
                </c:pt>
              </c:numCache>
            </c:numRef>
          </c:xVal>
          <c:yVal>
            <c:numRef>
              <c:f>Formato!$AJ$38:$AJ$39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79C-4779-8F5D-8AC417DD2BCA}"/>
            </c:ext>
          </c:extLst>
        </c:ser>
        <c:ser>
          <c:idx val="12"/>
          <c:order val="10"/>
          <c:tx>
            <c:v>No.80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 rot="-5400000" vert="horz"/>
                <a:lstStyle/>
                <a:p>
                  <a:pPr algn="ctr">
                    <a:defRPr lang="es-ES" sz="8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9C-4779-8F5D-8AC417DD2B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Formato!$AI$40:$AI$41</c:f>
              <c:numCache>
                <c:formatCode>General</c:formatCode>
                <c:ptCount val="2"/>
                <c:pt idx="0">
                  <c:v>0.18</c:v>
                </c:pt>
                <c:pt idx="1">
                  <c:v>0.18</c:v>
                </c:pt>
              </c:numCache>
            </c:numRef>
          </c:xVal>
          <c:yVal>
            <c:numRef>
              <c:f>Formato!$AJ$40:$AJ$41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79C-4779-8F5D-8AC417DD2BCA}"/>
            </c:ext>
          </c:extLst>
        </c:ser>
        <c:ser>
          <c:idx val="13"/>
          <c:order val="11"/>
          <c:tx>
            <c:v>No.200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1"/>
              <c:spPr/>
              <c:txPr>
                <a:bodyPr rot="-5400000" vert="horz"/>
                <a:lstStyle/>
                <a:p>
                  <a:pPr algn="ctr">
                    <a:defRPr lang="es-ES" sz="8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9C-4779-8F5D-8AC417DD2B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Formato!$AI$42:$AI$43</c:f>
              <c:numCache>
                <c:formatCode>General</c:formatCode>
                <c:ptCount val="2"/>
                <c:pt idx="0">
                  <c:v>7.4999999999999997E-2</c:v>
                </c:pt>
                <c:pt idx="1">
                  <c:v>7.4999999999999997E-2</c:v>
                </c:pt>
              </c:numCache>
            </c:numRef>
          </c:xVal>
          <c:yVal>
            <c:numRef>
              <c:f>Formato!$AJ$42:$AJ$43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79C-4779-8F5D-8AC417DD2BCA}"/>
            </c:ext>
          </c:extLst>
        </c:ser>
        <c:ser>
          <c:idx val="0"/>
          <c:order val="12"/>
          <c:tx>
            <c:v>FT.Inf</c:v>
          </c:tx>
          <c:spPr>
            <a:ln w="3175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Formato!$C$17:$K$17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>
                  <c:v>2</c:v>
                </c:pt>
                <c:pt idx="6">
                  <c:v>0.42499999999999999</c:v>
                </c:pt>
                <c:pt idx="7">
                  <c:v>0.18</c:v>
                </c:pt>
                <c:pt idx="8">
                  <c:v>7.4999999999999997E-2</c:v>
                </c:pt>
              </c:numCache>
            </c:numRef>
          </c:xVal>
          <c:yVal>
            <c:numRef>
              <c:f>Formato!$C$24:$K$24</c:f>
              <c:numCache>
                <c:formatCode>0.0</c:formatCode>
                <c:ptCount val="9"/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79C-4779-8F5D-8AC417DD2BCA}"/>
            </c:ext>
          </c:extLst>
        </c:ser>
        <c:ser>
          <c:idx val="5"/>
          <c:order val="13"/>
          <c:tx>
            <c:v>FT.Sup</c:v>
          </c:tx>
          <c:spPr>
            <a:ln w="3175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Formato!$D$17:$K$17</c:f>
              <c:numCache>
                <c:formatCode>General</c:formatCode>
                <c:ptCount val="8"/>
                <c:pt idx="0">
                  <c:v>19</c:v>
                </c:pt>
                <c:pt idx="1">
                  <c:v>12.5</c:v>
                </c:pt>
                <c:pt idx="2">
                  <c:v>9.5</c:v>
                </c:pt>
                <c:pt idx="3">
                  <c:v>4.75</c:v>
                </c:pt>
                <c:pt idx="4">
                  <c:v>2</c:v>
                </c:pt>
                <c:pt idx="5">
                  <c:v>0.42499999999999999</c:v>
                </c:pt>
                <c:pt idx="6">
                  <c:v>0.18</c:v>
                </c:pt>
                <c:pt idx="7">
                  <c:v>7.4999999999999997E-2</c:v>
                </c:pt>
              </c:numCache>
            </c:numRef>
          </c:xVal>
          <c:yVal>
            <c:numRef>
              <c:f>Formato!$D$23:$K$23</c:f>
              <c:numCache>
                <c:formatCode>0.0</c:formatCode>
                <c:ptCount val="8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D79C-4779-8F5D-8AC417DD2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90336"/>
        <c:axId val="101090816"/>
      </c:scatterChart>
      <c:valAx>
        <c:axId val="100990336"/>
        <c:scaling>
          <c:logBase val="10"/>
          <c:orientation val="maxMin"/>
          <c:max val="100"/>
          <c:min val="1.0000000000000005E-2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s-CO"/>
                  <a:t>TAMIZ</a:t>
                </a:r>
              </a:p>
            </c:rich>
          </c:tx>
          <c:layout>
            <c:manualLayout>
              <c:xMode val="edge"/>
              <c:yMode val="edge"/>
              <c:x val="0.46884807546266655"/>
              <c:y val="0.914894013882803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lang="es-ES"/>
            </a:pPr>
            <a:endParaRPr lang="es-CO"/>
          </a:p>
        </c:txPr>
        <c:crossAx val="101090816"/>
        <c:crossesAt val="1.0000000000000005E-2"/>
        <c:crossBetween val="midCat"/>
      </c:valAx>
      <c:valAx>
        <c:axId val="10109081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lang="es-ES"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s-CO"/>
                  <a:t>PORCENTAJES QUE PASAN</a:t>
                </a:r>
              </a:p>
            </c:rich>
          </c:tx>
          <c:layout>
            <c:manualLayout>
              <c:xMode val="edge"/>
              <c:yMode val="edge"/>
              <c:x val="2.1806893427662868E-2"/>
              <c:y val="0.1945286915277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s-CO"/>
          </a:p>
        </c:txPr>
        <c:crossAx val="100990336"/>
        <c:crossesAt val="100"/>
        <c:crossBetween val="midCat"/>
        <c:majorUnit val="10"/>
        <c:minorUnit val="5"/>
      </c:valAx>
      <c:spPr>
        <a:solidFill>
          <a:srgbClr val="FFFFFF"/>
        </a:solidFill>
        <a:ln w="3175">
          <a:solidFill>
            <a:srgbClr val="333333"/>
          </a:solidFill>
          <a:prstDash val="solid"/>
        </a:ln>
      </c:spPr>
    </c:plotArea>
    <c:plotVisOnly val="0"/>
    <c:dispBlanksAs val="span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  <c:userShapes r:id="rId1"/>
</c:chartSpace>
</file>

<file path=xl/ctrlProps/ctrlProp1.xml><?xml version="1.0" encoding="utf-8"?>
<formControlPr xmlns="http://schemas.microsoft.com/office/spreadsheetml/2009/9/main" objectType="Spin" dx="18" fmlaLink="$L$8" max="30000" page="10" val="30000"/>
</file>

<file path=xl/ctrlProps/ctrlProp2.xml><?xml version="1.0" encoding="utf-8"?>
<formControlPr xmlns="http://schemas.microsoft.com/office/spreadsheetml/2009/9/main" objectType="Spin" dx="18" fmlaLink="$L$8" max="30000" page="10" val="30000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1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0.png"/><Relationship Id="rId33" Type="http://schemas.openxmlformats.org/officeDocument/2006/relationships/image" Target="../media/image38.emf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microsoft.com/office/2007/relationships/hdphoto" Target="../media/hdphoto1.wdp"/><Relationship Id="rId29" Type="http://schemas.openxmlformats.org/officeDocument/2006/relationships/image" Target="../media/image34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29.jpeg"/><Relationship Id="rId32" Type="http://schemas.openxmlformats.org/officeDocument/2006/relationships/image" Target="../media/image37.png"/><Relationship Id="rId5" Type="http://schemas.openxmlformats.org/officeDocument/2006/relationships/image" Target="../media/image12.emf"/><Relationship Id="rId15" Type="http://schemas.openxmlformats.org/officeDocument/2006/relationships/image" Target="../media/image22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31" Type="http://schemas.openxmlformats.org/officeDocument/2006/relationships/image" Target="../media/image3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microsoft.com/office/2007/relationships/hdphoto" Target="../media/hdphoto2.wdp"/><Relationship Id="rId27" Type="http://schemas.openxmlformats.org/officeDocument/2006/relationships/image" Target="../media/image32.jpeg"/><Relationship Id="rId30" Type="http://schemas.openxmlformats.org/officeDocument/2006/relationships/image" Target="../media/image35.png"/><Relationship Id="rId8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9.png"/><Relationship Id="rId1" Type="http://schemas.openxmlformats.org/officeDocument/2006/relationships/chart" Target="../charts/chart1.xml"/><Relationship Id="rId4" Type="http://schemas.openxmlformats.org/officeDocument/2006/relationships/image" Target="../media/image4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17</xdr:row>
      <xdr:rowOff>0</xdr:rowOff>
    </xdr:from>
    <xdr:to>
      <xdr:col>13</xdr:col>
      <xdr:colOff>104775</xdr:colOff>
      <xdr:row>17</xdr:row>
      <xdr:rowOff>217714</xdr:rowOff>
    </xdr:to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5667375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104775</xdr:colOff>
      <xdr:row>17</xdr:row>
      <xdr:rowOff>217714</xdr:rowOff>
    </xdr:to>
    <xdr:sp macro="" textlink="">
      <xdr:nvSpPr>
        <xdr:cNvPr id="3" name="Text Box 6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6076950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104775</xdr:colOff>
      <xdr:row>17</xdr:row>
      <xdr:rowOff>217714</xdr:rowOff>
    </xdr:to>
    <xdr:sp macro="" textlink="">
      <xdr:nvSpPr>
        <xdr:cNvPr id="4" name="Text Box 6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5667375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104775</xdr:colOff>
      <xdr:row>17</xdr:row>
      <xdr:rowOff>217714</xdr:rowOff>
    </xdr:to>
    <xdr:sp macro="" textlink="">
      <xdr:nvSpPr>
        <xdr:cNvPr id="5" name="Text Box 6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5667375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104775</xdr:colOff>
      <xdr:row>17</xdr:row>
      <xdr:rowOff>217714</xdr:rowOff>
    </xdr:to>
    <xdr:sp macro="" textlink="">
      <xdr:nvSpPr>
        <xdr:cNvPr id="6" name="Text Box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6076950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104775</xdr:colOff>
      <xdr:row>17</xdr:row>
      <xdr:rowOff>217714</xdr:rowOff>
    </xdr:to>
    <xdr:sp macro="" textlink="">
      <xdr:nvSpPr>
        <xdr:cNvPr id="7" name="Text Box 6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6076950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104775</xdr:colOff>
      <xdr:row>17</xdr:row>
      <xdr:rowOff>217714</xdr:rowOff>
    </xdr:to>
    <xdr:sp macro="" textlink="">
      <xdr:nvSpPr>
        <xdr:cNvPr id="8" name="Text Box 7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5667375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104775</xdr:colOff>
      <xdr:row>17</xdr:row>
      <xdr:rowOff>217714</xdr:rowOff>
    </xdr:to>
    <xdr:sp macro="" textlink="">
      <xdr:nvSpPr>
        <xdr:cNvPr id="9" name="Text Box 7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5667375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104775</xdr:colOff>
      <xdr:row>17</xdr:row>
      <xdr:rowOff>217714</xdr:rowOff>
    </xdr:to>
    <xdr:sp macro="" textlink="">
      <xdr:nvSpPr>
        <xdr:cNvPr id="10" name="Text Box 7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076950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104775</xdr:colOff>
      <xdr:row>17</xdr:row>
      <xdr:rowOff>217714</xdr:rowOff>
    </xdr:to>
    <xdr:sp macro="" textlink="">
      <xdr:nvSpPr>
        <xdr:cNvPr id="11" name="Text Box 7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6076950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104775</xdr:colOff>
      <xdr:row>17</xdr:row>
      <xdr:rowOff>217714</xdr:rowOff>
    </xdr:to>
    <xdr:sp macro="" textlink="">
      <xdr:nvSpPr>
        <xdr:cNvPr id="12" name="Text Box 7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5667375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104775</xdr:colOff>
      <xdr:row>17</xdr:row>
      <xdr:rowOff>217714</xdr:rowOff>
    </xdr:to>
    <xdr:sp macro="" textlink="">
      <xdr:nvSpPr>
        <xdr:cNvPr id="13" name="Text Box 7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5667375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104775</xdr:colOff>
      <xdr:row>17</xdr:row>
      <xdr:rowOff>217714</xdr:rowOff>
    </xdr:to>
    <xdr:sp macro="" textlink="">
      <xdr:nvSpPr>
        <xdr:cNvPr id="14" name="Text Box 7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076950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104775</xdr:colOff>
      <xdr:row>17</xdr:row>
      <xdr:rowOff>217714</xdr:rowOff>
    </xdr:to>
    <xdr:sp macro="" textlink="">
      <xdr:nvSpPr>
        <xdr:cNvPr id="15" name="Text Box 7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6076950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104775</xdr:colOff>
      <xdr:row>17</xdr:row>
      <xdr:rowOff>217714</xdr:rowOff>
    </xdr:to>
    <xdr:sp macro="" textlink="">
      <xdr:nvSpPr>
        <xdr:cNvPr id="16" name="Text Box 7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5667375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104775</xdr:colOff>
      <xdr:row>17</xdr:row>
      <xdr:rowOff>217714</xdr:rowOff>
    </xdr:to>
    <xdr:sp macro="" textlink="">
      <xdr:nvSpPr>
        <xdr:cNvPr id="17" name="Text Box 7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5667375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104775</xdr:colOff>
      <xdr:row>17</xdr:row>
      <xdr:rowOff>217714</xdr:rowOff>
    </xdr:to>
    <xdr:sp macro="" textlink="">
      <xdr:nvSpPr>
        <xdr:cNvPr id="18" name="Text Box 8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6076950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104775</xdr:colOff>
      <xdr:row>17</xdr:row>
      <xdr:rowOff>217714</xdr:rowOff>
    </xdr:to>
    <xdr:sp macro="" textlink="">
      <xdr:nvSpPr>
        <xdr:cNvPr id="19" name="Text Box 8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6076950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104775</xdr:colOff>
      <xdr:row>17</xdr:row>
      <xdr:rowOff>217714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5667375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104775</xdr:colOff>
      <xdr:row>17</xdr:row>
      <xdr:rowOff>217714</xdr:rowOff>
    </xdr:to>
    <xdr:sp macro="" textlink="">
      <xdr:nvSpPr>
        <xdr:cNvPr id="21" name="Text Box 8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5667375" y="2104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47</xdr:row>
      <xdr:rowOff>0</xdr:rowOff>
    </xdr:from>
    <xdr:to>
      <xdr:col>13</xdr:col>
      <xdr:colOff>104775</xdr:colOff>
      <xdr:row>48</xdr:row>
      <xdr:rowOff>17691</xdr:rowOff>
    </xdr:to>
    <xdr:sp macro="" textlink="">
      <xdr:nvSpPr>
        <xdr:cNvPr id="30" name="Text Box 33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5667375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104775</xdr:colOff>
      <xdr:row>48</xdr:row>
      <xdr:rowOff>17691</xdr:rowOff>
    </xdr:to>
    <xdr:sp macro="" textlink="">
      <xdr:nvSpPr>
        <xdr:cNvPr id="31" name="Text Box 6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6076950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47</xdr:row>
      <xdr:rowOff>0</xdr:rowOff>
    </xdr:from>
    <xdr:to>
      <xdr:col>13</xdr:col>
      <xdr:colOff>104775</xdr:colOff>
      <xdr:row>48</xdr:row>
      <xdr:rowOff>17691</xdr:rowOff>
    </xdr:to>
    <xdr:sp macro="" textlink="">
      <xdr:nvSpPr>
        <xdr:cNvPr id="32" name="Text Box 66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5667375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47</xdr:row>
      <xdr:rowOff>0</xdr:rowOff>
    </xdr:from>
    <xdr:to>
      <xdr:col>13</xdr:col>
      <xdr:colOff>104775</xdr:colOff>
      <xdr:row>48</xdr:row>
      <xdr:rowOff>17691</xdr:rowOff>
    </xdr:to>
    <xdr:sp macro="" textlink="">
      <xdr:nvSpPr>
        <xdr:cNvPr id="33" name="Text Box 67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5667375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104775</xdr:colOff>
      <xdr:row>48</xdr:row>
      <xdr:rowOff>17691</xdr:rowOff>
    </xdr:to>
    <xdr:sp macro="" textlink="">
      <xdr:nvSpPr>
        <xdr:cNvPr id="34" name="Text Box 68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6076950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104775</xdr:colOff>
      <xdr:row>48</xdr:row>
      <xdr:rowOff>17691</xdr:rowOff>
    </xdr:to>
    <xdr:sp macro="" textlink="">
      <xdr:nvSpPr>
        <xdr:cNvPr id="35" name="Text Box 6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6076950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47</xdr:row>
      <xdr:rowOff>0</xdr:rowOff>
    </xdr:from>
    <xdr:to>
      <xdr:col>13</xdr:col>
      <xdr:colOff>104775</xdr:colOff>
      <xdr:row>48</xdr:row>
      <xdr:rowOff>17691</xdr:rowOff>
    </xdr:to>
    <xdr:sp macro="" textlink="">
      <xdr:nvSpPr>
        <xdr:cNvPr id="36" name="Text Box 70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5667375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47</xdr:row>
      <xdr:rowOff>0</xdr:rowOff>
    </xdr:from>
    <xdr:to>
      <xdr:col>13</xdr:col>
      <xdr:colOff>104775</xdr:colOff>
      <xdr:row>48</xdr:row>
      <xdr:rowOff>17691</xdr:rowOff>
    </xdr:to>
    <xdr:sp macro="" textlink="">
      <xdr:nvSpPr>
        <xdr:cNvPr id="37" name="Text Box 7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5667375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104775</xdr:colOff>
      <xdr:row>48</xdr:row>
      <xdr:rowOff>17691</xdr:rowOff>
    </xdr:to>
    <xdr:sp macro="" textlink="">
      <xdr:nvSpPr>
        <xdr:cNvPr id="38" name="Text Box 7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6076950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104775</xdr:colOff>
      <xdr:row>48</xdr:row>
      <xdr:rowOff>17691</xdr:rowOff>
    </xdr:to>
    <xdr:sp macro="" textlink="">
      <xdr:nvSpPr>
        <xdr:cNvPr id="39" name="Text Box 7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6076950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47</xdr:row>
      <xdr:rowOff>0</xdr:rowOff>
    </xdr:from>
    <xdr:to>
      <xdr:col>13</xdr:col>
      <xdr:colOff>104775</xdr:colOff>
      <xdr:row>48</xdr:row>
      <xdr:rowOff>17691</xdr:rowOff>
    </xdr:to>
    <xdr:sp macro="" textlink="">
      <xdr:nvSpPr>
        <xdr:cNvPr id="40" name="Text Box 7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5667375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47</xdr:row>
      <xdr:rowOff>0</xdr:rowOff>
    </xdr:from>
    <xdr:to>
      <xdr:col>13</xdr:col>
      <xdr:colOff>104775</xdr:colOff>
      <xdr:row>48</xdr:row>
      <xdr:rowOff>17691</xdr:rowOff>
    </xdr:to>
    <xdr:sp macro="" textlink="">
      <xdr:nvSpPr>
        <xdr:cNvPr id="41" name="Text Box 7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5667375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104775</xdr:colOff>
      <xdr:row>48</xdr:row>
      <xdr:rowOff>17691</xdr:rowOff>
    </xdr:to>
    <xdr:sp macro="" textlink="">
      <xdr:nvSpPr>
        <xdr:cNvPr id="42" name="Text Box 7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6076950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104775</xdr:colOff>
      <xdr:row>48</xdr:row>
      <xdr:rowOff>17691</xdr:rowOff>
    </xdr:to>
    <xdr:sp macro="" textlink="">
      <xdr:nvSpPr>
        <xdr:cNvPr id="43" name="Text Box 7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6076950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47</xdr:row>
      <xdr:rowOff>0</xdr:rowOff>
    </xdr:from>
    <xdr:to>
      <xdr:col>13</xdr:col>
      <xdr:colOff>104775</xdr:colOff>
      <xdr:row>48</xdr:row>
      <xdr:rowOff>17691</xdr:rowOff>
    </xdr:to>
    <xdr:sp macro="" textlink="">
      <xdr:nvSpPr>
        <xdr:cNvPr id="44" name="Text Box 78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5667375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47</xdr:row>
      <xdr:rowOff>0</xdr:rowOff>
    </xdr:from>
    <xdr:to>
      <xdr:col>13</xdr:col>
      <xdr:colOff>104775</xdr:colOff>
      <xdr:row>48</xdr:row>
      <xdr:rowOff>17691</xdr:rowOff>
    </xdr:to>
    <xdr:sp macro="" textlink="">
      <xdr:nvSpPr>
        <xdr:cNvPr id="45" name="Text Box 79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5667375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104775</xdr:colOff>
      <xdr:row>48</xdr:row>
      <xdr:rowOff>17691</xdr:rowOff>
    </xdr:to>
    <xdr:sp macro="" textlink="">
      <xdr:nvSpPr>
        <xdr:cNvPr id="46" name="Text Box 80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6076950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104775</xdr:colOff>
      <xdr:row>48</xdr:row>
      <xdr:rowOff>17691</xdr:rowOff>
    </xdr:to>
    <xdr:sp macro="" textlink="">
      <xdr:nvSpPr>
        <xdr:cNvPr id="47" name="Text Box 8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6076950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47</xdr:row>
      <xdr:rowOff>0</xdr:rowOff>
    </xdr:from>
    <xdr:to>
      <xdr:col>13</xdr:col>
      <xdr:colOff>104775</xdr:colOff>
      <xdr:row>48</xdr:row>
      <xdr:rowOff>17691</xdr:rowOff>
    </xdr:to>
    <xdr:sp macro="" textlink="">
      <xdr:nvSpPr>
        <xdr:cNvPr id="48" name="Text Box 8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5667375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47</xdr:row>
      <xdr:rowOff>0</xdr:rowOff>
    </xdr:from>
    <xdr:to>
      <xdr:col>13</xdr:col>
      <xdr:colOff>104775</xdr:colOff>
      <xdr:row>48</xdr:row>
      <xdr:rowOff>17691</xdr:rowOff>
    </xdr:to>
    <xdr:sp macro="" textlink="">
      <xdr:nvSpPr>
        <xdr:cNvPr id="49" name="Text Box 8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5667375" y="23412450"/>
          <a:ext cx="104775" cy="17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13</xdr:col>
      <xdr:colOff>0</xdr:colOff>
      <xdr:row>17</xdr:row>
      <xdr:rowOff>0</xdr:rowOff>
    </xdr:from>
    <xdr:ext cx="104775" cy="217714"/>
    <xdr:sp macro="" textlink="">
      <xdr:nvSpPr>
        <xdr:cNvPr id="52" name="Text Box 33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5598367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17</xdr:row>
      <xdr:rowOff>0</xdr:rowOff>
    </xdr:from>
    <xdr:ext cx="104775" cy="217714"/>
    <xdr:sp macro="" textlink="">
      <xdr:nvSpPr>
        <xdr:cNvPr id="53" name="Text Box 6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6026020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17</xdr:row>
      <xdr:rowOff>0</xdr:rowOff>
    </xdr:from>
    <xdr:ext cx="104775" cy="217714"/>
    <xdr:sp macro="" textlink="">
      <xdr:nvSpPr>
        <xdr:cNvPr id="54" name="Text Box 6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5598367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17</xdr:row>
      <xdr:rowOff>0</xdr:rowOff>
    </xdr:from>
    <xdr:ext cx="104775" cy="217714"/>
    <xdr:sp macro="" textlink="">
      <xdr:nvSpPr>
        <xdr:cNvPr id="55" name="Text Box 67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5598367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17</xdr:row>
      <xdr:rowOff>0</xdr:rowOff>
    </xdr:from>
    <xdr:ext cx="104775" cy="217714"/>
    <xdr:sp macro="" textlink="">
      <xdr:nvSpPr>
        <xdr:cNvPr id="56" name="Text Box 68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6026020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17</xdr:row>
      <xdr:rowOff>0</xdr:rowOff>
    </xdr:from>
    <xdr:ext cx="104775" cy="217714"/>
    <xdr:sp macro="" textlink="">
      <xdr:nvSpPr>
        <xdr:cNvPr id="57" name="Text Box 69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6026020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17</xdr:row>
      <xdr:rowOff>0</xdr:rowOff>
    </xdr:from>
    <xdr:ext cx="104775" cy="217714"/>
    <xdr:sp macro="" textlink="">
      <xdr:nvSpPr>
        <xdr:cNvPr id="58" name="Text Box 7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5598367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17</xdr:row>
      <xdr:rowOff>0</xdr:rowOff>
    </xdr:from>
    <xdr:ext cx="104775" cy="217714"/>
    <xdr:sp macro="" textlink="">
      <xdr:nvSpPr>
        <xdr:cNvPr id="59" name="Text Box 7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5598367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17</xdr:row>
      <xdr:rowOff>0</xdr:rowOff>
    </xdr:from>
    <xdr:ext cx="104775" cy="217714"/>
    <xdr:sp macro="" textlink="">
      <xdr:nvSpPr>
        <xdr:cNvPr id="60" name="Text Box 72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6026020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17</xdr:row>
      <xdr:rowOff>0</xdr:rowOff>
    </xdr:from>
    <xdr:ext cx="104775" cy="217714"/>
    <xdr:sp macro="" textlink="">
      <xdr:nvSpPr>
        <xdr:cNvPr id="61" name="Text Box 73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6026020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17</xdr:row>
      <xdr:rowOff>0</xdr:rowOff>
    </xdr:from>
    <xdr:ext cx="104775" cy="217714"/>
    <xdr:sp macro="" textlink="">
      <xdr:nvSpPr>
        <xdr:cNvPr id="62" name="Text Box 74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5598367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17</xdr:row>
      <xdr:rowOff>0</xdr:rowOff>
    </xdr:from>
    <xdr:ext cx="104775" cy="217714"/>
    <xdr:sp macro="" textlink="">
      <xdr:nvSpPr>
        <xdr:cNvPr id="63" name="Text Box 75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5598367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17</xdr:row>
      <xdr:rowOff>0</xdr:rowOff>
    </xdr:from>
    <xdr:ext cx="104775" cy="217714"/>
    <xdr:sp macro="" textlink="">
      <xdr:nvSpPr>
        <xdr:cNvPr id="64" name="Text Box 7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6026020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17</xdr:row>
      <xdr:rowOff>0</xdr:rowOff>
    </xdr:from>
    <xdr:ext cx="104775" cy="217714"/>
    <xdr:sp macro="" textlink="">
      <xdr:nvSpPr>
        <xdr:cNvPr id="65" name="Text Box 77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6026020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17</xdr:row>
      <xdr:rowOff>0</xdr:rowOff>
    </xdr:from>
    <xdr:ext cx="104775" cy="217714"/>
    <xdr:sp macro="" textlink="">
      <xdr:nvSpPr>
        <xdr:cNvPr id="66" name="Text Box 78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5598367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17</xdr:row>
      <xdr:rowOff>0</xdr:rowOff>
    </xdr:from>
    <xdr:ext cx="104775" cy="217714"/>
    <xdr:sp macro="" textlink="">
      <xdr:nvSpPr>
        <xdr:cNvPr id="67" name="Text Box 79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5598367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17</xdr:row>
      <xdr:rowOff>0</xdr:rowOff>
    </xdr:from>
    <xdr:ext cx="104775" cy="217714"/>
    <xdr:sp macro="" textlink="">
      <xdr:nvSpPr>
        <xdr:cNvPr id="68" name="Text Box 80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6026020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17</xdr:row>
      <xdr:rowOff>0</xdr:rowOff>
    </xdr:from>
    <xdr:ext cx="104775" cy="217714"/>
    <xdr:sp macro="" textlink="">
      <xdr:nvSpPr>
        <xdr:cNvPr id="69" name="Text Box 8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6026020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17</xdr:row>
      <xdr:rowOff>0</xdr:rowOff>
    </xdr:from>
    <xdr:ext cx="104775" cy="217714"/>
    <xdr:sp macro="" textlink="">
      <xdr:nvSpPr>
        <xdr:cNvPr id="70" name="Text Box 8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5598367" y="20585663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72" name="Text Box 33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73" name="Text Box 65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74" name="Text Box 6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75" name="Text Box 67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76" name="Text Box 68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77" name="Text Box 69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78" name="Text Box 70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79" name="Text Box 7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80" name="Text Box 72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81" name="Text Box 73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82" name="Text Box 74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83" name="Text Box 75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84" name="Text Box 7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85" name="Text Box 77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86" name="Text Box 78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87" name="Text Box 79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88" name="Text Box 80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89" name="Text Box 8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90" name="Text Box 82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91" name="Text Box 83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92" name="Text Box 33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93" name="Text Box 65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94" name="Text Box 6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95" name="Text Box 67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96" name="Text Box 68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97" name="Text Box 69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98" name="Text Box 70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99" name="Text Box 7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100" name="Text Box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101" name="Text Box 73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102" name="Text Box 74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103" name="Text Box 75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104" name="Text Box 76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105" name="Text Box 77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106" name="Text Box 78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107" name="Text Box 79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108" name="Text Box 80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104775" cy="217714"/>
    <xdr:sp macro="" textlink="">
      <xdr:nvSpPr>
        <xdr:cNvPr id="109" name="Text Box 8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6026020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104775" cy="217714"/>
    <xdr:sp macro="" textlink="">
      <xdr:nvSpPr>
        <xdr:cNvPr id="110" name="Text Box 8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5598367" y="21285459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85725</xdr:colOff>
      <xdr:row>0</xdr:row>
      <xdr:rowOff>95250</xdr:rowOff>
    </xdr:from>
    <xdr:to>
      <xdr:col>1</xdr:col>
      <xdr:colOff>377100</xdr:colOff>
      <xdr:row>4</xdr:row>
      <xdr:rowOff>51692</xdr:rowOff>
    </xdr:to>
    <xdr:pic>
      <xdr:nvPicPr>
        <xdr:cNvPr id="111" name="Imagen 1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0"/>
          <a:ext cx="720000" cy="718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34059</xdr:colOff>
      <xdr:row>0</xdr:row>
      <xdr:rowOff>24246</xdr:rowOff>
    </xdr:from>
    <xdr:to>
      <xdr:col>6</xdr:col>
      <xdr:colOff>3174</xdr:colOff>
      <xdr:row>4</xdr:row>
      <xdr:rowOff>95251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3134" y="24246"/>
          <a:ext cx="1216890" cy="737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101312</xdr:colOff>
      <xdr:row>50</xdr:row>
      <xdr:rowOff>0</xdr:rowOff>
    </xdr:from>
    <xdr:to>
      <xdr:col>28</xdr:col>
      <xdr:colOff>142875</xdr:colOff>
      <xdr:row>50</xdr:row>
      <xdr:rowOff>1588</xdr:rowOff>
    </xdr:to>
    <xdr:cxnSp macro="">
      <xdr:nvCxnSpPr>
        <xdr:cNvPr id="3" name="Conector recto 1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4911437" y="8515350"/>
          <a:ext cx="1575088" cy="1588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101311</xdr:colOff>
      <xdr:row>50</xdr:row>
      <xdr:rowOff>19465</xdr:rowOff>
    </xdr:from>
    <xdr:to>
      <xdr:col>12</xdr:col>
      <xdr:colOff>125963</xdr:colOff>
      <xdr:row>50</xdr:row>
      <xdr:rowOff>21053</xdr:rowOff>
    </xdr:to>
    <xdr:cxnSp macro="">
      <xdr:nvCxnSpPr>
        <xdr:cNvPr id="4" name="Conector recto 1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1349086" y="8534815"/>
          <a:ext cx="1615327" cy="1588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112907</xdr:colOff>
      <xdr:row>49</xdr:row>
      <xdr:rowOff>478320</xdr:rowOff>
    </xdr:from>
    <xdr:to>
      <xdr:col>20</xdr:col>
      <xdr:colOff>137559</xdr:colOff>
      <xdr:row>49</xdr:row>
      <xdr:rowOff>479908</xdr:rowOff>
    </xdr:to>
    <xdr:cxnSp macro="">
      <xdr:nvCxnSpPr>
        <xdr:cNvPr id="5" name="Conector recto 1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3170432" y="8517420"/>
          <a:ext cx="1558177" cy="1588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49</xdr:row>
          <xdr:rowOff>28575</xdr:rowOff>
        </xdr:from>
        <xdr:to>
          <xdr:col>12</xdr:col>
          <xdr:colOff>38099</xdr:colOff>
          <xdr:row>49</xdr:row>
          <xdr:rowOff>380998</xdr:rowOff>
        </xdr:to>
        <xdr:pic>
          <xdr:nvPicPr>
            <xdr:cNvPr id="12" name="Imagen 30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elaborofirmas1" spid="_x0000_s128231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609725" y="8143875"/>
              <a:ext cx="1266824" cy="35242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57149</xdr:colOff>
          <xdr:row>49</xdr:row>
          <xdr:rowOff>38099</xdr:rowOff>
        </xdr:from>
        <xdr:to>
          <xdr:col>20</xdr:col>
          <xdr:colOff>38099</xdr:colOff>
          <xdr:row>49</xdr:row>
          <xdr:rowOff>342898</xdr:rowOff>
        </xdr:to>
        <xdr:pic>
          <xdr:nvPicPr>
            <xdr:cNvPr id="13" name="Imagen 4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revisofirmas1" spid="_x0000_s128231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333749" y="8153399"/>
              <a:ext cx="1295400" cy="30479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49</xdr:row>
          <xdr:rowOff>9525</xdr:rowOff>
        </xdr:from>
        <xdr:to>
          <xdr:col>27</xdr:col>
          <xdr:colOff>219074</xdr:colOff>
          <xdr:row>49</xdr:row>
          <xdr:rowOff>361948</xdr:rowOff>
        </xdr:to>
        <xdr:pic>
          <xdr:nvPicPr>
            <xdr:cNvPr id="14" name="Imagen 5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aprobofirmas1" spid="_x0000_s128231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000625" y="8124825"/>
              <a:ext cx="1343024" cy="35242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85726</xdr:colOff>
      <xdr:row>29</xdr:row>
      <xdr:rowOff>38100</xdr:rowOff>
    </xdr:from>
    <xdr:to>
      <xdr:col>2</xdr:col>
      <xdr:colOff>1325562</xdr:colOff>
      <xdr:row>29</xdr:row>
      <xdr:rowOff>457200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1878" t="27011" r="22560" b="29918"/>
        <a:stretch/>
      </xdr:blipFill>
      <xdr:spPr>
        <a:xfrm>
          <a:off x="2981326" y="13487400"/>
          <a:ext cx="1239836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27</xdr:row>
      <xdr:rowOff>9525</xdr:rowOff>
    </xdr:from>
    <xdr:to>
      <xdr:col>2</xdr:col>
      <xdr:colOff>1314450</xdr:colOff>
      <xdr:row>27</xdr:row>
      <xdr:rowOff>485775</xdr:rowOff>
    </xdr:to>
    <xdr:pic>
      <xdr:nvPicPr>
        <xdr:cNvPr id="1278978" name="Picture 2">
          <a:extLst>
            <a:ext uri="{FF2B5EF4-FFF2-40B4-BE49-F238E27FC236}">
              <a16:creationId xmlns:a16="http://schemas.microsoft.com/office/drawing/2014/main" id="{00000000-0008-0000-0200-00000284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81325" y="12449175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32</xdr:row>
      <xdr:rowOff>57150</xdr:rowOff>
    </xdr:from>
    <xdr:to>
      <xdr:col>2</xdr:col>
      <xdr:colOff>1266825</xdr:colOff>
      <xdr:row>33</xdr:row>
      <xdr:rowOff>28575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33700" y="15020925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123825</xdr:colOff>
      <xdr:row>34</xdr:row>
      <xdr:rowOff>76201</xdr:rowOff>
    </xdr:from>
    <xdr:to>
      <xdr:col>2</xdr:col>
      <xdr:colOff>1476375</xdr:colOff>
      <xdr:row>35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9425" y="16049626"/>
          <a:ext cx="1352550" cy="428624"/>
        </a:xfrm>
        <a:prstGeom prst="rect">
          <a:avLst/>
        </a:prstGeom>
      </xdr:spPr>
    </xdr:pic>
    <xdr:clientData/>
  </xdr:twoCellAnchor>
  <xdr:oneCellAnchor>
    <xdr:from>
      <xdr:col>2</xdr:col>
      <xdr:colOff>123825</xdr:colOff>
      <xdr:row>30</xdr:row>
      <xdr:rowOff>76201</xdr:rowOff>
    </xdr:from>
    <xdr:ext cx="1352550" cy="428624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9425" y="16049626"/>
          <a:ext cx="1352550" cy="428624"/>
        </a:xfrm>
        <a:prstGeom prst="rect">
          <a:avLst/>
        </a:prstGeom>
      </xdr:spPr>
    </xdr:pic>
    <xdr:clientData/>
  </xdr:oneCellAnchor>
  <xdr:twoCellAnchor editAs="oneCell">
    <xdr:from>
      <xdr:col>2</xdr:col>
      <xdr:colOff>219075</xdr:colOff>
      <xdr:row>35</xdr:row>
      <xdr:rowOff>28575</xdr:rowOff>
    </xdr:from>
    <xdr:to>
      <xdr:col>2</xdr:col>
      <xdr:colOff>1333500</xdr:colOff>
      <xdr:row>35</xdr:row>
      <xdr:rowOff>498949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14675" y="16506825"/>
          <a:ext cx="1114425" cy="470374"/>
        </a:xfrm>
        <a:prstGeom prst="rect">
          <a:avLst/>
        </a:prstGeom>
      </xdr:spPr>
    </xdr:pic>
    <xdr:clientData/>
  </xdr:twoCellAnchor>
  <xdr:twoCellAnchor editAs="oneCell">
    <xdr:from>
      <xdr:col>2</xdr:col>
      <xdr:colOff>270828</xdr:colOff>
      <xdr:row>15</xdr:row>
      <xdr:rowOff>47624</xdr:rowOff>
    </xdr:from>
    <xdr:to>
      <xdr:col>2</xdr:col>
      <xdr:colOff>1295402</xdr:colOff>
      <xdr:row>15</xdr:row>
      <xdr:rowOff>485775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459639" y="6479063"/>
          <a:ext cx="438151" cy="10245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66675</xdr:colOff>
      <xdr:row>17</xdr:row>
      <xdr:rowOff>28576</xdr:rowOff>
    </xdr:from>
    <xdr:to>
      <xdr:col>2</xdr:col>
      <xdr:colOff>1476375</xdr:colOff>
      <xdr:row>17</xdr:row>
      <xdr:rowOff>476250</xdr:rowOff>
    </xdr:to>
    <xdr:pic>
      <xdr:nvPicPr>
        <xdr:cNvPr id="36" name="Imagen 4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495" t="11280" r="5044" b="20291"/>
        <a:stretch/>
      </xdr:blipFill>
      <xdr:spPr>
        <a:xfrm>
          <a:off x="2962275" y="7762876"/>
          <a:ext cx="140970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19</xdr:row>
      <xdr:rowOff>50157</xdr:rowOff>
    </xdr:from>
    <xdr:to>
      <xdr:col>2</xdr:col>
      <xdr:colOff>1266826</xdr:colOff>
      <xdr:row>19</xdr:row>
      <xdr:rowOff>459129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6" y="8794107"/>
          <a:ext cx="1009650" cy="408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23</xdr:row>
      <xdr:rowOff>85725</xdr:rowOff>
    </xdr:from>
    <xdr:to>
      <xdr:col>2</xdr:col>
      <xdr:colOff>981075</xdr:colOff>
      <xdr:row>23</xdr:row>
      <xdr:rowOff>487664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0848975"/>
          <a:ext cx="847725" cy="401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18</xdr:row>
      <xdr:rowOff>85725</xdr:rowOff>
    </xdr:from>
    <xdr:to>
      <xdr:col>2</xdr:col>
      <xdr:colOff>1495425</xdr:colOff>
      <xdr:row>18</xdr:row>
      <xdr:rowOff>371475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8324850"/>
          <a:ext cx="14382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142875</xdr:colOff>
      <xdr:row>24</xdr:row>
      <xdr:rowOff>57150</xdr:rowOff>
    </xdr:from>
    <xdr:ext cx="1247775" cy="393716"/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38475" y="11325225"/>
          <a:ext cx="1247775" cy="393716"/>
        </a:xfrm>
        <a:prstGeom prst="rect">
          <a:avLst/>
        </a:prstGeom>
      </xdr:spPr>
    </xdr:pic>
    <xdr:clientData/>
  </xdr:oneCellAnchor>
  <xdr:twoCellAnchor editAs="oneCell">
    <xdr:from>
      <xdr:col>2</xdr:col>
      <xdr:colOff>295275</xdr:colOff>
      <xdr:row>22</xdr:row>
      <xdr:rowOff>66675</xdr:rowOff>
    </xdr:from>
    <xdr:to>
      <xdr:col>2</xdr:col>
      <xdr:colOff>1308735</xdr:colOff>
      <xdr:row>22</xdr:row>
      <xdr:rowOff>457200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0325100"/>
          <a:ext cx="101346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16</xdr:row>
      <xdr:rowOff>66675</xdr:rowOff>
    </xdr:from>
    <xdr:to>
      <xdr:col>2</xdr:col>
      <xdr:colOff>1133475</xdr:colOff>
      <xdr:row>17</xdr:row>
      <xdr:rowOff>4445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19450" y="7296150"/>
          <a:ext cx="809625" cy="44259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20</xdr:row>
      <xdr:rowOff>57150</xdr:rowOff>
    </xdr:from>
    <xdr:to>
      <xdr:col>2</xdr:col>
      <xdr:colOff>1247775</xdr:colOff>
      <xdr:row>20</xdr:row>
      <xdr:rowOff>495300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9305925"/>
          <a:ext cx="11239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209550</xdr:colOff>
      <xdr:row>24</xdr:row>
      <xdr:rowOff>495300</xdr:rowOff>
    </xdr:from>
    <xdr:to>
      <xdr:col>2</xdr:col>
      <xdr:colOff>1219200</xdr:colOff>
      <xdr:row>25</xdr:row>
      <xdr:rowOff>447675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05150" y="11763375"/>
          <a:ext cx="1009650" cy="457200"/>
        </a:xfrm>
        <a:prstGeom prst="rect">
          <a:avLst/>
        </a:prstGeom>
      </xdr:spPr>
    </xdr:pic>
    <xdr:clientData/>
  </xdr:twoCellAnchor>
  <xdr:oneCellAnchor>
    <xdr:from>
      <xdr:col>2</xdr:col>
      <xdr:colOff>123825</xdr:colOff>
      <xdr:row>20</xdr:row>
      <xdr:rowOff>466726</xdr:rowOff>
    </xdr:from>
    <xdr:ext cx="1285875" cy="466724"/>
    <xdr:pic>
      <xdr:nvPicPr>
        <xdr:cNvPr id="57" name="Imagen 40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8876"/>
        <a:stretch/>
      </xdr:blipFill>
      <xdr:spPr>
        <a:xfrm>
          <a:off x="3019425" y="9715501"/>
          <a:ext cx="1285875" cy="466724"/>
        </a:xfrm>
        <a:prstGeom prst="rect">
          <a:avLst/>
        </a:prstGeom>
      </xdr:spPr>
    </xdr:pic>
    <xdr:clientData/>
  </xdr:oneCellAnchor>
  <xdr:oneCellAnchor>
    <xdr:from>
      <xdr:col>2</xdr:col>
      <xdr:colOff>314325</xdr:colOff>
      <xdr:row>28</xdr:row>
      <xdr:rowOff>19050</xdr:rowOff>
    </xdr:from>
    <xdr:ext cx="542925" cy="461195"/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09925" y="13306425"/>
          <a:ext cx="542925" cy="461195"/>
        </a:xfrm>
        <a:prstGeom prst="rect">
          <a:avLst/>
        </a:prstGeom>
      </xdr:spPr>
    </xdr:pic>
    <xdr:clientData/>
  </xdr:oneCellAnchor>
  <xdr:twoCellAnchor editAs="oneCell">
    <xdr:from>
      <xdr:col>2</xdr:col>
      <xdr:colOff>190500</xdr:colOff>
      <xdr:row>26</xdr:row>
      <xdr:rowOff>28575</xdr:rowOff>
    </xdr:from>
    <xdr:to>
      <xdr:col>2</xdr:col>
      <xdr:colOff>1266690</xdr:colOff>
      <xdr:row>26</xdr:row>
      <xdr:rowOff>485718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86100" y="12306300"/>
          <a:ext cx="1076190" cy="4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27</xdr:row>
      <xdr:rowOff>19050</xdr:rowOff>
    </xdr:from>
    <xdr:to>
      <xdr:col>2</xdr:col>
      <xdr:colOff>1057274</xdr:colOff>
      <xdr:row>27</xdr:row>
      <xdr:rowOff>450904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000375" y="12801600"/>
          <a:ext cx="952499" cy="43185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3</xdr:row>
      <xdr:rowOff>28574</xdr:rowOff>
    </xdr:from>
    <xdr:to>
      <xdr:col>2</xdr:col>
      <xdr:colOff>1314449</xdr:colOff>
      <xdr:row>4</xdr:row>
      <xdr:rowOff>28575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695324"/>
          <a:ext cx="1028699" cy="50482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76200</xdr:colOff>
      <xdr:row>2</xdr:row>
      <xdr:rowOff>19050</xdr:rowOff>
    </xdr:from>
    <xdr:to>
      <xdr:col>2</xdr:col>
      <xdr:colOff>1438275</xdr:colOff>
      <xdr:row>3</xdr:row>
      <xdr:rowOff>25845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1800" y="180975"/>
          <a:ext cx="1362075" cy="5116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86852</xdr:colOff>
      <xdr:row>7</xdr:row>
      <xdr:rowOff>78266</xdr:rowOff>
    </xdr:from>
    <xdr:to>
      <xdr:col>2</xdr:col>
      <xdr:colOff>1387552</xdr:colOff>
      <xdr:row>8</xdr:row>
      <xdr:rowOff>28575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E4E4E4"/>
            </a:clrFrom>
            <a:clrTo>
              <a:srgbClr val="E4E4E4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2452" y="2764316"/>
          <a:ext cx="1300700" cy="4551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142875</xdr:colOff>
      <xdr:row>6</xdr:row>
      <xdr:rowOff>19050</xdr:rowOff>
    </xdr:from>
    <xdr:to>
      <xdr:col>2</xdr:col>
      <xdr:colOff>1400175</xdr:colOff>
      <xdr:row>7</xdr:row>
      <xdr:rowOff>1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2200275"/>
          <a:ext cx="1257300" cy="48577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47625</xdr:colOff>
      <xdr:row>12</xdr:row>
      <xdr:rowOff>28575</xdr:rowOff>
    </xdr:from>
    <xdr:to>
      <xdr:col>2</xdr:col>
      <xdr:colOff>1466850</xdr:colOff>
      <xdr:row>12</xdr:row>
      <xdr:rowOff>495300</xdr:rowOff>
    </xdr:to>
    <xdr:pic>
      <xdr:nvPicPr>
        <xdr:cNvPr id="65" name="Imagen 6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5238750"/>
          <a:ext cx="141922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209551</xdr:colOff>
      <xdr:row>4</xdr:row>
      <xdr:rowOff>48102</xdr:rowOff>
    </xdr:from>
    <xdr:to>
      <xdr:col>2</xdr:col>
      <xdr:colOff>1247775</xdr:colOff>
      <xdr:row>5</xdr:row>
      <xdr:rowOff>9525</xdr:rowOff>
    </xdr:to>
    <xdr:pic>
      <xdr:nvPicPr>
        <xdr:cNvPr id="66" name="Imagen 7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9" t="20349" r="39447" b="15553"/>
        <a:stretch/>
      </xdr:blipFill>
      <xdr:spPr>
        <a:xfrm>
          <a:off x="3105151" y="1219677"/>
          <a:ext cx="1038224" cy="4662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416662</xdr:colOff>
      <xdr:row>10</xdr:row>
      <xdr:rowOff>14606</xdr:rowOff>
    </xdr:from>
    <xdr:to>
      <xdr:col>2</xdr:col>
      <xdr:colOff>1171575</xdr:colOff>
      <xdr:row>10</xdr:row>
      <xdr:rowOff>495300</xdr:rowOff>
    </xdr:to>
    <xdr:pic>
      <xdr:nvPicPr>
        <xdr:cNvPr id="67" name="Imagen 30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262" y="4215131"/>
          <a:ext cx="754913" cy="48069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5</xdr:row>
      <xdr:rowOff>28576</xdr:rowOff>
    </xdr:from>
    <xdr:to>
      <xdr:col>2</xdr:col>
      <xdr:colOff>1371600</xdr:colOff>
      <xdr:row>5</xdr:row>
      <xdr:rowOff>476250</xdr:rowOff>
    </xdr:to>
    <xdr:pic>
      <xdr:nvPicPr>
        <xdr:cNvPr id="68" name="Imagen 3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028950" y="1704976"/>
          <a:ext cx="123825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9</xdr:row>
      <xdr:rowOff>28575</xdr:rowOff>
    </xdr:from>
    <xdr:to>
      <xdr:col>2</xdr:col>
      <xdr:colOff>1333500</xdr:colOff>
      <xdr:row>9</xdr:row>
      <xdr:rowOff>495301</xdr:rowOff>
    </xdr:to>
    <xdr:pic>
      <xdr:nvPicPr>
        <xdr:cNvPr id="69" name="Imagen 3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/>
        <a:srcRect l="10185" t="6024" r="10185" b="9638"/>
        <a:stretch/>
      </xdr:blipFill>
      <xdr:spPr>
        <a:xfrm>
          <a:off x="3019426" y="3724275"/>
          <a:ext cx="1209674" cy="466726"/>
        </a:xfrm>
        <a:prstGeom prst="rect">
          <a:avLst/>
        </a:prstGeom>
      </xdr:spPr>
    </xdr:pic>
    <xdr:clientData/>
  </xdr:twoCellAnchor>
  <xdr:oneCellAnchor>
    <xdr:from>
      <xdr:col>2</xdr:col>
      <xdr:colOff>47625</xdr:colOff>
      <xdr:row>11</xdr:row>
      <xdr:rowOff>39780</xdr:rowOff>
    </xdr:from>
    <xdr:ext cx="1419225" cy="466725"/>
    <xdr:pic>
      <xdr:nvPicPr>
        <xdr:cNvPr id="70" name="Imagen 6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4745130"/>
          <a:ext cx="1419225" cy="466725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416662</xdr:colOff>
      <xdr:row>9</xdr:row>
      <xdr:rowOff>14606</xdr:rowOff>
    </xdr:from>
    <xdr:ext cx="754913" cy="480694"/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262" y="3710306"/>
          <a:ext cx="754913" cy="480694"/>
        </a:xfrm>
        <a:prstGeom prst="rect">
          <a:avLst/>
        </a:prstGeom>
      </xdr:spPr>
    </xdr:pic>
    <xdr:clientData/>
  </xdr:oneCellAnchor>
  <xdr:oneCellAnchor>
    <xdr:from>
      <xdr:col>2</xdr:col>
      <xdr:colOff>123826</xdr:colOff>
      <xdr:row>8</xdr:row>
      <xdr:rowOff>28575</xdr:rowOff>
    </xdr:from>
    <xdr:ext cx="1209674" cy="466726"/>
    <xdr:pic>
      <xdr:nvPicPr>
        <xdr:cNvPr id="72" name="Imagen 38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/>
        <a:srcRect l="10185" t="6024" r="10185" b="9638"/>
        <a:stretch/>
      </xdr:blipFill>
      <xdr:spPr>
        <a:xfrm>
          <a:off x="3019426" y="3219450"/>
          <a:ext cx="1209674" cy="466726"/>
        </a:xfrm>
        <a:prstGeom prst="rect">
          <a:avLst/>
        </a:prstGeom>
      </xdr:spPr>
    </xdr:pic>
    <xdr:clientData/>
  </xdr:oneCellAnchor>
  <xdr:oneCellAnchor>
    <xdr:from>
      <xdr:col>2</xdr:col>
      <xdr:colOff>123825</xdr:colOff>
      <xdr:row>10</xdr:row>
      <xdr:rowOff>28576</xdr:rowOff>
    </xdr:from>
    <xdr:ext cx="1171575" cy="450380"/>
    <xdr:pic>
      <xdr:nvPicPr>
        <xdr:cNvPr id="73" name="Imagen 39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/>
        <a:srcRect l="4762" t="5883" r="11418" b="10283"/>
        <a:stretch/>
      </xdr:blipFill>
      <xdr:spPr>
        <a:xfrm>
          <a:off x="3019425" y="4229101"/>
          <a:ext cx="1171575" cy="450380"/>
        </a:xfrm>
        <a:prstGeom prst="rect">
          <a:avLst/>
        </a:prstGeom>
      </xdr:spPr>
    </xdr:pic>
    <xdr:clientData/>
  </xdr:oneCellAnchor>
  <xdr:oneCellAnchor>
    <xdr:from>
      <xdr:col>2</xdr:col>
      <xdr:colOff>85724</xdr:colOff>
      <xdr:row>12</xdr:row>
      <xdr:rowOff>38100</xdr:rowOff>
    </xdr:from>
    <xdr:ext cx="1333501" cy="428625"/>
    <xdr:pic>
      <xdr:nvPicPr>
        <xdr:cNvPr id="74" name="Imagen 48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/>
        <a:srcRect l="13910" t="26171" r="17208" b="35506"/>
        <a:stretch/>
      </xdr:blipFill>
      <xdr:spPr>
        <a:xfrm>
          <a:off x="2981324" y="5248275"/>
          <a:ext cx="1333501" cy="428625"/>
        </a:xfrm>
        <a:prstGeom prst="rect">
          <a:avLst/>
        </a:prstGeom>
      </xdr:spPr>
    </xdr:pic>
    <xdr:clientData/>
  </xdr:oneCellAnchor>
  <xdr:twoCellAnchor editAs="oneCell">
    <xdr:from>
      <xdr:col>2</xdr:col>
      <xdr:colOff>314325</xdr:colOff>
      <xdr:row>13</xdr:row>
      <xdr:rowOff>47625</xdr:rowOff>
    </xdr:from>
    <xdr:to>
      <xdr:col>2</xdr:col>
      <xdr:colOff>828675</xdr:colOff>
      <xdr:row>13</xdr:row>
      <xdr:rowOff>495300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/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209925" y="5762625"/>
          <a:ext cx="514350" cy="4476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14</xdr:row>
      <xdr:rowOff>76200</xdr:rowOff>
    </xdr:from>
    <xdr:to>
      <xdr:col>2</xdr:col>
      <xdr:colOff>1504951</xdr:colOff>
      <xdr:row>14</xdr:row>
      <xdr:rowOff>466725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1" y="6296025"/>
          <a:ext cx="1485900" cy="390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45495</xdr:rowOff>
    </xdr:from>
    <xdr:to>
      <xdr:col>11</xdr:col>
      <xdr:colOff>647700</xdr:colOff>
      <xdr:row>40</xdr:row>
      <xdr:rowOff>143230</xdr:rowOff>
    </xdr:to>
    <xdr:graphicFrame macro="">
      <xdr:nvGraphicFramePr>
        <xdr:cNvPr id="3937733" name="Chart 1">
          <a:extLst>
            <a:ext uri="{FF2B5EF4-FFF2-40B4-BE49-F238E27FC236}">
              <a16:creationId xmlns:a16="http://schemas.microsoft.com/office/drawing/2014/main" id="{00000000-0008-0000-0400-0000C5153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48</xdr:col>
      <xdr:colOff>66675</xdr:colOff>
      <xdr:row>49</xdr:row>
      <xdr:rowOff>9525</xdr:rowOff>
    </xdr:from>
    <xdr:to>
      <xdr:col>55</xdr:col>
      <xdr:colOff>381000</xdr:colOff>
      <xdr:row>57</xdr:row>
      <xdr:rowOff>0</xdr:rowOff>
    </xdr:to>
    <xdr:pic>
      <xdr:nvPicPr>
        <xdr:cNvPr id="3937735" name="5 Imagen">
          <a:extLst>
            <a:ext uri="{FF2B5EF4-FFF2-40B4-BE49-F238E27FC236}">
              <a16:creationId xmlns:a16="http://schemas.microsoft.com/office/drawing/2014/main" id="{00000000-0008-0000-0400-0000C7153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1725" y="9391650"/>
          <a:ext cx="56483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</xdr:col>
      <xdr:colOff>61411</xdr:colOff>
      <xdr:row>64</xdr:row>
      <xdr:rowOff>42031</xdr:rowOff>
    </xdr:from>
    <xdr:ext cx="1552236" cy="41036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4920411" y="7652506"/>
          <a:ext cx="1552236" cy="410369"/>
        </a:xfrm>
        <a:prstGeom prst="rect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ES" sz="1100" b="0" i="0">
              <a:latin typeface="Cambria Math"/>
            </a:rPr>
            <a:t>𝐴𝐺</a:t>
          </a:r>
          <a:r>
            <a:rPr lang="es-CO" sz="1100" i="0">
              <a:latin typeface="Cambria Math"/>
            </a:rPr>
            <a:t>=(</a:t>
          </a:r>
          <a:r>
            <a:rPr lang="es-ES" sz="1100" b="0" i="0">
              <a:latin typeface="Cambria Math"/>
            </a:rPr>
            <a:t>𝑇𝑀−𝑇𝐶𝑃</a:t>
          </a:r>
          <a:r>
            <a:rPr lang="es-CO" sz="1100" b="0" i="0">
              <a:latin typeface="Cambria Math"/>
            </a:rPr>
            <a:t>)/(</a:t>
          </a:r>
          <a:r>
            <a:rPr lang="es-ES" sz="1100" b="0" i="0">
              <a:latin typeface="Cambria Math"/>
            </a:rPr>
            <a:t>100−𝑇𝑀</a:t>
          </a:r>
          <a:r>
            <a:rPr lang="es-CO" sz="1100" b="0" i="0">
              <a:latin typeface="Cambria Math"/>
            </a:rPr>
            <a:t>)</a:t>
          </a:r>
          <a:endParaRPr lang="es-CO" sz="1100"/>
        </a:p>
      </xdr:txBody>
    </xdr:sp>
    <xdr:clientData/>
  </xdr:oneCellAnchor>
  <xdr:oneCellAnchor>
    <xdr:from>
      <xdr:col>27</xdr:col>
      <xdr:colOff>313763</xdr:colOff>
      <xdr:row>67</xdr:row>
      <xdr:rowOff>1</xdr:rowOff>
    </xdr:from>
    <xdr:ext cx="1030941" cy="410369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172763" y="8124826"/>
          <a:ext cx="1030941" cy="410369"/>
        </a:xfrm>
        <a:prstGeom prst="rect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ES" sz="1100" b="0" i="0">
              <a:latin typeface="Cambria Math"/>
            </a:rPr>
            <a:t>𝐺𝐴𝐹</a:t>
          </a:r>
          <a:r>
            <a:rPr lang="es-CO" sz="1100" i="0">
              <a:latin typeface="Cambria Math"/>
            </a:rPr>
            <a:t>=</a:t>
          </a:r>
          <a:r>
            <a:rPr lang="es-ES" sz="1100" b="0" i="0">
              <a:latin typeface="Cambria Math"/>
            </a:rPr>
            <a:t>𝑇𝐶𝑆</a:t>
          </a:r>
          <a:r>
            <a:rPr lang="es-CO" sz="1100" b="0" i="0">
              <a:latin typeface="Cambria Math"/>
            </a:rPr>
            <a:t>/</a:t>
          </a:r>
          <a:r>
            <a:rPr lang="es-ES" sz="1100" b="0" i="0">
              <a:latin typeface="Cambria Math"/>
            </a:rPr>
            <a:t>𝑇𝐶𝑃</a:t>
          </a:r>
          <a:endParaRPr lang="es-CO" sz="1100"/>
        </a:p>
      </xdr:txBody>
    </xdr:sp>
    <xdr:clientData/>
  </xdr:oneCellAnchor>
  <xdr:oneCellAnchor>
    <xdr:from>
      <xdr:col>28</xdr:col>
      <xdr:colOff>179295</xdr:colOff>
      <xdr:row>69</xdr:row>
      <xdr:rowOff>100854</xdr:rowOff>
    </xdr:from>
    <xdr:ext cx="806824" cy="336175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5352620" y="8606679"/>
          <a:ext cx="806824" cy="336175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lang="es-CO" sz="1100" b="0" i="1">
              <a:solidFill>
                <a:schemeClr val="tx1"/>
              </a:solidFill>
              <a:latin typeface="Cambria Math"/>
              <a:ea typeface="+mn-ea"/>
              <a:cs typeface="+mn-cs"/>
            </a:rPr>
            <a:t>FAF</a:t>
          </a:r>
          <a:r>
            <a:rPr lang="es-CO" sz="1100" b="0" i="0">
              <a:solidFill>
                <a:schemeClr val="tx1"/>
              </a:solidFill>
              <a:latin typeface="Cambria Math"/>
              <a:ea typeface="+mn-ea"/>
              <a:cs typeface="+mn-cs"/>
            </a:rPr>
            <a:t>=</a:t>
          </a:r>
          <a:r>
            <a:rPr lang="es-ES" sz="1100" b="0" i="0">
              <a:solidFill>
                <a:schemeClr val="tx1"/>
              </a:solidFill>
              <a:latin typeface="Cambria Math"/>
              <a:ea typeface="+mn-ea"/>
              <a:cs typeface="+mn-cs"/>
            </a:rPr>
            <a:t>𝑇𝐶𝑇</a:t>
          </a:r>
          <a:r>
            <a:rPr lang="es-CO" sz="1100" b="0" i="0">
              <a:solidFill>
                <a:schemeClr val="tx1"/>
              </a:solidFill>
              <a:latin typeface="Cambria Math"/>
              <a:ea typeface="+mn-ea"/>
              <a:cs typeface="+mn-cs"/>
            </a:rPr>
            <a:t>/</a:t>
          </a:r>
          <a:r>
            <a:rPr lang="es-ES" sz="1100" b="0" i="0">
              <a:solidFill>
                <a:schemeClr val="tx1"/>
              </a:solidFill>
              <a:latin typeface="Cambria Math"/>
              <a:ea typeface="+mn-ea"/>
              <a:cs typeface="+mn-cs"/>
            </a:rPr>
            <a:t>𝑇𝐶𝑆</a:t>
          </a:r>
          <a:endParaRPr lang="es-CO" sz="1100" b="0" i="1">
            <a:solidFill>
              <a:schemeClr val="tx1"/>
            </a:solidFill>
            <a:latin typeface="Cambria Math"/>
            <a:ea typeface="+mn-ea"/>
            <a:cs typeface="+mn-cs"/>
          </a:endParaRPr>
        </a:p>
      </xdr:txBody>
    </xdr:sp>
    <xdr:clientData/>
  </xdr:oneCellAnchor>
  <xdr:twoCellAnchor editAs="oneCell">
    <xdr:from>
      <xdr:col>8</xdr:col>
      <xdr:colOff>911088</xdr:colOff>
      <xdr:row>55</xdr:row>
      <xdr:rowOff>33130</xdr:rowOff>
    </xdr:from>
    <xdr:to>
      <xdr:col>11</xdr:col>
      <xdr:colOff>390244</xdr:colOff>
      <xdr:row>57</xdr:row>
      <xdr:rowOff>114482</xdr:rowOff>
    </xdr:to>
    <xdr:pic>
      <xdr:nvPicPr>
        <xdr:cNvPr id="10" name="9 Imagen" descr="MERCY045.jp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665305" y="9997108"/>
          <a:ext cx="2017776" cy="46939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55</xdr:row>
      <xdr:rowOff>19050</xdr:rowOff>
    </xdr:from>
    <xdr:to>
      <xdr:col>4</xdr:col>
      <xdr:colOff>22649</xdr:colOff>
      <xdr:row>57</xdr:row>
      <xdr:rowOff>180975</xdr:rowOff>
    </xdr:to>
    <xdr:pic>
      <xdr:nvPicPr>
        <xdr:cNvPr id="13" name="12 Imagen" descr="Pablo Vargas.JPG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2076" y="9991725"/>
          <a:ext cx="1146598" cy="5429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6</xdr:row>
          <xdr:rowOff>9525</xdr:rowOff>
        </xdr:from>
        <xdr:to>
          <xdr:col>13</xdr:col>
          <xdr:colOff>409575</xdr:colOff>
          <xdr:row>9</xdr:row>
          <xdr:rowOff>57150</xdr:rowOff>
        </xdr:to>
        <xdr:sp macro="" textlink="">
          <xdr:nvSpPr>
            <xdr:cNvPr id="1278233" name="Spinner 2329" hidden="1">
              <a:extLst>
                <a:ext uri="{63B3BB69-23CF-44E3-9099-C40C66FF867C}">
                  <a14:compatExt spid="_x0000_s1278233"/>
                </a:ext>
                <a:ext uri="{FF2B5EF4-FFF2-40B4-BE49-F238E27FC236}">
                  <a16:creationId xmlns:a16="http://schemas.microsoft.com/office/drawing/2014/main" id="{00000000-0008-0000-0400-000019811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30</xdr:row>
          <xdr:rowOff>123825</xdr:rowOff>
        </xdr:from>
        <xdr:to>
          <xdr:col>13</xdr:col>
          <xdr:colOff>400050</xdr:colOff>
          <xdr:row>33</xdr:row>
          <xdr:rowOff>200025</xdr:rowOff>
        </xdr:to>
        <xdr:sp macro="" textlink="">
          <xdr:nvSpPr>
            <xdr:cNvPr id="1278784" name="Spinner 2880" hidden="1">
              <a:extLst>
                <a:ext uri="{63B3BB69-23CF-44E3-9099-C40C66FF867C}">
                  <a14:compatExt spid="_x0000_s1278784"/>
                </a:ext>
                <a:ext uri="{FF2B5EF4-FFF2-40B4-BE49-F238E27FC236}">
                  <a16:creationId xmlns:a16="http://schemas.microsoft.com/office/drawing/2014/main" id="{00000000-0008-0000-0400-000040831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161925</xdr:colOff>
          <xdr:row>10</xdr:row>
          <xdr:rowOff>104775</xdr:rowOff>
        </xdr:from>
        <xdr:to>
          <xdr:col>16</xdr:col>
          <xdr:colOff>190500</xdr:colOff>
          <xdr:row>13</xdr:row>
          <xdr:rowOff>19050</xdr:rowOff>
        </xdr:to>
        <xdr:sp macro="" textlink="">
          <xdr:nvSpPr>
            <xdr:cNvPr id="1278785" name="Button 2881" hidden="1">
              <a:extLst>
                <a:ext uri="{63B3BB69-23CF-44E3-9099-C40C66FF867C}">
                  <a14:compatExt spid="_x0000_s1278785"/>
                </a:ext>
                <a:ext uri="{FF2B5EF4-FFF2-40B4-BE49-F238E27FC236}">
                  <a16:creationId xmlns:a16="http://schemas.microsoft.com/office/drawing/2014/main" id="{00000000-0008-0000-0400-000041831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Botón 4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0.0693</cdr:x>
      <cdr:y>0.01588</cdr:y>
    </cdr:from>
    <cdr:to>
      <cdr:x>0.0693</cdr:x>
      <cdr:y>0.03721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7633" y="53086"/>
          <a:ext cx="0" cy="670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6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N°200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\Datos\1%20Obra%20Dabeiba%20-%20Santa%20Fe\Mezcla%20Asfaltica\Control%20MDC\Datos\1%20Obra%20Dabeiba%20-%20Santa%20Fe\Mezcla%20Asfaltica\Datos\LABORATORIO-SAN-JAVIER-10\Ensayos\Equivalen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aboratorio\1.%20Calidad\1.%20GLAB\1.%20Formatos\1.%20Formatos%20de%20informe\9.%20Mezcla%20asfaltica\Mezcla%20Asfaltica%20Agosto%20ok%2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CSERVER1\TECNICO\PLANMIN\PLANES\PLANSEM\2000\TRIMES02\SEM23-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LANMIN\PLANES\PLANSEM\2001\Trimes02\Sem17-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CSERVER1\TECNICO\PLANMIN\PLANES\PLANSEM\2000\TRIMES02\SEM25-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idad\Junio\Documents%20and%20Settings\Adriana.Gallego.ADRIANAG\Configuraci&#243;n%20local\Archivos%20temporales%20de%20Internet\OLK2B\CALC%20PRODUCCION%20EQUIPOS%20ANDR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idad\Junio\Documents%20and%20Settings\Adriana.Gallego.ADRIANAG\Configuraci&#243;n%20local\Archivos%20temporales%20de%20Internet\OLK2B\PROPUESTA\glencore\CALC%20PRODUCCION%20CCC-GLENCOR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\Datos\1%20Obra%20Dabeiba%20-%20Santa%20Fe\Mezcla%20Asfaltica\Control%20MDC\Datos\1%20Obra%20Dabeiba%20-%20Santa%20Fe\Mezcla%20Asfaltica\Datos\LABORATORIO-SAN-JAVIER-09\Concretos\ARENA--CONCRET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\Datos\1%20Obra%20Dabeiba%20-%20Santa%20Fe\Mezcla%20Asfaltica\Control%20MDC\Datos\1%20Obra%20Dabeiba%20-%20Santa%20Fe\Mezcla%20Asfaltica\Datos\LABORATORIO-SAN-JAVIER-10\BASE\BASE-INV.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\Datos\1%20Obra%20Dabeiba%20-%20Santa%20Fe\Mezcla%20Asfaltica\Control%20MDC\Datos\1%20Obra%20Dabeiba%20-%20Santa%20Fe\Mezcla%20Asfaltica\datos\Laboratorio\Mezcla-%20MDC%20-1\Laboratorio\BaseA2\GRADACIONA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-lab-12781\LABORATORIO\Users\mercy.rivera\Desktop\Cambio%20de%20Version\Para%20digitar\9.%20Mezcla%20asfaltica\PRO-L-FM-030%20V1%20Mezcla%20Asfaltica%20IDU%20510%20Quince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iuBPMarco9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PRINCIPAL\Licitaciones\Licitaciones%202000\05-2000%20IDU%20LP%20GPTN%20002-2000\Anexo2PU%20y%20AIU-%2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\Datos\1%20Obra%20Dabeiba%20-%20Santa%20Fe\Mezcla%20Asfaltica\Control%20MDC\Datos\1%20Obra%20Dabeiba%20-%20Santa%20Fe\Mezcla%20Asfaltica\Datos\LABORATORIO\MEZL-ASFALTICA\MDC-1\Arena-sucia-MDC-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\Datos\1%20Obra%20Dabeiba%20-%20Santa%20Fe\Mezcla%20Asfaltica\Control%20MDC\Datos\1%20Obra%20Dabeiba%20-%20Santa%20Fe\Mezcla%20Asfaltica\Datos\LABORATORIO-SAN-JAVIER-10\Ensayos\CLASIFICACINES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\Datos\1%20Obra%20Dabeiba%20-%20Santa%20Fe\Mezcla%20Asfaltica\Control%20MDC\Datos\1%20Obra%20Dabeiba%20-%20Santa%20Fe\Mezcla%20Asfaltica\Datos\LABORATORIO-SAN-JAVIER-10\Ensayos\Part&#237;culas-deleznabl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\Datos\1%20Obra%20Dabeiba%20-%20Santa%20Fe\Mezcla%20Asfaltica\Control%20MDC\Datos\1%20Obra%20Dabeiba%20-%20Santa%20Fe\Mezcla%20Asfaltica\datos%202001\LABORATORIO\ESTUDIOS\LIMIT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\Datos\1%20Obra%20Dabeiba%20-%20Santa%20Fe\Mezcla%20Asfaltica\Control%20MDC\Datos\1%20Obra%20Dabeiba%20-%20Santa%20Fe\Mezcla%20Asfaltica\Datos\LABORATORIO-SAN-JAVIER-10\MEZCLA%20-ASFALTICA\MDC-2\INMERSI&#211;N-Compresi&#243;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aboratorio\ARCHIVO\MEZCLA\Caras%20fract%20C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-lab-12781\laboratorio\1.%20Calidad\Formatos%20para%20digitar\9.%20Mezcla%20asfaltica\PRO-L-FM-029%20%20V1%20TS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\Datos\1%20Obra%20Dabeiba%20-%20Santa%20Fe\Mezcla%20Asfaltica\Control%20MDC\Datos\1%20Obra%20Dabeiba%20-%20Santa%20Fe\Mezcla%20Asfaltica\datos\Laboratorio\Mezcla-%20MDC%20-1\Frac%20Alarg.%20Aplan%20MDC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IANA%20PAO\Configuraci&#243;n%20local\Archivos%20temporales%20de%20Internet\Content.IE5\S1MFOXQ3\DATOS\Equipos\COSTO%20DE%20PROPIEDA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445B2B\COSTO%20DE%20PROPIEDA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isco%20duro\irina\CLAS-BO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\Datos\1%20Obra%20Dabeiba%20-%20Santa%20Fe\Mezcla%20Asfaltica\Control%20MDC\Datos\1%20Obra%20Dabeiba%20-%20Santa%20Fe\Mezcla%20Asfaltica\Datos\LABORATORIO-SAN-JAVIER-10\MEZCLA%20-ASFALTICA\MDC-2\MDC-2-SAN-JAVIER-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os\Laboratorio\BaseB2\PART.ALARGADA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SR!$V$51;firma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Formato"/>
      <sheetName val="Hoja3"/>
    </sheetNames>
    <sheetDataSet>
      <sheetData sheetId="0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732"/>
      <sheetName val="782"/>
      <sheetName val="733 - 735"/>
      <sheetName val="748"/>
      <sheetName val="TSR"/>
      <sheetName val="firmas"/>
      <sheetName val="Hoja1"/>
    </sheetNames>
    <sheetDataSet>
      <sheetData sheetId="0"/>
      <sheetData sheetId="1"/>
      <sheetData sheetId="2"/>
      <sheetData sheetId="3"/>
      <sheetData sheetId="4">
        <row r="43">
          <cell r="I43" t="str">
            <v>--</v>
          </cell>
        </row>
      </sheetData>
      <sheetData sheetId="5"/>
      <sheetData sheetId="6">
        <row r="26">
          <cell r="A26" t="str">
            <v>CABALLERO YESID</v>
          </cell>
        </row>
        <row r="36">
          <cell r="A36" t="str">
            <v xml:space="preserve">VARGAS PABLO </v>
          </cell>
        </row>
        <row r="37">
          <cell r="A37" t="str">
            <v>CONTRERAS WILINTONG</v>
          </cell>
        </row>
        <row r="38">
          <cell r="A38" t="str">
            <v>--</v>
          </cell>
        </row>
      </sheetData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"/>
      <sheetName val="PRODUCCION"/>
      <sheetName val="Prod. x Nivel"/>
      <sheetName val="CRONOG."/>
      <sheetName val="CALIDAD"/>
      <sheetName val="CIVILES"/>
      <sheetName val="BASE DATO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"/>
      <sheetName val="EQUIPOS"/>
      <sheetName val="PRODUCC"/>
      <sheetName val="Grono-Pala"/>
      <sheetName val="CALIDAD"/>
      <sheetName val="BD_831"/>
      <sheetName val="BD_OREG1"/>
      <sheetName val="BD_OREG2"/>
      <sheetName val="BD100-45"/>
      <sheetName val="BD100_4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"/>
      <sheetName val="PRODUCCION"/>
      <sheetName val="Prod. x Nivel"/>
      <sheetName val="CRONOG."/>
      <sheetName val="CIVILES"/>
      <sheetName val="BD-831"/>
      <sheetName val="BD100-45-P1"/>
      <sheetName val="ANEXO"/>
      <sheetName val="BD100_45_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YUDA"/>
      <sheetName val="CAL PRODUC"/>
      <sheetName val="ListEquipos"/>
      <sheetName val="CALC PROD MENSUAL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 CCC"/>
      <sheetName val="DATOS ENTRADA"/>
      <sheetName val="CAL PRODUC"/>
      <sheetName val="CALC PROD MENSUAL"/>
      <sheetName val="Glencore 1mill- PITAB"/>
      <sheetName val="Glencore 4mill- PITAB"/>
      <sheetName val="Glencore 10mill-PITAB"/>
      <sheetName val="Glencore total-PITAB 365"/>
      <sheetName val="Glencore total-PITAB 365 alter"/>
      <sheetName val="Glencore total-PITAB O&amp;K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INV"/>
      <sheetName val="ASJ"/>
      <sheetName val="Cemex"/>
      <sheetName val="INV (2)"/>
      <sheetName val="CALIDAD-ASJ"/>
      <sheetName val="CALIDAD-ASJ (5)"/>
      <sheetName val="Valle Aburrá"/>
      <sheetName val="for"/>
      <sheetName val="Hoja1"/>
      <sheetName val="GRIS"/>
      <sheetName val="ROJA"/>
      <sheetName val="CALIDAD-ASJ (6)"/>
    </sheetNames>
    <sheetDataSet>
      <sheetData sheetId="0">
        <row r="3">
          <cell r="L3">
            <v>356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GRAFICO"/>
      <sheetName val="Valle Aburrá"/>
      <sheetName val="Estadis."/>
      <sheetName val="calculos"/>
      <sheetName val="INV"/>
      <sheetName val="FORM"/>
      <sheetName val="calculos (2)"/>
    </sheetNames>
    <sheetDataSet>
      <sheetData sheetId="0">
        <row r="3">
          <cell r="B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I5">
            <v>2</v>
          </cell>
        </row>
      </sheetData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</sheetNames>
    <sheetDataSet>
      <sheetData sheetId="0">
        <row r="3">
          <cell r="B3" t="str">
            <v>Muestra base asfáltica tomada en planta depositada en el K15+315 al 14+600 LD.</v>
          </cell>
        </row>
        <row r="4">
          <cell r="B4" t="str">
            <v>Muestra base asfáltica tomada en planta depositada en el K15+315 al 14+540 L.I.</v>
          </cell>
        </row>
        <row r="5">
          <cell r="B5" t="str">
            <v>Muestra base asfáltica tomada en planta depositada en el K14+600 al 14+320 LD.</v>
          </cell>
        </row>
        <row r="6">
          <cell r="B6" t="str">
            <v>Muestra base asfáltica tomada en planta depositada en el K14+420 al K13+980 LD.</v>
          </cell>
        </row>
        <row r="7">
          <cell r="B7" t="str">
            <v>Muestra base asfáltica tomada en planta depositada en el K14+420 al K13+980 LD.</v>
          </cell>
        </row>
        <row r="8">
          <cell r="B8" t="str">
            <v>Muestra base asfáltica tomada en planta depositada en el K14+324 .K13+920 L.l</v>
          </cell>
        </row>
        <row r="9">
          <cell r="B9" t="str">
            <v>Muestra base asfáltica tomada en planta depositada en el K13+890 K13+418 L.l</v>
          </cell>
        </row>
        <row r="10">
          <cell r="B10" t="str">
            <v>Muestra base asfáltica tomada en planta depositada entre el K13+200  al K13+420 L.l</v>
          </cell>
        </row>
        <row r="11">
          <cell r="B11" t="str">
            <v>Muestra base asfáltica tomada en planta depositada entre el K13+320 al K13+550 L.D.</v>
          </cell>
        </row>
        <row r="12">
          <cell r="B12" t="str">
            <v>Muestra base asfáltica tomada en planta depositada en el K14+490 K14+360 L.D.</v>
          </cell>
        </row>
        <row r="13">
          <cell r="B13" t="str">
            <v>Muestra base asfáltica tomada en planta depositada entre el K14+410 al  K14+360 L.I.</v>
          </cell>
        </row>
        <row r="16">
          <cell r="B16" t="str">
            <v>Muestra base asfáltica tomada en planta depositada entre el K13+150 y el  K13+000 L.D.</v>
          </cell>
        </row>
        <row r="17">
          <cell r="B17" t="str">
            <v>Muestra base asfáltica tomada en la via entre el K13+000 y el K12+920 L.D.</v>
          </cell>
        </row>
        <row r="18">
          <cell r="B18" t="str">
            <v>Muestra base asfáltica tomada en planta depositada en el K12+920 K12+820 L.D.</v>
          </cell>
        </row>
        <row r="19">
          <cell r="B19" t="str">
            <v>Muestra base asfáltica tomada en planta depositada entre el K13+200 y el  K13+000 L.I.</v>
          </cell>
        </row>
        <row r="20">
          <cell r="B20" t="str">
            <v>Muestra base asfáltica tomada de la volqueta VD 19 depositada entre el K13+000 y el  K12+970 L.I.</v>
          </cell>
        </row>
        <row r="21">
          <cell r="B21" t="str">
            <v>Muestra base asfáltica tomada de la planta depositada entre el K12+850 y el  K12+715L.I.</v>
          </cell>
        </row>
        <row r="22">
          <cell r="B22" t="str">
            <v>Muestra base asfáltica tomada de la planta depositada entre el K12+850 y el  K12+715L.I.</v>
          </cell>
        </row>
        <row r="23">
          <cell r="B23" t="str">
            <v>Muestra base asfáltica tomada de la planta depositada entre el K12+715 y el  K12+680L.I.</v>
          </cell>
        </row>
        <row r="24">
          <cell r="B24" t="str">
            <v>Muestra base asfáltica tomada de la planta depositada entre el K12+680 y el  K12+640L.I.</v>
          </cell>
        </row>
        <row r="25">
          <cell r="B25" t="str">
            <v>Muestra base asfáltica tomada de la via entre el K12+640 y el  K12+610L.I.</v>
          </cell>
        </row>
        <row r="26">
          <cell r="B26" t="str">
            <v>base asfáltica de 1 ½" tomada de la planta depositada entre el K13+820 y el  K13+100.</v>
          </cell>
        </row>
        <row r="27">
          <cell r="B27" t="str">
            <v>Base asfáltica 1 ½" tomada de la volqueta VD 19 depositada entre el K13+100 y el  K13+070.</v>
          </cell>
        </row>
        <row r="28">
          <cell r="B28" t="str">
            <v>Base asfáltica 1 ½" tomada de la planta depositada entre el K13+070 y el  K12+050.</v>
          </cell>
        </row>
        <row r="29">
          <cell r="B29" t="str">
            <v>Muestra base asfáltica tomada de la planta depositada entre el K12+050 y el  K11+850.</v>
          </cell>
        </row>
        <row r="30">
          <cell r="B30" t="str">
            <v>Muestra base asfáltica tomada de la planta depositada entre el K12+610 y el  K12+480.</v>
          </cell>
        </row>
        <row r="31">
          <cell r="B31" t="str">
            <v>Muestra base asfáltica tomada en la via en el  K12+550 L.D.</v>
          </cell>
        </row>
        <row r="32">
          <cell r="B32" t="str">
            <v>Muestra base asfáltica tomada en la via en el  K12+480 L.I.</v>
          </cell>
        </row>
        <row r="33">
          <cell r="B33" t="str">
            <v>Muestra base asfáltica tomada en la via en el  K12+600 L.I.</v>
          </cell>
        </row>
        <row r="34">
          <cell r="B34" t="str">
            <v>Muestra base asfáltica tomada en la via en el  K12+040 L.D.</v>
          </cell>
        </row>
        <row r="35">
          <cell r="B35" t="str">
            <v>Muestra base asfáltica tomada en la via en el  K12+530 EJE.</v>
          </cell>
        </row>
        <row r="36">
          <cell r="B36" t="str">
            <v>Muestra base asfáltica tomada en la via en el  K12+030 L.D.</v>
          </cell>
        </row>
        <row r="37">
          <cell r="B37" t="str">
            <v>Muestra base asfáltica tomada de la planta depositada entre el K13+890 y el  K13+920 L.I.</v>
          </cell>
        </row>
        <row r="38">
          <cell r="B38" t="str">
            <v>Muestra base asfáltica tomada de la planta depositada entre el K15+315 y el  K15+325 L.i.y l. D.</v>
          </cell>
        </row>
        <row r="39">
          <cell r="B39" t="str">
            <v>Muestra base asfáltica tomada de la planta depositada entre el K12+170 y el  K11+380 Lado izquierdo</v>
          </cell>
        </row>
        <row r="40">
          <cell r="B40" t="str">
            <v>Muestra base asfáltica tomada de la planta depositada entre el K12+170 y el  K11+380 Lado izquierdo</v>
          </cell>
        </row>
        <row r="41">
          <cell r="B41" t="str">
            <v>Muestra base asfáltica tomada en la via en el  K9+825 L.D.</v>
          </cell>
        </row>
        <row r="42">
          <cell r="B42" t="str">
            <v>Muestra base asfáltica tomada en la via en el  K9+320 L.D.</v>
          </cell>
        </row>
        <row r="43">
          <cell r="B43" t="str">
            <v>Muestra base asfáltica tomada de la planta depositada entre el K11+040 y el  K11+850 derecho.</v>
          </cell>
        </row>
        <row r="44">
          <cell r="B44" t="str">
            <v>Muestra base asfáltica tomada de la planta depositada entre el K11+040 y el  K11+850 derecho.</v>
          </cell>
        </row>
        <row r="45">
          <cell r="B45" t="str">
            <v>Muestra base asfáltica tomada de la planta depositada entre el K11+040 y el  K11+850 derecho.</v>
          </cell>
        </row>
        <row r="46">
          <cell r="B46" t="str">
            <v>Muestra base asfáltica tomada en la via en el  K11+170 Margen derecha lado derecho.</v>
          </cell>
        </row>
        <row r="47">
          <cell r="B47" t="str">
            <v>Muestra base asfáltica tomada en la via en el  K11+170 Margen derecha eje</v>
          </cell>
        </row>
        <row r="48">
          <cell r="B48" t="str">
            <v>Muestra base asfáltica tomada en la via en el  K11+170 Margen derecha lado izquierdo.</v>
          </cell>
        </row>
        <row r="49">
          <cell r="B49" t="str">
            <v>Muestra base asfáltica tomada de la planta depositada entre el K11+380 y el   10+540 izquierda.</v>
          </cell>
        </row>
        <row r="50">
          <cell r="B50" t="str">
            <v>Muestra base asfáltica tomada de la planta depositada entre el K11+380 y el   10+540 izquierda.</v>
          </cell>
        </row>
        <row r="51">
          <cell r="B51" t="str">
            <v>Muestra base asfáltica tomada de la planta depositada entre el K11+380 y el   10+540 izquierda.</v>
          </cell>
        </row>
        <row r="52">
          <cell r="B52" t="str">
            <v>Muestra base asfáltica tomada en la via en el  K11+770 Margen izquierda lado derecho.</v>
          </cell>
        </row>
        <row r="53">
          <cell r="B53" t="str">
            <v>Muestra base asfáltica tomada en la via en el  K11+770 Margen izquierda lado izquierdo.</v>
          </cell>
        </row>
        <row r="54">
          <cell r="B54" t="str">
            <v>Muestra base asfáltica tomada de la planta depositada entre el K11+040 y el   10+190derecha.</v>
          </cell>
        </row>
        <row r="55">
          <cell r="B55" t="str">
            <v>Muestra base asfáltica tomada de la planta depositada entre el K11+040 y el   10+190derecha.</v>
          </cell>
        </row>
        <row r="56">
          <cell r="B56" t="str">
            <v>Muestra base asfáltica tomada de la planta depositada entre el K11+040 y el   10+190derecha.</v>
          </cell>
        </row>
        <row r="57">
          <cell r="B57" t="str">
            <v>Muestra base asfáltica tomada en la via en el  K10+660 lado derecho (derecha).</v>
          </cell>
        </row>
        <row r="58">
          <cell r="B58" t="str">
            <v>Muestra base asfáltica tomada en la via en el  K10+600 lado derecho (eje).</v>
          </cell>
        </row>
        <row r="59">
          <cell r="B59" t="str">
            <v>Muestra base asfáltica tomada en la via en el  K10+600 lado derecho (izquierdo).</v>
          </cell>
        </row>
        <row r="60">
          <cell r="B60" t="str">
            <v xml:space="preserve">Muestra base asfáltica tomada de la planta </v>
          </cell>
        </row>
        <row r="61">
          <cell r="B61" t="str">
            <v xml:space="preserve">Muestra base asfáltica tomada de la planta </v>
          </cell>
        </row>
        <row r="62">
          <cell r="B62" t="str">
            <v>Muestra base asfáltica tomada en la via en el  K10+318 lado izquierdo (derecho).</v>
          </cell>
        </row>
        <row r="63">
          <cell r="B63" t="str">
            <v xml:space="preserve">Muestra base asfáltica tomada de la planta </v>
          </cell>
        </row>
        <row r="64">
          <cell r="B64" t="str">
            <v>Muestra base asfáltica tomada en la via en el  K10+318 lado izquierdo (izquierda).</v>
          </cell>
        </row>
        <row r="65">
          <cell r="B65" t="str">
            <v>Muestra base asfáltica tomada de la planta depositada entre el K8+870 y el   K 8+640 izquierdo.</v>
          </cell>
        </row>
        <row r="66">
          <cell r="B66" t="str">
            <v>Muestra base asfáltica tomada de la planta depositada entre el K8+870 y el   K 8+640 izquierdo.</v>
          </cell>
        </row>
        <row r="67">
          <cell r="B67" t="str">
            <v>Muestra base asfáltica tomada de la planta depositada entre el K8+870 y el   K 8+640 izquierdo.</v>
          </cell>
        </row>
        <row r="68">
          <cell r="B68" t="str">
            <v>Muestra base asfáltica tomada en la via en el  K8+760 lado izquierdo (eje).</v>
          </cell>
        </row>
        <row r="69">
          <cell r="B69" t="str">
            <v>Muestra base asfáltica tomada en la via en el  K8+760 lado izquierdo (izquierdo).</v>
          </cell>
        </row>
        <row r="70">
          <cell r="B70" t="str">
            <v>Muestra base asfáltica tomada en la via en el  K8+760 lado izquierdo (derecho).</v>
          </cell>
        </row>
        <row r="71">
          <cell r="B71" t="str">
            <v>Muestra base asfáltica tomada de la planta depositada entre el K8+870 y el   K 8+640 izquierdo.</v>
          </cell>
        </row>
        <row r="72">
          <cell r="B72" t="str">
            <v>Muestra base asfáltica tomada de la planta depositada entre el K8+870 y el   K 8+700 izquierdo.</v>
          </cell>
        </row>
        <row r="73">
          <cell r="B73" t="str">
            <v>Muestra base asfáltica tomada de la planta depositada entre el K8+870 y el   K 8+700 izquierdo.</v>
          </cell>
        </row>
        <row r="74">
          <cell r="B74" t="str">
            <v>Muestra base asfáltica tomada de la planta depositada entre el K43+545 y el   K 43+565 derecho.</v>
          </cell>
        </row>
        <row r="75">
          <cell r="B75" t="str">
            <v>Muestra base asfáltica tomada de la planta depositada entre el K43+740 y el   K 43+775 derecho.</v>
          </cell>
        </row>
        <row r="76">
          <cell r="B76" t="str">
            <v>Muestra base asfáltica tomada de la planta depositada entre el K43+935 y el   K 43+995 derecho.</v>
          </cell>
        </row>
        <row r="77">
          <cell r="B77" t="str">
            <v>Muestra base asfáltica tomada de la planta depositada entre el K44+155 y el   K 44+175 derecho.</v>
          </cell>
        </row>
        <row r="78">
          <cell r="B78" t="str">
            <v>Muestra base asfáltica tomada en la via en el  K44+965 lado derecho (eje).</v>
          </cell>
        </row>
        <row r="79">
          <cell r="B79" t="str">
            <v>Muestra base asfáltica tomada en la via en el  K44+965 lado derecho (derecho).</v>
          </cell>
        </row>
        <row r="80">
          <cell r="B80" t="str">
            <v>Muestra base asfáltica tomada en la via en el  K44+965 lado derecho (izquierdo).</v>
          </cell>
        </row>
        <row r="81">
          <cell r="B81" t="str">
            <v>Muestra base asfáltica tomada de la planta depositada entre el K44+480 y el   K 44+500 derecho.</v>
          </cell>
        </row>
        <row r="82">
          <cell r="B82" t="str">
            <v>Muestra base asfáltica tomada de la planta depositada entre el K44+910 y el   K 44+930 derecho.</v>
          </cell>
        </row>
        <row r="83">
          <cell r="B83" t="str">
            <v>Muestra base asfáltica tomada de la planta depositada entre el K45+130 y el   K 45+150 derecho.</v>
          </cell>
        </row>
        <row r="84">
          <cell r="B84" t="str">
            <v>Muestra base asfáltica tomada de la planta depositada entre el K45+210 y el   K 45+235 derecho.</v>
          </cell>
        </row>
        <row r="85">
          <cell r="B85" t="str">
            <v>Muestra base asfáltica tomada en la via en el  K44+620 lado derecho (eje).</v>
          </cell>
        </row>
        <row r="86">
          <cell r="B86" t="str">
            <v>Muestra base asfáltica tomada en la via en el  K44+620 lado derecho (derecho).</v>
          </cell>
        </row>
        <row r="87">
          <cell r="B87" t="str">
            <v>Muestra base asfáltica tomada en la via en el  K44+620 lado derecho (izquierdo).</v>
          </cell>
        </row>
        <row r="88">
          <cell r="B88" t="str">
            <v>Muestra base asfáltica tomada de la planta depositada entre el K13+200 y el   K 12+910 izquierdo.</v>
          </cell>
        </row>
        <row r="89">
          <cell r="B89" t="str">
            <v>Muestra base asfáltica tomada de la planta depositada entre el K13+200 y el   K 12+910 izquierdo.</v>
          </cell>
        </row>
        <row r="90">
          <cell r="B90" t="str">
            <v>Muestra base asfáltica tomada en la via en el  K45+360 margen derecha lado derecho.</v>
          </cell>
        </row>
        <row r="91">
          <cell r="B91" t="str">
            <v>Muestra base asfáltica tomada en la via en el  K45+360 margen derecha eje.</v>
          </cell>
        </row>
        <row r="92">
          <cell r="B92" t="str">
            <v>Muestra base asfáltica tomada en la via en el  K45+360 margen derecha lado izquierdo.</v>
          </cell>
        </row>
        <row r="93">
          <cell r="B93" t="str">
            <v>Muestra base asfáltica tomada de la planta depositada entre el K45+930 y el   K 46+100 izquierdo.</v>
          </cell>
        </row>
        <row r="94">
          <cell r="B94" t="str">
            <v>Muestra base asfáltica tomada de la planta depositada entre el K46+100 y el   K 46+285 derecha.</v>
          </cell>
        </row>
        <row r="95">
          <cell r="B95" t="str">
            <v>Muestra base asfáltica tomada en la via en la berma del  K45+950  lado derecho.</v>
          </cell>
        </row>
        <row r="96">
          <cell r="B96" t="str">
            <v>Muestra base asfáltica tomada en la via en la berma del  K46+000  lado derecho.</v>
          </cell>
        </row>
        <row r="97">
          <cell r="B97" t="str">
            <v>Muestra base asfáltica tomada en la via en la berma del  K46+020  lado derecho.</v>
          </cell>
        </row>
        <row r="98">
          <cell r="B98" t="str">
            <v>Muestra base asfáltica tomada de la planta depositada entre el K42+760 y el   K 43+340 izquierda.</v>
          </cell>
        </row>
        <row r="99">
          <cell r="B99" t="str">
            <v>Muestra base asfáltica tomada de la planta depositada entre el K8+650 y el   K 43+180 izquierda.</v>
          </cell>
        </row>
        <row r="100">
          <cell r="B100" t="str">
            <v>Muestra base asfáltica tomada en la via en el  K8+440  Margen izquierda lado izquierdo.</v>
          </cell>
        </row>
        <row r="101">
          <cell r="B101" t="str">
            <v>Muestra base asfáltica tomada en la via en el  K8+440  Margen izquierda lado derecho.</v>
          </cell>
        </row>
        <row r="102">
          <cell r="B102" t="str">
            <v>Muestra base asfáltica tomada en la via en el  K8+440  Margen izquierda eje.</v>
          </cell>
        </row>
        <row r="103">
          <cell r="B103" t="str">
            <v>Muestra base asfáltica tomada de la planta depositada entre el K8+700 y el   K 8+680 izquierda.</v>
          </cell>
        </row>
        <row r="104">
          <cell r="B104" t="str">
            <v>Muestra base asfáltica tomada de la planta depositada entre el K8+380 y el   K 43+320 izquierda.</v>
          </cell>
        </row>
        <row r="105">
          <cell r="B105" t="str">
            <v>Muestra base asfáltica tomada de la planta depositada entre el K43+340 y el   K 43+360 izquierda.</v>
          </cell>
        </row>
        <row r="106">
          <cell r="B106" t="str">
            <v>Muestra base asfáltica tomada de la planta depositada entre el K44+040 y el   K 44+070 izquierda.</v>
          </cell>
        </row>
        <row r="107">
          <cell r="B107" t="str">
            <v>Muestra base asfáltica tomada en la via en la berma del K43+880  lado izquierdo.</v>
          </cell>
        </row>
        <row r="108">
          <cell r="B108" t="str">
            <v>Muestra base asfáltica tomada en la via en la berma del K43+440  lado izquierdo.</v>
          </cell>
        </row>
        <row r="109">
          <cell r="B109" t="str">
            <v>Muestra base asfáltica tomada en la via en la berma del K43+450  lado izquierdo.</v>
          </cell>
        </row>
        <row r="110">
          <cell r="B110" t="str">
            <v>Muestra base asfáltica tomada de la planta depositada entre el K8+320 y el   K 8+035 derecha.</v>
          </cell>
        </row>
        <row r="111">
          <cell r="B111" t="str">
            <v>Muestra base asfáltica tomada de la planta depositada entre el K8+180 y el   K 7+870 izquierda.</v>
          </cell>
        </row>
        <row r="112">
          <cell r="B112" t="str">
            <v>Muestra base asfáltica tomada de la planta depositada entre el K44+070 y el   K 44+100 izquierdo.</v>
          </cell>
        </row>
        <row r="113">
          <cell r="B113" t="str">
            <v>Muestra base asfáltica tomada de la planta depositada entre el K44+220 y el   K 44+250 izquierdo.</v>
          </cell>
        </row>
        <row r="114">
          <cell r="B114" t="str">
            <v>Muestra base asfáltica tomada de la planta depositada entre el K44+480 y el   K 44+510 izquierdo.</v>
          </cell>
        </row>
        <row r="115">
          <cell r="B115" t="str">
            <v>Muestra base asfáltica tomada de la planta depositada entre el K44+680 y el   K 44+710 izquierdo.</v>
          </cell>
        </row>
        <row r="116">
          <cell r="B116" t="str">
            <v>Muestra base asfáltica tomada en la via en el  K7+830  Margen izquierda lado derecho.</v>
          </cell>
        </row>
        <row r="117">
          <cell r="B117" t="str">
            <v>Muestra base asfáltica tomada en la via en el  K7+830  Margen izquierda lado izquierdo.</v>
          </cell>
        </row>
        <row r="118">
          <cell r="B118" t="str">
            <v>Muestra base asfáltica tomada en la via en el  K7+830  Margen izquierda eje.</v>
          </cell>
        </row>
        <row r="119">
          <cell r="B119" t="str">
            <v>Muestra base asfáltica tomada de la planta depositada entre el K44+715 y el   K 44+745 izquierdo.</v>
          </cell>
        </row>
        <row r="120">
          <cell r="B120" t="str">
            <v>Muestra base asfáltica tomada de la planta depositada entre el K44+900 y el   K 44+930 izquierdo.</v>
          </cell>
        </row>
        <row r="121">
          <cell r="B121" t="str">
            <v>Muestra base asfáltica tomada de la planta depositada entre el K45+830 y el   K 45+860 izquierdo.</v>
          </cell>
        </row>
        <row r="122">
          <cell r="B122" t="str">
            <v>Muestra base asfáltica tomada en la via en la berma del K45+040  lado izquierdo.</v>
          </cell>
        </row>
        <row r="123">
          <cell r="B123" t="str">
            <v>Muestra base asfáltica tomada en la via en la berma del K45+060  lado izquierdo.</v>
          </cell>
        </row>
        <row r="124">
          <cell r="B124" t="str">
            <v>Muestra base asfáltica tomada en la via en la berma del K45+100  lado izquierdo.</v>
          </cell>
        </row>
        <row r="125">
          <cell r="B125" t="str">
            <v>Muestra base asfáltica tomada de la planta depositada entre el K42+730 y el   K 42+760 izquierdo.</v>
          </cell>
        </row>
        <row r="126">
          <cell r="B126" t="str">
            <v>Muestra base asfáltica tomada de la planta depositada entre el K43+250 y el   K 43+280 izquierdo.</v>
          </cell>
        </row>
        <row r="127">
          <cell r="B127" t="str">
            <v>Muestra base asfáltica tomada de la planta depositada entre el K43+670 y el K 43+700 izquierdo.</v>
          </cell>
        </row>
        <row r="128">
          <cell r="B128" t="str">
            <v>Muestra base asfáltica tomada en la via en la berma del K42+830  lado izquierdo.</v>
          </cell>
        </row>
        <row r="129">
          <cell r="B129" t="str">
            <v>Muestra base asfáltica tomada de la planta depositada entre el K7+3900 y el   K 7+140 derecha.</v>
          </cell>
        </row>
        <row r="130">
          <cell r="B130" t="str">
            <v>Muestra base asfáltica tomada de la planta depositada entre el K43+710 y el   K 43+740 izquierdo.</v>
          </cell>
        </row>
        <row r="131">
          <cell r="B131" t="str">
            <v>Muestra base asfáltica tomada de la planta depositada entre el K44+330 y el   K 44+365 izquierdo.</v>
          </cell>
        </row>
        <row r="132">
          <cell r="B132" t="str">
            <v>Muestra base asfáltica tomada de la planta depositada entre el K44+840 y el   K 44+880 izquierdo.</v>
          </cell>
        </row>
        <row r="133">
          <cell r="B133" t="str">
            <v>Muestra base asfáltica tomada en la via en la berma del K43+840  lado izquierdo.</v>
          </cell>
        </row>
        <row r="134">
          <cell r="B134" t="str">
            <v>Muestra base asfáltica tomada en la via en la berma del K43+870  lado izquierdo.</v>
          </cell>
        </row>
        <row r="135">
          <cell r="B135" t="str">
            <v>Muestra base asfáltica tomada en la via en la berma del K43+900  lado izquierdo.</v>
          </cell>
        </row>
        <row r="136">
          <cell r="B136" t="str">
            <v>Muestra base asfáltica tomada de la planta depositada entre el K43+130 y el   K 43+165 derecha.</v>
          </cell>
        </row>
        <row r="137">
          <cell r="B137" t="str">
            <v>Muestra base asfáltica tomada de la planta depositada entre el K43+740 y el   K 43+785 derecha.</v>
          </cell>
        </row>
        <row r="138">
          <cell r="B138" t="str">
            <v>Muestra base asfáltica tomada de la planta depositada entre el K44+000 y el   K 44+040 derecha.</v>
          </cell>
        </row>
        <row r="139">
          <cell r="B139" t="str">
            <v>Muestra base asfáltica tomada de la planta depositada entre el K44+330 y el   K 44+360 derecha.</v>
          </cell>
        </row>
        <row r="140">
          <cell r="B140" t="str">
            <v>Muestra base asfáltica tomada en la via en el  K7+430  Margen izquierda fínisher.</v>
          </cell>
        </row>
        <row r="141">
          <cell r="B141" t="str">
            <v>Muestra base asfáltica tomada en la via en el  K7+430  Margen izquierda lado derecho.</v>
          </cell>
        </row>
        <row r="142">
          <cell r="B142" t="str">
            <v>Muestra base asfáltica tomada en la via en el  K7+440  Margen izquierda fínisher.</v>
          </cell>
        </row>
        <row r="143">
          <cell r="B143" t="str">
            <v>Muestra base asfáltica tomada de la planta depositada entre el K44+360 y el   K 44+380 izquierda.</v>
          </cell>
        </row>
        <row r="144">
          <cell r="B144" t="str">
            <v>Muestra base asfáltica tomada de la planta depositada entre el K44+930 y el   K 44+960 izquierda.</v>
          </cell>
        </row>
        <row r="145">
          <cell r="B145" t="str">
            <v>Muestra base asfáltica tomada de la planta depositada entre el K45+210 y el   K 45+240 izquierda.</v>
          </cell>
        </row>
        <row r="146">
          <cell r="B146" t="str">
            <v>Muestra base asfáltica tomada de la planta depositada entre el K45+840 y el   K 45+860 izquierda.</v>
          </cell>
        </row>
        <row r="147">
          <cell r="B147" t="str">
            <v>Muestra base asfáltica tomada en la via en la berma del K44+900  lado izquierdo.</v>
          </cell>
        </row>
        <row r="148">
          <cell r="B148" t="str">
            <v>Muestra base asfáltica tomada en la via en la berma del K44+930  lado izquierdo.</v>
          </cell>
        </row>
        <row r="149">
          <cell r="B149" t="str">
            <v>Muestra base asfáltica tomada en la via en la berma del K44+990  lado izquierdo.</v>
          </cell>
        </row>
        <row r="150">
          <cell r="B150" t="str">
            <v>Muestra base asfáltica tomada de la planta depositada entre el K44+840 y el   K 44+880 derecha.</v>
          </cell>
        </row>
        <row r="151">
          <cell r="B151" t="str">
            <v>Muestra base asfáltica tomada de la planta depositada entre el K45+510 y el   K 45+545 derecha.</v>
          </cell>
        </row>
        <row r="152">
          <cell r="B152" t="str">
            <v>Muestra base asfáltica tomada de la planta depositada entre el K45+800 y el   K 45+820derecha.</v>
          </cell>
        </row>
        <row r="153">
          <cell r="B153" t="str">
            <v>Muestra base asfáltica tomada de la planta depositada entre el K46+300 y el   K 46+320 derecha.</v>
          </cell>
        </row>
        <row r="154">
          <cell r="B154" t="str">
            <v>Muestra base asfáltica tomada en la via en la berma del K45+980  lado derecho.</v>
          </cell>
        </row>
        <row r="155">
          <cell r="B155" t="str">
            <v>Muestra base asfáltica tomada en la via en la berma del K46+000  lado derecho.</v>
          </cell>
        </row>
        <row r="156">
          <cell r="B156" t="str">
            <v>Muestra base asfáltica tomada en la via en la berma del K46+020  lado derecho.</v>
          </cell>
        </row>
        <row r="160">
          <cell r="B160" t="str">
            <v>Muestra base asfáltica tomada en la via en la berma del K46+680  lado derecho.</v>
          </cell>
        </row>
        <row r="161">
          <cell r="B161" t="str">
            <v>Muestra base asfáltica tomada en la via en la berma del K46+685  lado derecho.</v>
          </cell>
        </row>
        <row r="162">
          <cell r="B162" t="str">
            <v>Muestra base asfáltica tomada en la via en la berma del K46+690  lado derecho.</v>
          </cell>
        </row>
        <row r="164">
          <cell r="B164" t="str">
            <v>Muestra base asfáltica tomada en la via en la berma del K46+090  lado derecho.</v>
          </cell>
        </row>
        <row r="165">
          <cell r="B165" t="str">
            <v>Muestra base asfáltica tomada en la via en la berma del K46+090  lado derecho.</v>
          </cell>
        </row>
        <row r="166">
          <cell r="B166" t="str">
            <v>Muestra base asfáltica tomada de la planta depositada entre el K46+160 y el   K 46+180 izquierda.</v>
          </cell>
        </row>
        <row r="167">
          <cell r="B167" t="str">
            <v>Muestra base asfáltica tomada de la planta depositada entre el K46+420 y el   K 46+440 izquierda.</v>
          </cell>
        </row>
        <row r="168">
          <cell r="B168" t="str">
            <v>Muestra base asfáltica tomada de la planta depositada entre el K46+680 y el   K 46+705 izquierda.</v>
          </cell>
        </row>
        <row r="169">
          <cell r="B169" t="str">
            <v>Muestra base asfáltica tomada en la via en el  K46+300  Margen izquierda lado derecho.</v>
          </cell>
        </row>
        <row r="170">
          <cell r="B170" t="str">
            <v>Muestra base asfáltica tomada en la via en el  K46+300  Margen izquierda lado izquierdo.</v>
          </cell>
        </row>
        <row r="171">
          <cell r="B171" t="str">
            <v>Muestra base asfáltica tomada de la planta depositada entre el K46+705 y el   K 46+720 izquierda.</v>
          </cell>
        </row>
        <row r="172">
          <cell r="B172" t="str">
            <v>Muestra base asfáltica tomada de la planta depositada entre el K46+945 y el   K 46+970 izquierda.</v>
          </cell>
        </row>
        <row r="173">
          <cell r="B173" t="str">
            <v>Muestra base asfáltica tomada de la planta depositada entre el K47+140 y el   K 47+155 izquierda.</v>
          </cell>
        </row>
        <row r="174">
          <cell r="B174" t="str">
            <v>Muestra base asfáltica tomada en la via en el  K46+850  Margen izquierda lado derecho.</v>
          </cell>
        </row>
        <row r="175">
          <cell r="B175" t="str">
            <v>Muestra base asfáltica tomada en la via en el  K46+850  Margen izquierda lado izquierdo.</v>
          </cell>
        </row>
        <row r="176">
          <cell r="B176" t="str">
            <v>Muestra base asfáltica tomada de la planta depositada entre el K47+145 y el   K 47+165 derecha.</v>
          </cell>
        </row>
        <row r="177">
          <cell r="B177" t="str">
            <v>Muestra base asfáltica tomada de la planta depositada entre el K47+340 y el   K 47+360 derecha.</v>
          </cell>
        </row>
        <row r="178">
          <cell r="B178" t="str">
            <v>Muestra base asfáltica tomada de la planta depositada entre el K47+495 y el   K 47+505 derecha.</v>
          </cell>
        </row>
        <row r="179">
          <cell r="B179" t="str">
            <v>Muestra base asfáltica tomada de la planta depositada entre el K47+540 y el   K 47+550 derecha.</v>
          </cell>
        </row>
        <row r="180">
          <cell r="B180" t="str">
            <v>Muestra base asfáltica tomada de la planta depositada entre el K47+585 y el   K 47+600 derecha.</v>
          </cell>
        </row>
        <row r="181">
          <cell r="B181" t="str">
            <v>Muestra base asfáltica tomada de la planta depositada entre el K47+620 y el   K 47+635 derecha.</v>
          </cell>
        </row>
        <row r="182">
          <cell r="B182" t="str">
            <v>Muestra base asfáltica tomada en la via en el  K47+190 Margen izquierda lado izquierdo.</v>
          </cell>
        </row>
        <row r="183">
          <cell r="B183" t="str">
            <v>Muestra base asfáltica tomada en la via en el  K47+190 Margen izquierda eje.</v>
          </cell>
        </row>
        <row r="184">
          <cell r="B184" t="str">
            <v>Muestra base asfáltica tomada en la via en el  K47+190 Margen izquierda lado derecha.</v>
          </cell>
        </row>
        <row r="185">
          <cell r="B185" t="str">
            <v>Muestra base asfáltica tomada de la planta depositada entre el K46+880 y el   K 46+895 derecha.</v>
          </cell>
        </row>
        <row r="186">
          <cell r="B186" t="str">
            <v>Muestra base asfáltica tomada de la planta depositada entre el K47+070 y el   K 47+100 izquierda.</v>
          </cell>
        </row>
        <row r="187">
          <cell r="B187" t="str">
            <v>Muestra base asfáltica tomada de la planta depositada entre el K47+200 y el   K 47+220 izquierda.</v>
          </cell>
        </row>
        <row r="188">
          <cell r="B188" t="str">
            <v>Muestra base asfáltica tomada de la planta depositada entre el K47+400 y el   K 47+425 izquierda.</v>
          </cell>
        </row>
        <row r="189">
          <cell r="B189" t="str">
            <v>Muestra base asfáltica tomada en la via en el  K46+920 Margen izquierda lado izquierdo.</v>
          </cell>
        </row>
        <row r="190">
          <cell r="B190" t="str">
            <v>Muestra base asfáltica tomada en la via en el  K46+920 Margen izquierda eje.</v>
          </cell>
        </row>
        <row r="191">
          <cell r="B191" t="str">
            <v>Muestra base asfáltica tomada en la via en el  K46+920 Margen izquierda lado derecha.</v>
          </cell>
        </row>
        <row r="201">
          <cell r="B201" t="str">
            <v>Muestra base asfáltica tomada de la planta depositada entre el K48+255 y el   K 48+340 izquierda.</v>
          </cell>
        </row>
        <row r="202">
          <cell r="B202" t="str">
            <v>Muestra base asfaltica tipo A2 no representativa de la produccion posiblemente mal tomada.</v>
          </cell>
        </row>
        <row r="203">
          <cell r="B203" t="str">
            <v>Muestra base asfáltica tomada de la planta depositada entre el K48+375 y el   K 48+600 izquierda.</v>
          </cell>
        </row>
        <row r="204">
          <cell r="B204" t="str">
            <v>Muestra base asfáltica tomada en la via en el  K48+330 Margen izquierda lado izquierdo.</v>
          </cell>
        </row>
        <row r="205">
          <cell r="B205" t="str">
            <v>Muestra base asfáltica tomada en la via en el  K48+330 Margen izquierda lado derecho.</v>
          </cell>
        </row>
        <row r="206">
          <cell r="B206" t="str">
            <v>Muestra base asfáltica tomada de la planta depositada entre el K48+560 y el   K 48+725 izquierda.</v>
          </cell>
        </row>
        <row r="207">
          <cell r="B207" t="str">
            <v>Muestra base asfáltica tomada de la planta depositada entre el K48+725 y el   K 48+830 izquierda.</v>
          </cell>
        </row>
        <row r="208">
          <cell r="B208" t="str">
            <v>Muestra base asfáltica tomada de la planta depositada entre el K48+830 y el   K 48+920 izquierda.</v>
          </cell>
        </row>
        <row r="209">
          <cell r="B209" t="str">
            <v xml:space="preserve">Muestra base asfáltica tomada en la via en el  K48+680 Margen izquierda </v>
          </cell>
        </row>
        <row r="210">
          <cell r="B210" t="str">
            <v xml:space="preserve">Muestra base asfáltica tomada en la via en el  K48+680 Margen izquierda </v>
          </cell>
        </row>
        <row r="211">
          <cell r="B211" t="str">
            <v xml:space="preserve">Muestra base asfáltica tomada en la via en el  K48+680 Margen izquierda </v>
          </cell>
        </row>
        <row r="212">
          <cell r="B212" t="str">
            <v>Muestra base asfáltica tomada de la planta depositada entre el K48+550 y el   K 48+600 derecha.</v>
          </cell>
        </row>
        <row r="213">
          <cell r="B213" t="str">
            <v>Muestra base asfáltica tomada de la planta depositada entre el K48+160 y el   K 48+360 derecha.</v>
          </cell>
        </row>
        <row r="214">
          <cell r="B214" t="str">
            <v>Muestra base asfáltica tomada de la planta depositada entre el K47+640 y el   K 47+800 derecha.</v>
          </cell>
        </row>
        <row r="215">
          <cell r="B215" t="str">
            <v>Muestra base asfáltica tomada de la planta depositada entre el K47+900 y el   K 48+160 derecha.</v>
          </cell>
        </row>
        <row r="216">
          <cell r="B216" t="str">
            <v xml:space="preserve">Muestra base asfáltica tomada en la via en el  K6+200 Margen izquierda lado derecho </v>
          </cell>
        </row>
        <row r="217">
          <cell r="B217" t="str">
            <v xml:space="preserve">Muestra base asfáltica tomada en la via en el  K6+200 Margen izquierda lado izquierdo </v>
          </cell>
        </row>
        <row r="218">
          <cell r="B218" t="str">
            <v>Muestra base asfáltica tomada en la via en el  K6+200 Margen izquierda eje</v>
          </cell>
        </row>
        <row r="219">
          <cell r="B219" t="str">
            <v>Muestra base asfáltica tomada de la planta depositada entre el K49+010 y el   K 49+135 izquierda.</v>
          </cell>
        </row>
        <row r="220">
          <cell r="B220" t="str">
            <v>Muestra base asfáltica tomada de la planta depositada entre el K49+135 y el   K 49+350 izquierda.</v>
          </cell>
        </row>
        <row r="221">
          <cell r="B221" t="str">
            <v>Muestra base asfáltica tomada en la via en el  K49+175 Margen izquierda eje</v>
          </cell>
        </row>
        <row r="222">
          <cell r="B222" t="str">
            <v xml:space="preserve">Muestra base asfáltica tomada en la via en el  K49+175 Margen izquierda lado izquierdo </v>
          </cell>
        </row>
        <row r="223">
          <cell r="B223" t="str">
            <v xml:space="preserve">Muestra base asfáltica tomada en la via en el  K49+175  Margen izquierda lado derecho </v>
          </cell>
        </row>
        <row r="224">
          <cell r="B224" t="str">
            <v>Muestra base asfáltica tomada de la planta depositada entre el K49+430 y el   K 49+580 izquierda.</v>
          </cell>
        </row>
        <row r="225">
          <cell r="B225" t="str">
            <v>Muestra base asfáltica tomada de la planta depositada entre el K49+580 y el   K 49+840 izquierda.</v>
          </cell>
        </row>
        <row r="226">
          <cell r="B226" t="str">
            <v xml:space="preserve">Muestra base asfáltica tomada en la via en el  K49+650 Margen izquierda lado izquierdo </v>
          </cell>
        </row>
        <row r="227">
          <cell r="B227" t="str">
            <v xml:space="preserve">Muestra base asfáltica tomada en la via en el  K49+650  Margen izquierda lado derecho </v>
          </cell>
        </row>
        <row r="228">
          <cell r="B228" t="str">
            <v>Muestra base asfáltica tomada de la planta depositada entre el K49+045 y el   K 49+180 derecha.</v>
          </cell>
        </row>
        <row r="229">
          <cell r="B229" t="str">
            <v>Muestra base asfáltica tomada de la planta depositada entre el K49+180 y el   K 49+225 derecha.</v>
          </cell>
        </row>
        <row r="230">
          <cell r="B230" t="str">
            <v>Muestra base asfáltica tomada en la via en el  K49+280 Margen derecha eje</v>
          </cell>
        </row>
        <row r="231">
          <cell r="B231" t="str">
            <v xml:space="preserve">Muestra base asfáltica tomada en la via en el  K49+280 Margen derecha lado izquierdo </v>
          </cell>
        </row>
        <row r="232">
          <cell r="B232" t="str">
            <v xml:space="preserve">Muestra base asfáltica tomada en la via en el  K49+280  Margen derecha lado derecho </v>
          </cell>
        </row>
        <row r="233">
          <cell r="B233" t="str">
            <v>Muestra base asfáltica tomada de la planta depositada entre el K49+500 y el   K 49+690 derecha.</v>
          </cell>
        </row>
        <row r="234">
          <cell r="B234" t="str">
            <v>Muestra base asfáltica tomada de la planta depositada entre el K49+690 y el   K 49+870 derecha.</v>
          </cell>
        </row>
        <row r="235">
          <cell r="B235" t="str">
            <v>Muestra base asfáltica tomada de la planta depositada entre el K49+870 y el   K 49+990 derecha.</v>
          </cell>
        </row>
        <row r="236">
          <cell r="B236" t="str">
            <v>Muestra base asfáltica tomada de la planta depositada entre el K49+990 y el   K 50+220 derecha.</v>
          </cell>
        </row>
        <row r="237">
          <cell r="B237" t="str">
            <v>Muestra base asfáltica tomada en la via en el  K49+950 Margen derecha eje</v>
          </cell>
        </row>
        <row r="238">
          <cell r="B238" t="str">
            <v xml:space="preserve">Muestra base asfáltica tomada en la via en el  K49+950 Margen derecha lado izquierdo </v>
          </cell>
        </row>
        <row r="239">
          <cell r="B239" t="str">
            <v xml:space="preserve">Muestra base asfáltica tomada en la via en el  K49+950  Margen derecha lado derecho </v>
          </cell>
        </row>
        <row r="240">
          <cell r="B240" t="str">
            <v>Muestra base asfáltica tomada de la planta depositada entre el K50+320 y el   K 50+500 derecha.</v>
          </cell>
        </row>
        <row r="241">
          <cell r="B241" t="str">
            <v>Muestra base asfáltica tomada de la planta depositada entre el K50+500 y el   K 50+810 derecha.</v>
          </cell>
        </row>
        <row r="242">
          <cell r="B242" t="str">
            <v>Muestra base asfáltica tomada en la via en el  K50+400 Margen derecha eje</v>
          </cell>
        </row>
        <row r="243">
          <cell r="B243" t="str">
            <v xml:space="preserve">Muestra base asfáltica tomada en la via en el  K50+400 Margen derecha lado izquierdo </v>
          </cell>
        </row>
        <row r="244">
          <cell r="B244" t="str">
            <v xml:space="preserve">Muestra base asfáltica tomada en la via en el  K50+400  Margen derecha lado derecho </v>
          </cell>
        </row>
        <row r="245">
          <cell r="B245" t="str">
            <v>Muestra base asfaltica tipo A2 no representativa de la produccion posiblemente mal tomada.</v>
          </cell>
        </row>
        <row r="246">
          <cell r="B246" t="str">
            <v>Muestra base asfáltica tomada de la planta depositada entre el K49+440 y el   K 50+980 derecha.</v>
          </cell>
        </row>
        <row r="247">
          <cell r="B247" t="str">
            <v>Muestra base asfáltica tomada de la planta depositada entre el K49+990 y el   K 50+295 izquierda.</v>
          </cell>
        </row>
        <row r="248">
          <cell r="B248" t="str">
            <v>Muestra base asfáltica tomada en la via en el  K50+050 Margen derecha eje</v>
          </cell>
        </row>
        <row r="249">
          <cell r="B249" t="str">
            <v xml:space="preserve">Muestra base asfáltica tomada en la via en el  K50+050 Margen derecha lado izquierdo </v>
          </cell>
        </row>
        <row r="250">
          <cell r="B250" t="str">
            <v>Muestra base asfáltica tomada de la planta depositada entre el K5+990 y el   K 5+780 derecha.</v>
          </cell>
        </row>
        <row r="251">
          <cell r="B251" t="str">
            <v>Muestra base asfáltica tomada de la planta depositada entre el K5+780 y el   K 5+805 derecha.</v>
          </cell>
        </row>
        <row r="252">
          <cell r="B252" t="str">
            <v>Muestra base asfáltica tomada en la via en el  K5+720 Margen derecha eje</v>
          </cell>
        </row>
        <row r="253">
          <cell r="B253" t="str">
            <v xml:space="preserve">Muestra base asfáltica tomada en la via en el  K5+720 Margen derecha lado izquierdo </v>
          </cell>
        </row>
        <row r="254">
          <cell r="B254" t="str">
            <v>Muestra base asfáltica tomada en la via en el  K5+720 Margen derecha derecha</v>
          </cell>
        </row>
        <row r="255">
          <cell r="B255" t="str">
            <v>Muestra base asfáltica tomada de la planta depositada entre el K50+525 y el   K 50+680 izquierdo.</v>
          </cell>
        </row>
        <row r="256">
          <cell r="B256" t="str">
            <v>Muestra base asfáltica tomada de la planta depositada entre el K50+680 y el   K 50+850 izquierdo.</v>
          </cell>
        </row>
        <row r="257">
          <cell r="B257" t="str">
            <v>Muestra base asfáltica tomada de la planta depositada entre el K50+680 y el   K 50+850 izquierdo.</v>
          </cell>
        </row>
        <row r="258">
          <cell r="B258" t="str">
            <v xml:space="preserve">Muestra base asfáltica tomada en la via en el  K50+800 Margen  izquierdo </v>
          </cell>
        </row>
        <row r="259">
          <cell r="B259" t="str">
            <v xml:space="preserve">Muestra base asfáltica tomada en la via en el  K50+800 Margen  izquierdo </v>
          </cell>
        </row>
        <row r="260">
          <cell r="B260" t="str">
            <v>Muestra base asfáltica tomada de la planta depositada entre el K10+280 entrada a pelaya.</v>
          </cell>
        </row>
        <row r="261">
          <cell r="B261" t="str">
            <v>Muestra base asfáltica tomada de la planta depositada entre el K50+800 y el   K 51+020 derecha.</v>
          </cell>
        </row>
        <row r="262">
          <cell r="B262" t="str">
            <v>Muestra base asfáltica tomada de la planta depositada entre el K51+020 y el   K 51+200 derecha.</v>
          </cell>
        </row>
        <row r="263">
          <cell r="B263" t="str">
            <v>Muestra base asfáltica tomada de la planta depositada entre el K51+200 y el   K 51+340 derecha.</v>
          </cell>
        </row>
        <row r="264">
          <cell r="B264" t="str">
            <v>Muestra base asfáltica tomada de la planta depositada entre el K50+850 y el   K 51+100 izquierda.</v>
          </cell>
        </row>
        <row r="265">
          <cell r="B265" t="str">
            <v>Muestra base asfáltica tomada de la planta depositada entre el K51+100 y el   K 51+215 izquierda.</v>
          </cell>
        </row>
        <row r="266">
          <cell r="B266" t="str">
            <v>Muestra base asfáltica tomada de la planta depositada entre el K51+215 y el   K 51+500 izquierda.</v>
          </cell>
        </row>
        <row r="267">
          <cell r="B267" t="str">
            <v>Muestra base asfáltica tomada de la planta depositada entre el K50+970 y el   K 51+375 derecha.</v>
          </cell>
        </row>
        <row r="268">
          <cell r="B268" t="str">
            <v>Muestra base asfáltica tomada de la planta depositada entre el K51+375 y el   K 51+520 derecha.</v>
          </cell>
        </row>
        <row r="269">
          <cell r="B269" t="str">
            <v>Muestra base asfáltica tomada de la planta depositada entre el K51+520 y el   K 51+670 derecha.</v>
          </cell>
        </row>
        <row r="270">
          <cell r="B270" t="str">
            <v>Muestra base asfáltica tomada de la planta depositada entre el K46+820 y el   K 47+240 izquierdo.</v>
          </cell>
        </row>
        <row r="271">
          <cell r="B271" t="str">
            <v>Muestra base asfáltica tomada de la planta depositada entre el K47+240 y el   K 47+610 izquierdo.</v>
          </cell>
        </row>
        <row r="272">
          <cell r="B272" t="str">
            <v>Muestra base asfáltica tomada en la via en el  K47+035 Margen izquierda eje</v>
          </cell>
        </row>
        <row r="273">
          <cell r="B273" t="str">
            <v>Muestra base asfáltica tomada en la via en el  K47+035 Margen izquierda derecha</v>
          </cell>
        </row>
        <row r="274">
          <cell r="B274" t="str">
            <v>Muestra base asfáltica tomada en la via en el  K47+035 Margen izquierda izquierda</v>
          </cell>
        </row>
        <row r="275">
          <cell r="B275" t="str">
            <v>Muestra base asfáltica tomada de la planta depositada entre el K52+350 y el   K 52+510 derecha.</v>
          </cell>
        </row>
        <row r="276">
          <cell r="B276" t="str">
            <v>Muestra base asfáltica tomada de la planta depositada entre el K53+510 y el   K 52+100 derecha.</v>
          </cell>
        </row>
        <row r="277">
          <cell r="B277" t="str">
            <v>Muestra base asfáltica tomada de la planta depositada entre el K52+100 y el   K 52+330 derecha.</v>
          </cell>
        </row>
        <row r="278">
          <cell r="B278" t="str">
            <v>Muestra base asfáltica tomada en la via en el  K52+030 Margen derecha lado derecho</v>
          </cell>
        </row>
        <row r="279">
          <cell r="B279" t="str">
            <v>Muestra base asfáltica tomada en la via en el  K52+030 Margen derecha lado izquierdo</v>
          </cell>
        </row>
        <row r="280">
          <cell r="B280" t="str">
            <v>Muestra base asfáltica tomada en la via en el  K52+030 Margen derecha eje</v>
          </cell>
        </row>
        <row r="281">
          <cell r="B281" t="str">
            <v>Muestra base asfáltica tomada de la planta depositada entre el K51+504 y el   K 47+570 izquierdo.</v>
          </cell>
        </row>
        <row r="282">
          <cell r="B282" t="str">
            <v>Muestra base asfáltica tomada de la planta depositada entre el K51+570 y el   K 51+700 izquierdo.</v>
          </cell>
        </row>
        <row r="283">
          <cell r="B283" t="str">
            <v>Muestra base asfáltica tomada de la planta depositada entre el K51+700 y el   K 51+860 izquierdo.</v>
          </cell>
        </row>
        <row r="284">
          <cell r="B284" t="str">
            <v>Muestra base asfáltica tomada de la planta depositada entre el K51+860 y el   K 51+930 izquierdo.</v>
          </cell>
        </row>
        <row r="285">
          <cell r="B285" t="str">
            <v>Muestra base asfáltica tomada en la via en el  K51+652 Margen izquierda eje</v>
          </cell>
        </row>
        <row r="286">
          <cell r="B286" t="str">
            <v>Muestra base asfáltica tomada en la via en el  K51+652 Margen izquierda derecha</v>
          </cell>
        </row>
        <row r="287">
          <cell r="B287" t="str">
            <v>Muestra base asfáltica tomada en la via en el  K51+652 Margen izquierda izquierda</v>
          </cell>
        </row>
        <row r="288">
          <cell r="B288" t="str">
            <v>Muestra base asfáltica tomada de la planta depositada entre el K51+970 y el   K 52+040 izquierdo.</v>
          </cell>
        </row>
        <row r="289">
          <cell r="B289" t="str">
            <v>Muestra base asfáltica tomada de la planta depositada entre el K52+040 y el   K 52+110 izquierdo.</v>
          </cell>
        </row>
        <row r="290">
          <cell r="B290" t="str">
            <v>Muestra base asfáltica tomada de la planta depositada entre el K52+110 y el   K 52+180 izquierdo.</v>
          </cell>
        </row>
        <row r="291">
          <cell r="B291" t="str">
            <v>Muestra base asfáltica tomada de la planta depositada entre el K52+180 y el   K 52+260 izquierdo.</v>
          </cell>
        </row>
        <row r="292">
          <cell r="B292" t="str">
            <v>Muestra base asfáltica tomada en la via en el  K52+080 Margen izquierda .</v>
          </cell>
        </row>
        <row r="293">
          <cell r="B293" t="str">
            <v>Muestra base asfáltica tomada de la planta depositada entre el K52+330 y el   K 52+420 izquierdo.</v>
          </cell>
        </row>
        <row r="294">
          <cell r="B294" t="str">
            <v>Muestra base asfáltica tomada de la planta depositada entre el K52+420 y el   K 52+470 izquierdo.</v>
          </cell>
        </row>
        <row r="295">
          <cell r="B295" t="str">
            <v>Muestra base asfáltica tomada de la planta depositada entre el K52+470 y el   K 52+520 izquierdo.</v>
          </cell>
        </row>
        <row r="296">
          <cell r="B296" t="str">
            <v>Muestra base asfáltica tomada de la planta depositada entre el K52+520 y el   K 52+625 izquierdo.</v>
          </cell>
        </row>
        <row r="297">
          <cell r="B297" t="str">
            <v>Muestra base asfáltica tomada en la via en el  K52+600 Margen izquierda eje</v>
          </cell>
        </row>
        <row r="298">
          <cell r="B298" t="str">
            <v>Muestra base asfáltica tomada en la via en el  K52+600 Margen izquierda derecha</v>
          </cell>
        </row>
        <row r="299">
          <cell r="B299" t="str">
            <v>Muestra base asfáltica tomada en la via en el  K52+600 Margen izquierda izquierda</v>
          </cell>
        </row>
        <row r="300">
          <cell r="B300" t="str">
            <v>Muestra base asfáltica tomada de la planta depositada entre el K52+515 y el   K 52+550 izquierdo contenido de asfalto alto posible error de pesaje.</v>
          </cell>
        </row>
        <row r="301">
          <cell r="B301" t="str">
            <v>Muestra base asfáltica tomada de la planta depositada entre el K52+550 y el   K 52+685 izquierdo.</v>
          </cell>
        </row>
        <row r="302">
          <cell r="B302" t="str">
            <v>Muestra base asfáltica tomada en la via en el  K52+520 Margen derecha eje</v>
          </cell>
        </row>
        <row r="303">
          <cell r="B303" t="str">
            <v>Muestra base asfáltica tomada en la via en el  K52+520 Margen derecha derecha</v>
          </cell>
        </row>
        <row r="304">
          <cell r="B304" t="str">
            <v>Muestra base asfáltica tomada en la via en el  K52+520 Margen derecha izquierda</v>
          </cell>
        </row>
        <row r="305">
          <cell r="B305" t="str">
            <v>Muestra base asfáltica tomada de la planta depositada entre el K52+685 y el   K 52+715 izquierdo.</v>
          </cell>
        </row>
        <row r="306">
          <cell r="B306" t="str">
            <v>Muestra base asfáltica tomada de la planta depositada entre el K52+715 y el   K 52+771 izquierdo.</v>
          </cell>
        </row>
        <row r="307">
          <cell r="B307" t="str">
            <v>Muestra base asfáltica tomada de la planta depositada entre el K52+771 y el   K 52+826 izquierdo.</v>
          </cell>
        </row>
        <row r="308">
          <cell r="B308" t="str">
            <v>Muestra base asfáltica tomada de la planta depositada entre el K52+826 y el   K 52+855 izquierdo.</v>
          </cell>
        </row>
        <row r="309">
          <cell r="B309" t="str">
            <v>Muestra base asfáltica tomada en la via en el  K52+760 Margen izquierda derecha</v>
          </cell>
        </row>
        <row r="310">
          <cell r="B310" t="str">
            <v>Muestra base asfáltica tomada en la via en el  K52+760 Margen izquierda izquierda</v>
          </cell>
        </row>
        <row r="311">
          <cell r="B311" t="str">
            <v>Muestra base asfáltica tomada en la via en el  K52+760 Margen izquierda eje</v>
          </cell>
        </row>
        <row r="312">
          <cell r="B312" t="str">
            <v>Muestra base asfáltica tomada en planta depositada en el K52+860 al K52+980 derecha.</v>
          </cell>
        </row>
        <row r="313">
          <cell r="B313" t="str">
            <v>Muestra base asfáltica tomada en planta depositada en el K52+980 al K53+000 derecha.</v>
          </cell>
        </row>
        <row r="314">
          <cell r="B314" t="str">
            <v>Muestra base asfáltica tomada en la via en el  K52+900 Margen derecha eje</v>
          </cell>
        </row>
        <row r="315">
          <cell r="B315" t="str">
            <v>Muestra base asfáltica tomada en la via en el  K52+900 Margen derecha derecha.</v>
          </cell>
        </row>
        <row r="316">
          <cell r="B316" t="str">
            <v>Muestra base asfáltica tomada en la via en el  K52+900 Margen derecha izquierda.</v>
          </cell>
        </row>
        <row r="317">
          <cell r="B317" t="str">
            <v>Muestra base asfáltica tomada en planta depositada en el K52+750 al K52+860 izquierda.</v>
          </cell>
        </row>
        <row r="318">
          <cell r="B318" t="str">
            <v>Muestra base asfáltica tomada en planta depositada en el K52+860 al K52+980 izquierda.</v>
          </cell>
        </row>
        <row r="319">
          <cell r="B319" t="str">
            <v>Muestra base asfáltica tomada en la via en el  K52+760 Margen izquierda derecha.</v>
          </cell>
        </row>
        <row r="320">
          <cell r="B320" t="str">
            <v>Muestra base asfáltica tomada en la via en el  K52+760 Margen izquierda eje.</v>
          </cell>
        </row>
        <row r="321">
          <cell r="B321" t="str">
            <v>Muestra base asfáltica tomada en la via en el  K52+760 Margen izquierda derecha.</v>
          </cell>
        </row>
        <row r="322">
          <cell r="B322" t="str">
            <v>Muestra base asfáltica tomada en planta depositada en el K52+980 al K53+230 izquierda.</v>
          </cell>
        </row>
        <row r="323">
          <cell r="B323" t="str">
            <v>Muestra base asfáltica tomada en planta depositada en el K52+230 al K53+500 izquierda.</v>
          </cell>
        </row>
        <row r="324">
          <cell r="B324" t="str">
            <v>Muestra base asfáltica tomada en planta depositada en el K53+050 al K53+660 eje.</v>
          </cell>
        </row>
        <row r="325">
          <cell r="B325" t="str">
            <v>Muestra base asfáltica tomada en planta depositada en el K53+160 al K53+410 derecha.</v>
          </cell>
        </row>
        <row r="326">
          <cell r="B326" t="str">
            <v>Muestra base asfáltica tomada en planta depositada en el K53+500 al K53+670 izquierda.</v>
          </cell>
        </row>
        <row r="327">
          <cell r="B327" t="str">
            <v>Muestra base asfáltica tomada en planta depositada en el K53+670 al K53+530 .</v>
          </cell>
        </row>
        <row r="328">
          <cell r="B328" t="str">
            <v>Muestra base asfáltica tomada en planta depositada en el K53+660 al K53+776 derecha.</v>
          </cell>
        </row>
        <row r="329">
          <cell r="B329" t="str">
            <v>Muestra base asfáltica tomada en planta depositada en el K53+776 al K53+860 derecha.</v>
          </cell>
        </row>
        <row r="330">
          <cell r="B330" t="str">
            <v>Muestra base asfáltica tomada en planta depositada en el K53+860 al K54+010 derecha.</v>
          </cell>
        </row>
        <row r="331">
          <cell r="B331" t="str">
            <v>Muestra base asfáltica tomada en planta depositada en el K53+850 al K53+905 izquierda.</v>
          </cell>
        </row>
        <row r="332">
          <cell r="B332" t="str">
            <v>Muestra base asfáltica tomada en planta depositada en el K53+905 al K53+938 izquierda.</v>
          </cell>
        </row>
        <row r="333">
          <cell r="B333" t="str">
            <v>Muestra base asfáltica tomada en planta depositada en el K53+938 al K54+150 izquierda.</v>
          </cell>
        </row>
        <row r="334">
          <cell r="B334" t="str">
            <v>Muestra base asfáltica tomada en planta depositada en el K54+150 al K54+380 izquierda.</v>
          </cell>
        </row>
        <row r="335">
          <cell r="B335" t="str">
            <v>Muestra base asfáltica tomada en planta depositada en el K54+020 al K54+160 derecha.</v>
          </cell>
        </row>
        <row r="336">
          <cell r="B336" t="str">
            <v>Muestra base asfáltica tomada en planta depositada en el K54+160 al K54+340 derecha.</v>
          </cell>
        </row>
        <row r="337">
          <cell r="B337" t="str">
            <v>Muestra base asfáltica tomada en planta depositada en el K54+340 al K54+610 derecha.</v>
          </cell>
        </row>
        <row r="338">
          <cell r="B338" t="str">
            <v>Muestra base asfáltica tomada en planta depositada en el K54+610 al K54+820 derecha.</v>
          </cell>
        </row>
        <row r="339">
          <cell r="B339" t="str">
            <v>Muestra base asfáltica tomada en planta depositada en el K54+820 al K55+210 derecha.</v>
          </cell>
        </row>
        <row r="340">
          <cell r="B340" t="str">
            <v>Muestra base asfáltica tomada en planta depositada en el K54+640 al K54+970 izquierda.</v>
          </cell>
        </row>
        <row r="341">
          <cell r="B341" t="str">
            <v>Muestra base asfáltica tomada en planta depositada en el K54+970 al K55+260 izquierda.</v>
          </cell>
        </row>
        <row r="342">
          <cell r="B342" t="str">
            <v>Muestra base asfáltica tomada en planta depositada en el K55+260 al K55+400 izquierda.</v>
          </cell>
        </row>
        <row r="343">
          <cell r="B343" t="str">
            <v>Muestra base asfáltica tomada en planta depositada en el K55+400 al K55+550 izquierda.</v>
          </cell>
        </row>
        <row r="344">
          <cell r="B344" t="str">
            <v>Muestra base asfáltica tomada en planta depositada en el K55+315 al K55+600 derecha.</v>
          </cell>
        </row>
        <row r="345">
          <cell r="B345" t="str">
            <v>Muestra base asfáltica tomada en planta depositada en el K55+600 al K55+770 derecha.</v>
          </cell>
        </row>
        <row r="346">
          <cell r="B346" t="str">
            <v>Muestra base asfáltica tomada en planta depositada en el K55+526 al K55+940 Izquierda.</v>
          </cell>
        </row>
        <row r="347">
          <cell r="B347" t="str">
            <v>Muestra base asfáltica tomada en planta depositada en el K55+940 al K56+130 Izquierda.</v>
          </cell>
        </row>
        <row r="348">
          <cell r="B348" t="str">
            <v>Muestra base asfáltica tomada en planta depositada en el K56+130 al K56+425 Izquierda.</v>
          </cell>
        </row>
        <row r="349">
          <cell r="B349" t="str">
            <v>Muestra base asfáltica tomada en planta depositada en el K55+770 al K56+360 Derecha.</v>
          </cell>
        </row>
        <row r="350">
          <cell r="B350" t="str">
            <v>Muestra base asfáltica tomada en planta depositada en el K56+360 al K56+940 Derecha.</v>
          </cell>
        </row>
        <row r="351">
          <cell r="B351" t="str">
            <v>Muestra base asfáltica tomada en planta depositada en el K56+420 al K56+940 Izquierda.</v>
          </cell>
        </row>
        <row r="352">
          <cell r="B352" t="str">
            <v>Muestra base asfáltica tomada en planta depositada en el K56+940 al K57+050 Izquierda.</v>
          </cell>
        </row>
        <row r="353">
          <cell r="B353" t="str">
            <v>Muestra base asfáltica tomada en planta depositada en el K57+050 al K57+320 Izquierda.</v>
          </cell>
        </row>
        <row r="354">
          <cell r="B354" t="str">
            <v>Muestra base asfáltica tomada en planta depositada en el K57+320 al K57+560 Izquierda.</v>
          </cell>
        </row>
        <row r="355">
          <cell r="B355" t="str">
            <v>Muestra base asfáltica tomada en planta depositada en el K56+930 al K57+260 Derecha.</v>
          </cell>
        </row>
        <row r="356">
          <cell r="B356" t="str">
            <v>Muestra base asfáltica tomada en planta depositada en el K57+260 al K57+560 Derecha.</v>
          </cell>
        </row>
        <row r="357">
          <cell r="B357" t="str">
            <v>Muestra base asfáltica tomada en planta depositada en el K57+560 al K57+735 Derecha.</v>
          </cell>
        </row>
        <row r="359">
          <cell r="B359" t="str">
            <v>Muestra base asfáltica tomada en planta depositada en el K57+560 al K57+740 Izquierda.</v>
          </cell>
        </row>
        <row r="360">
          <cell r="B360" t="str">
            <v>Muestra base asfáltica tomada en planta depositada en el K57+740 al K57+950 Izquierda.</v>
          </cell>
        </row>
        <row r="361">
          <cell r="B361" t="str">
            <v>Muestra base asfáltica tomada en planta depositada en el K57+950 al K58+210 Izquierda.</v>
          </cell>
        </row>
        <row r="362">
          <cell r="B362" t="str">
            <v>Muestra base asfáltica tomada en planta depositada en el K58+210 al K58+390 Izquierda.</v>
          </cell>
        </row>
        <row r="363">
          <cell r="B363" t="str">
            <v>Muestra base asfáltica tomada en planta depositada en el K58+390 al K58+525 Izquierda.</v>
          </cell>
        </row>
        <row r="364">
          <cell r="B364" t="str">
            <v>Muestra base asfáltica tomada en planta depositada en el K57+840 al K58+230 Derecha.</v>
          </cell>
        </row>
        <row r="365">
          <cell r="B365" t="str">
            <v>Muestra base asfáltica tomada en planta depositada en el K58+230 al K58+360 Derecha.</v>
          </cell>
        </row>
        <row r="366">
          <cell r="B366" t="str">
            <v>Muestra base asfáltica tomada en planta depositada en el K58+360 al K58+708 Derecha.</v>
          </cell>
        </row>
        <row r="367">
          <cell r="B367" t="str">
            <v>Muestra base asfáltica tomada en planta depositada en el K58+525 al K58+745 Izquierda.</v>
          </cell>
        </row>
        <row r="368">
          <cell r="B368" t="str">
            <v>Muestra base asfáltica tomada en planta depositada en el K58+745 al K59+030 Izquierda.</v>
          </cell>
        </row>
        <row r="369">
          <cell r="B369" t="str">
            <v>Muestra base asfáltica tomada en planta depositada en el K59+030 al K59+265 Izquierda.</v>
          </cell>
        </row>
        <row r="370">
          <cell r="B370" t="str">
            <v>Muestra base asfáltica tomada en planta depositada en el K58+690 al K58+840 Derecha.</v>
          </cell>
        </row>
        <row r="371">
          <cell r="B371" t="str">
            <v>Muestra base asfáltica tomada en planta depositada en el K58+840 al K58+990 Derecha.</v>
          </cell>
        </row>
        <row r="372">
          <cell r="B372" t="str">
            <v>Muestra base asfáltica tomada en planta depositada en el K58+990 al K59+130 Derecha.</v>
          </cell>
        </row>
        <row r="373">
          <cell r="B373" t="str">
            <v>Muestra base asfáltica tomada en planta depositada en el K59+130 al K59+260 Derecha.</v>
          </cell>
        </row>
        <row r="374">
          <cell r="B374" t="str">
            <v>Muestra base asfáltica tomada en planta depositada en el K59+260 al K59+415 Derecha.</v>
          </cell>
        </row>
        <row r="375">
          <cell r="B375" t="str">
            <v>Muestra base asfáltica tomada en planta depositada en el K59+415 al K59+590 Derecha.</v>
          </cell>
        </row>
        <row r="376">
          <cell r="B376" t="str">
            <v>Muestra base asfáltica tomada en planta depositada en el K59+260 al K59+480 Izquierda.</v>
          </cell>
        </row>
        <row r="377">
          <cell r="B377" t="str">
            <v>Muestra base asfáltica tomada en planta depositada en el K59+480 al K59+660 Izquierda.</v>
          </cell>
        </row>
        <row r="378">
          <cell r="B378" t="str">
            <v>Muestra base asfáltica tomada en planta depositada en el K59+660 al K60+030 Izquierda.</v>
          </cell>
        </row>
        <row r="379">
          <cell r="B379" t="str">
            <v>Muestra base asfáltica tomada en planta depositada en el K59+590 al K59+865 Derecha.</v>
          </cell>
        </row>
        <row r="380">
          <cell r="B380" t="str">
            <v>Muestra base asfáltica tomada en planta depositada en el K59+865 al K60+110 Derecha.</v>
          </cell>
        </row>
        <row r="381">
          <cell r="B381" t="str">
            <v>Muestra base asfáltica tomada en planta depositada en el K60+110 al K60+210 Derecha.</v>
          </cell>
        </row>
        <row r="382">
          <cell r="B382" t="str">
            <v>Muestra base asfáltica tomada en planta depositada en el K60+210 al K60+450 Derecha.</v>
          </cell>
        </row>
        <row r="383">
          <cell r="B383" t="str">
            <v>Muestra base asfáltica tomada en planta depositada en el K60+450 al K60+590 Derecha.</v>
          </cell>
        </row>
        <row r="384">
          <cell r="B384" t="str">
            <v>Muestra base asfáltica tomada en planta depositada en el K60+120 al K60+510 Izquierda.</v>
          </cell>
        </row>
        <row r="385">
          <cell r="B385" t="str">
            <v>Muestra base asfáltica tomada en planta depositada en el K60+220 al K60+360 Izquierda.</v>
          </cell>
        </row>
        <row r="386">
          <cell r="B386" t="str">
            <v>Muestra base asfáltica tomada en planta depositada en el K60+360 al K60+595 Izquierda.</v>
          </cell>
        </row>
        <row r="387">
          <cell r="B387" t="str">
            <v>Muestra base asfáltica tomada en planta depositada en el K60+595 al K60+758 Izquierda.</v>
          </cell>
        </row>
        <row r="388">
          <cell r="B388" t="str">
            <v>Muestra base asfáltica tomada en planta depositada en el K60+758 al K60+860 Izquierda.</v>
          </cell>
        </row>
        <row r="389">
          <cell r="B389" t="str">
            <v>Muestra base asfáltica tomada en planta depositada en el K60+860 al K61+000 Izquierda.</v>
          </cell>
        </row>
        <row r="390">
          <cell r="B390" t="str">
            <v>Muestra base asfáltica tomada en planta depositada en el K60+570 al K60+740 derecha.</v>
          </cell>
        </row>
        <row r="391">
          <cell r="B391" t="str">
            <v>Muestra base asfáltica tomada en planta depositada en el K60+735 al K60+960 derecha.</v>
          </cell>
        </row>
        <row r="392">
          <cell r="B392" t="str">
            <v>Muestra base asfáltica tomada en planta depositada en el K60+960 al K61+120 derecha.</v>
          </cell>
        </row>
        <row r="393">
          <cell r="B393" t="str">
            <v>Muestra base asfáltica tomada en planta depositada en el K61+120 al K61+230 derecha.</v>
          </cell>
        </row>
        <row r="394">
          <cell r="B394" t="str">
            <v xml:space="preserve">El alto contenido de asfalto reportado en este formato se debe a un error de pesaje tal como se verifico en la contra muetra No393 cuyo valor dio 2.9 % </v>
          </cell>
        </row>
        <row r="395">
          <cell r="B395" t="str">
            <v>Muestra base asfáltica tomada en planta depositada en el K61+230 al K61+335 derecha.</v>
          </cell>
        </row>
        <row r="396">
          <cell r="B396" t="str">
            <v>Muestra base asfáltica tomada en planta depositada en el K61+335 al K61+440 derecha.</v>
          </cell>
        </row>
        <row r="397">
          <cell r="B397" t="str">
            <v>Muestra base asfáltica tomada en planta depositada en el K61+440 al K61+500derecha.</v>
          </cell>
        </row>
        <row r="398">
          <cell r="B398" t="str">
            <v>Muestra base asfáltica tomada en planta depositada en el K61+090 al K61+318 izquierda.</v>
          </cell>
        </row>
        <row r="399">
          <cell r="B399" t="str">
            <v>Muestra base asfáltica tomada en planta depositada en el K61+000 al K61+100 izquierda.</v>
          </cell>
        </row>
        <row r="400">
          <cell r="B400" t="str">
            <v>Muestra base asfáltica tomada en planta depositada en el K61+100 al K61+200 izquierda.</v>
          </cell>
        </row>
        <row r="401">
          <cell r="B401" t="str">
            <v>Muestra base asfáltica tomada en planta depositada en el K61+200 al K61+300 izquierda.</v>
          </cell>
        </row>
        <row r="402">
          <cell r="B402" t="str">
            <v>Muestra base asfáltica tomada en planta depositada en el K61+280 al K61+350 izquierda.</v>
          </cell>
        </row>
        <row r="403">
          <cell r="B403" t="str">
            <v>Muestra base asfáltica tomada en planta depositada en el K61+350 al K61+400 izquierda.</v>
          </cell>
        </row>
        <row r="404">
          <cell r="B404" t="str">
            <v>Muestra base asfáltica tomada en planta depositada en el K61+400 al K61+460 izquierda.</v>
          </cell>
        </row>
        <row r="405">
          <cell r="B405" t="str">
            <v>Material utilizado en parcheo  entre el K 42+720  y el K 42+880 izquierdo.</v>
          </cell>
        </row>
        <row r="406">
          <cell r="B406" t="str">
            <v>Material utilizado en parcheo  entre el K 42+880  y el K 42+930 izquierdo.</v>
          </cell>
        </row>
        <row r="407">
          <cell r="B407" t="str">
            <v>Material utilizado en parcheo  entre el K 42+930  y el K 42+980 izquierdo.</v>
          </cell>
        </row>
        <row r="408">
          <cell r="B408" t="str">
            <v>Material utilizado en parcheo  entre el K 42+980  y el K 42+996 izquierdo.</v>
          </cell>
        </row>
        <row r="409">
          <cell r="B409" t="str">
            <v>Material utilizado en parcheo  entre el K 43+000  y el K 43+096 izquierdo.</v>
          </cell>
        </row>
        <row r="410">
          <cell r="B410" t="str">
            <v>Material utilizado en parcheo  entre el K 43+096  y el K 43+210 izquierdo.</v>
          </cell>
        </row>
        <row r="411">
          <cell r="B411" t="str">
            <v>Material utilizado en parcheo  entre el K 43+210  y el K 43+330 izquierdo.</v>
          </cell>
        </row>
        <row r="412">
          <cell r="B412" t="str">
            <v>Material utilizado en parcheo  entre el K 43+350  y el K 43+500 izquierdo.</v>
          </cell>
        </row>
        <row r="413">
          <cell r="B413" t="str">
            <v>Material utilizado en parcheo  entre el K 43+500  y el K 43+550 izquierdo.</v>
          </cell>
        </row>
        <row r="414">
          <cell r="B414" t="str">
            <v>Material utilizado en parcheo  entre el K 43+550  y el K 43+700 izquierdo.</v>
          </cell>
        </row>
        <row r="415">
          <cell r="B415" t="str">
            <v>Material utilizado en parcheo  entre el K 43+700  y el K 43+780 izquierdo.</v>
          </cell>
        </row>
        <row r="416">
          <cell r="B416" t="str">
            <v>Material utilizado en parcheo  entre el K 43+730  y el K 43+990 izquierdo.</v>
          </cell>
        </row>
        <row r="417">
          <cell r="B417" t="str">
            <v>Material utilizado en parcheo  entre el K 44+011  y el K 44+078 izquierdo.</v>
          </cell>
        </row>
        <row r="418">
          <cell r="B418" t="str">
            <v>Muestra base asfáltica tomada en planta depositada en el K61+455 al K61+560 izquierda.</v>
          </cell>
        </row>
        <row r="419">
          <cell r="B419" t="str">
            <v>Muestra base asfáltica tomada en planta depositada en el K61+560 al K61+630 izquierda.</v>
          </cell>
        </row>
        <row r="420">
          <cell r="B420" t="str">
            <v>Muestra base asfáltica tomada en planta depositada en el K61+630 al K61+705 izquierda.</v>
          </cell>
        </row>
        <row r="421">
          <cell r="B421" t="str">
            <v xml:space="preserve">Material utilizado en parcheo  </v>
          </cell>
        </row>
        <row r="422">
          <cell r="B422" t="str">
            <v>Material utilizado en parcheo  entre el K 44+120  y el K 44+300 izquierdo.</v>
          </cell>
        </row>
        <row r="423">
          <cell r="B423" t="str">
            <v>Material utilizado en parcheo  entre el K 44+300  y el K 44+468 izquierdo.</v>
          </cell>
        </row>
        <row r="424">
          <cell r="B424" t="str">
            <v>Material utilizado en parcheo  entre el K 44+460  y el K 44+528 izquierdo.</v>
          </cell>
        </row>
        <row r="425">
          <cell r="B425" t="str">
            <v>Material utilizado en parcheo  entre el K 44+528  y el K 44+955 izquierdo.</v>
          </cell>
        </row>
        <row r="426">
          <cell r="B426" t="str">
            <v>Muestra base asfáltica tomada en planta depositada en el K61+490 al K61+560 derecha.</v>
          </cell>
        </row>
        <row r="427">
          <cell r="B427" t="str">
            <v>Muestra base asfáltica tomada en planta depositada en el K61+560 al K61+626 derecha.</v>
          </cell>
        </row>
        <row r="428">
          <cell r="B428" t="str">
            <v>Muestra base asfáltica tomada en planta depositada en el K61+626 al K61+710 derecha.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-12 UMV"/>
      <sheetName val="TSR"/>
      <sheetName val="firmas"/>
      <sheetName val="Hoja1"/>
      <sheetName val="Formato"/>
    </sheetNames>
    <sheetDataSet>
      <sheetData sheetId="0">
        <row r="35">
          <cell r="D35" t="str">
            <v>--</v>
          </cell>
        </row>
      </sheetData>
      <sheetData sheetId="1"/>
      <sheetData sheetId="2">
        <row r="3">
          <cell r="A3" t="str">
            <v>CHAPARRO CARLOS</v>
          </cell>
        </row>
        <row r="4">
          <cell r="A4" t="str">
            <v>CORDOBA ALEXANDER</v>
          </cell>
        </row>
        <row r="5">
          <cell r="A5" t="str">
            <v>CRISTANCHO VICTOR</v>
          </cell>
        </row>
        <row r="6">
          <cell r="A6" t="str">
            <v>DIAZ CESAR</v>
          </cell>
        </row>
        <row r="7">
          <cell r="A7" t="str">
            <v>FLOREZ KAREN</v>
          </cell>
        </row>
        <row r="8">
          <cell r="A8" t="str">
            <v>GALVIS DAVID</v>
          </cell>
        </row>
        <row r="9">
          <cell r="A9" t="str">
            <v>MANCILLA EDGAR</v>
          </cell>
        </row>
        <row r="10">
          <cell r="A10" t="str">
            <v>OSPINA JUAN GABRIEL</v>
          </cell>
        </row>
        <row r="11">
          <cell r="A11" t="str">
            <v>SUAREZ  WILLIAM</v>
          </cell>
        </row>
        <row r="12">
          <cell r="A12" t="str">
            <v>YARA FABIAN</v>
          </cell>
        </row>
        <row r="13">
          <cell r="A13" t="str">
            <v>RINCON SATURNINO</v>
          </cell>
        </row>
        <row r="14">
          <cell r="A14" t="str">
            <v>ACHIARDI LEONARDO</v>
          </cell>
        </row>
        <row r="15">
          <cell r="A15" t="str">
            <v>ALBARRACIN JAIRO</v>
          </cell>
        </row>
        <row r="16">
          <cell r="A16" t="str">
            <v>ALMONACID JIMMY</v>
          </cell>
        </row>
        <row r="17">
          <cell r="A17" t="str">
            <v>CANO LUIS EDUARDO</v>
          </cell>
        </row>
        <row r="18">
          <cell r="A18" t="str">
            <v>GALVIS DANIEL</v>
          </cell>
        </row>
        <row r="19">
          <cell r="A19" t="str">
            <v>GOMEZ LUIS CARLOS</v>
          </cell>
        </row>
        <row r="20">
          <cell r="A20" t="str">
            <v>FAJARDO HUGO</v>
          </cell>
        </row>
        <row r="21">
          <cell r="A21" t="str">
            <v>PATIÑO MARLON</v>
          </cell>
        </row>
        <row r="22">
          <cell r="A22" t="str">
            <v>PRIETO YULY PAOLA</v>
          </cell>
        </row>
        <row r="23">
          <cell r="A23" t="str">
            <v>SASTOQUE CINDY</v>
          </cell>
        </row>
        <row r="24">
          <cell r="A24" t="str">
            <v>TEUTA DIEGO</v>
          </cell>
        </row>
        <row r="25">
          <cell r="A25" t="str">
            <v>VARGAS RODOLFO</v>
          </cell>
        </row>
        <row r="26">
          <cell r="A26" t="str">
            <v>VILLANUEVA BRAYAN</v>
          </cell>
        </row>
        <row r="27">
          <cell r="A27" t="str">
            <v>--</v>
          </cell>
        </row>
        <row r="29">
          <cell r="A29" t="str">
            <v>ARIAS JENNIFER</v>
          </cell>
        </row>
        <row r="30">
          <cell r="A30" t="str">
            <v>CASTAÑEDA CATHERINE</v>
          </cell>
        </row>
        <row r="31">
          <cell r="A31" t="str">
            <v>RINCON SATURNINO</v>
          </cell>
        </row>
        <row r="32">
          <cell r="A32" t="str">
            <v>--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U"/>
      <sheetName val="Program"/>
      <sheetName val="COSTOS"/>
      <sheetName val="EVA"/>
    </sheetNames>
    <sheetDataSet>
      <sheetData sheetId="0" refreshError="1">
        <row r="12">
          <cell r="D12">
            <v>3</v>
          </cell>
        </row>
        <row r="338">
          <cell r="C338" t="str">
            <v>Activos</v>
          </cell>
          <cell r="D338">
            <v>9750</v>
          </cell>
        </row>
        <row r="339">
          <cell r="C339" t="str">
            <v>Direcc.</v>
          </cell>
          <cell r="D339">
            <v>53970</v>
          </cell>
        </row>
        <row r="340">
          <cell r="C340" t="str">
            <v>Admon</v>
          </cell>
          <cell r="D340">
            <v>48583.5</v>
          </cell>
        </row>
        <row r="341">
          <cell r="C341" t="str">
            <v>Topog</v>
          </cell>
          <cell r="D341">
            <v>0</v>
          </cell>
        </row>
        <row r="342">
          <cell r="C342" t="str">
            <v>Taller</v>
          </cell>
          <cell r="D342">
            <v>2898</v>
          </cell>
        </row>
        <row r="343">
          <cell r="C343" t="str">
            <v>Operad.</v>
          </cell>
          <cell r="D343">
            <v>0</v>
          </cell>
        </row>
        <row r="344">
          <cell r="C344" t="str">
            <v>Vigilan.</v>
          </cell>
          <cell r="D344">
            <v>10836</v>
          </cell>
        </row>
        <row r="345">
          <cell r="C345" t="str">
            <v>Prestac</v>
          </cell>
          <cell r="D345">
            <v>66283.875</v>
          </cell>
        </row>
        <row r="346">
          <cell r="C346" t="str">
            <v>Honor</v>
          </cell>
          <cell r="D346">
            <v>6700</v>
          </cell>
        </row>
        <row r="347">
          <cell r="C347" t="str">
            <v>Impues</v>
          </cell>
          <cell r="D347">
            <v>98630.90675611388</v>
          </cell>
        </row>
        <row r="348">
          <cell r="C348" t="str">
            <v>Arrend</v>
          </cell>
          <cell r="D348">
            <v>11295</v>
          </cell>
        </row>
        <row r="349">
          <cell r="C349" t="str">
            <v>Segur</v>
          </cell>
          <cell r="D349">
            <v>30840.71727788596</v>
          </cell>
        </row>
        <row r="350">
          <cell r="C350" t="str">
            <v>Sevic</v>
          </cell>
          <cell r="D350">
            <v>7366.9087499999996</v>
          </cell>
        </row>
        <row r="351">
          <cell r="C351" t="str">
            <v>Legal</v>
          </cell>
          <cell r="D351">
            <v>1.1868038433000001</v>
          </cell>
        </row>
        <row r="352">
          <cell r="C352" t="str">
            <v>Manten</v>
          </cell>
          <cell r="D352">
            <v>1283.2009599999999</v>
          </cell>
        </row>
        <row r="353">
          <cell r="C353" t="str">
            <v>Adecu</v>
          </cell>
          <cell r="D353">
            <v>6090</v>
          </cell>
        </row>
        <row r="354">
          <cell r="C354" t="str">
            <v>Viaje</v>
          </cell>
          <cell r="D354">
            <v>3030</v>
          </cell>
        </row>
        <row r="355">
          <cell r="C355" t="str">
            <v>Divers</v>
          </cell>
          <cell r="D355">
            <v>132161.02532999997</v>
          </cell>
        </row>
        <row r="356">
          <cell r="C356" t="str">
            <v>Financ.</v>
          </cell>
          <cell r="D356">
            <v>360.00599999999997</v>
          </cell>
        </row>
        <row r="357">
          <cell r="C357" t="str">
            <v>Costos</v>
          </cell>
          <cell r="D357">
            <v>68623.484200000006</v>
          </cell>
        </row>
      </sheetData>
      <sheetData sheetId="1" refreshError="1">
        <row r="3">
          <cell r="B3">
            <v>3</v>
          </cell>
        </row>
        <row r="120">
          <cell r="B120">
            <v>608.87199999999996</v>
          </cell>
          <cell r="C120">
            <v>1834.31</v>
          </cell>
          <cell r="D120">
            <v>1512.259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</sheetData>
      <sheetData sheetId="2" refreshError="1"/>
      <sheetData sheetId="3" refreshError="1">
        <row r="6"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</row>
        <row r="39">
          <cell r="D39">
            <v>1730.192047133291</v>
          </cell>
          <cell r="E39">
            <v>0</v>
          </cell>
          <cell r="F39">
            <v>568.1776190974831</v>
          </cell>
          <cell r="G39">
            <v>1711.712623485239</v>
          </cell>
          <cell r="H39">
            <v>1411.1861246349654</v>
          </cell>
          <cell r="I39">
            <v>288.36534118888187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-163.02452898987548</v>
          </cell>
        </row>
        <row r="56">
          <cell r="D56">
            <v>-767.6282221604198</v>
          </cell>
          <cell r="E56">
            <v>-974.18899821035302</v>
          </cell>
          <cell r="F56">
            <v>-1650.8315993601529</v>
          </cell>
          <cell r="G56">
            <v>-1128.6689947358216</v>
          </cell>
          <cell r="H56">
            <v>-362.41393413528147</v>
          </cell>
          <cell r="I56">
            <v>0</v>
          </cell>
          <cell r="J56">
            <v>0</v>
          </cell>
          <cell r="K56">
            <v>-0.16814699999999999</v>
          </cell>
          <cell r="L56">
            <v>0</v>
          </cell>
          <cell r="M56">
            <v>-0.61653900000000006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-4.0400000000000001E-9</v>
          </cell>
        </row>
        <row r="58">
          <cell r="D58">
            <v>962.5638249728712</v>
          </cell>
          <cell r="E58">
            <v>-11.625173237481818</v>
          </cell>
          <cell r="F58">
            <v>-1094.2791535001516</v>
          </cell>
          <cell r="G58">
            <v>-511.23552475073416</v>
          </cell>
          <cell r="H58">
            <v>537.53666574894964</v>
          </cell>
          <cell r="I58">
            <v>825.90200693783152</v>
          </cell>
          <cell r="J58">
            <v>825.90200693783152</v>
          </cell>
          <cell r="K58">
            <v>825.73385993783154</v>
          </cell>
          <cell r="L58">
            <v>825.73385993783154</v>
          </cell>
          <cell r="M58">
            <v>825.11732093783155</v>
          </cell>
          <cell r="N58">
            <v>825.11732093783155</v>
          </cell>
          <cell r="O58">
            <v>825.11732093783155</v>
          </cell>
          <cell r="P58">
            <v>825.11732093783155</v>
          </cell>
          <cell r="Q58">
            <v>825.11732093783155</v>
          </cell>
          <cell r="R58">
            <v>825.11732093783155</v>
          </cell>
          <cell r="S58">
            <v>825.11732093783155</v>
          </cell>
          <cell r="T58">
            <v>825.11732093783155</v>
          </cell>
          <cell r="U58">
            <v>825.11732093783155</v>
          </cell>
          <cell r="V58">
            <v>825.11732093783155</v>
          </cell>
          <cell r="W58">
            <v>825.11732093783155</v>
          </cell>
          <cell r="X58">
            <v>825.11732093783155</v>
          </cell>
          <cell r="Y58">
            <v>825.11732093783155</v>
          </cell>
          <cell r="Z58">
            <v>825.11732093783155</v>
          </cell>
          <cell r="AA58">
            <v>825.11732093783155</v>
          </cell>
          <cell r="AB58">
            <v>825.11732093783155</v>
          </cell>
          <cell r="AC58">
            <v>825.11732093783155</v>
          </cell>
          <cell r="AD58">
            <v>662.09279194391604</v>
          </cell>
        </row>
        <row r="61">
          <cell r="D61">
            <v>962.5638249728712</v>
          </cell>
          <cell r="E61">
            <v>254.53053020849541</v>
          </cell>
          <cell r="F61">
            <v>-292.44877143628497</v>
          </cell>
          <cell r="G61">
            <v>149.81697550795735</v>
          </cell>
          <cell r="H61">
            <v>681.71933634339052</v>
          </cell>
          <cell r="I61">
            <v>825.90200693783152</v>
          </cell>
          <cell r="J61">
            <v>825.90200693783152</v>
          </cell>
          <cell r="K61">
            <v>825.73385993783154</v>
          </cell>
          <cell r="L61">
            <v>825.73385993783154</v>
          </cell>
          <cell r="M61">
            <v>825.11732093783155</v>
          </cell>
          <cell r="N61">
            <v>825.11732093783155</v>
          </cell>
          <cell r="O61">
            <v>825.11732093783155</v>
          </cell>
          <cell r="P61">
            <v>825.11732093783155</v>
          </cell>
          <cell r="Q61">
            <v>825.11732093783155</v>
          </cell>
          <cell r="R61">
            <v>825.11732093783155</v>
          </cell>
          <cell r="S61">
            <v>825.11732093783155</v>
          </cell>
          <cell r="T61">
            <v>825.11732093783155</v>
          </cell>
          <cell r="U61">
            <v>825.11732093783155</v>
          </cell>
          <cell r="V61">
            <v>825.11732093783155</v>
          </cell>
          <cell r="W61">
            <v>825.11732093783155</v>
          </cell>
          <cell r="X61">
            <v>825.11732093783155</v>
          </cell>
          <cell r="Y61">
            <v>825.11732093783155</v>
          </cell>
          <cell r="Z61">
            <v>825.11732093783155</v>
          </cell>
          <cell r="AA61">
            <v>825.11732093783155</v>
          </cell>
          <cell r="AB61">
            <v>825.11732093783155</v>
          </cell>
          <cell r="AC61">
            <v>825.11732093783155</v>
          </cell>
          <cell r="AD61">
            <v>662.09279194391604</v>
          </cell>
        </row>
        <row r="95">
          <cell r="F95">
            <v>412.9</v>
          </cell>
          <cell r="G95">
            <v>367</v>
          </cell>
          <cell r="H95">
            <v>321.10000000000002</v>
          </cell>
          <cell r="I95">
            <v>232</v>
          </cell>
          <cell r="K95">
            <v>3.0149999999999997</v>
          </cell>
        </row>
        <row r="96">
          <cell r="F96">
            <v>404.6</v>
          </cell>
          <cell r="G96">
            <v>358.70000000000005</v>
          </cell>
          <cell r="H96">
            <v>312.8</v>
          </cell>
          <cell r="I96">
            <v>223.7</v>
          </cell>
        </row>
        <row r="97">
          <cell r="F97">
            <v>396.3</v>
          </cell>
          <cell r="G97">
            <v>350.4</v>
          </cell>
          <cell r="H97">
            <v>304.5</v>
          </cell>
          <cell r="I97">
            <v>215.3</v>
          </cell>
        </row>
        <row r="98">
          <cell r="H98">
            <v>5339</v>
          </cell>
          <cell r="I98">
            <v>7.0000000000000007E-2</v>
          </cell>
        </row>
        <row r="99">
          <cell r="F99" t="str">
            <v>Localizacion Dato</v>
          </cell>
          <cell r="H99">
            <v>404.642</v>
          </cell>
          <cell r="I99">
            <v>404.642</v>
          </cell>
        </row>
        <row r="103">
          <cell r="F103">
            <v>30</v>
          </cell>
          <cell r="G103">
            <v>45</v>
          </cell>
          <cell r="H103">
            <v>60</v>
          </cell>
          <cell r="I103">
            <v>90</v>
          </cell>
        </row>
        <row r="104">
          <cell r="F104">
            <v>146.9</v>
          </cell>
          <cell r="G104">
            <v>119.85</v>
          </cell>
          <cell r="H104">
            <v>92.8</v>
          </cell>
          <cell r="I104">
            <v>40.4</v>
          </cell>
        </row>
        <row r="105">
          <cell r="F105">
            <v>412.9</v>
          </cell>
          <cell r="G105">
            <v>367</v>
          </cell>
          <cell r="H105">
            <v>321.10000000000002</v>
          </cell>
          <cell r="I105">
            <v>232</v>
          </cell>
        </row>
        <row r="106">
          <cell r="F106">
            <v>487.4</v>
          </cell>
          <cell r="G106">
            <v>457.25</v>
          </cell>
          <cell r="H106">
            <v>427.1</v>
          </cell>
          <cell r="I106">
            <v>368.5</v>
          </cell>
        </row>
        <row r="109">
          <cell r="G109">
            <v>0</v>
          </cell>
          <cell r="H109">
            <v>3752.1</v>
          </cell>
        </row>
        <row r="110">
          <cell r="G110">
            <v>7.0000000000000007E-2</v>
          </cell>
          <cell r="H110">
            <v>5339</v>
          </cell>
        </row>
        <row r="111">
          <cell r="G111">
            <v>0.1</v>
          </cell>
          <cell r="H111">
            <v>4193.5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"/>
      <sheetName val="ACARREO"/>
      <sheetName val="AIU-IDU "/>
      <sheetName val="AIU"/>
      <sheetName val="puente"/>
      <sheetName val="1 AL 8"/>
      <sheetName val="cuadrilla"/>
      <sheetName val="EQUIPOS"/>
      <sheetName val="MATERIALES"/>
      <sheetName val="Módulo1"/>
      <sheetName val="Módulo2"/>
      <sheetName val="Módulo3"/>
      <sheetName val="DICO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4025 a base"/>
      <sheetName val="Hoja1"/>
      <sheetName val="for"/>
      <sheetName val="form"/>
    </sheetNames>
    <sheetDataSet>
      <sheetData sheetId="0">
        <row r="3">
          <cell r="C3" t="str">
            <v>La Unión</v>
          </cell>
          <cell r="P3" t="str">
            <v>Acopio trituradora</v>
          </cell>
          <cell r="Q3" t="str">
            <v>-</v>
          </cell>
        </row>
        <row r="4">
          <cell r="C4" t="str">
            <v>La Unión</v>
          </cell>
          <cell r="P4" t="str">
            <v>Acopio trituradora</v>
          </cell>
          <cell r="Q4" t="str">
            <v>-</v>
          </cell>
        </row>
        <row r="5">
          <cell r="C5" t="str">
            <v>La Unión</v>
          </cell>
          <cell r="P5" t="str">
            <v>Acopio trituradora</v>
          </cell>
          <cell r="Q5" t="str">
            <v>-</v>
          </cell>
        </row>
        <row r="6">
          <cell r="C6" t="str">
            <v>La Unión</v>
          </cell>
          <cell r="P6" t="str">
            <v>Acopio trituradora</v>
          </cell>
          <cell r="Q6" t="str">
            <v>-</v>
          </cell>
        </row>
        <row r="7">
          <cell r="C7" t="str">
            <v>La Unión</v>
          </cell>
          <cell r="P7" t="str">
            <v>Acopio trituradora</v>
          </cell>
          <cell r="Q7" t="str">
            <v>-</v>
          </cell>
        </row>
        <row r="8">
          <cell r="C8" t="str">
            <v>La Unión</v>
          </cell>
          <cell r="P8" t="str">
            <v>Acopio trituradora</v>
          </cell>
          <cell r="Q8" t="str">
            <v>-</v>
          </cell>
        </row>
        <row r="9">
          <cell r="C9" t="str">
            <v>La Unión</v>
          </cell>
          <cell r="P9" t="str">
            <v>Acopio trituradora</v>
          </cell>
          <cell r="Q9" t="str">
            <v>-</v>
          </cell>
        </row>
        <row r="10">
          <cell r="C10" t="str">
            <v>La Unión</v>
          </cell>
          <cell r="P10" t="str">
            <v>Acopio trituradora</v>
          </cell>
          <cell r="Q10" t="str">
            <v>-</v>
          </cell>
        </row>
        <row r="11">
          <cell r="C11" t="str">
            <v>La Unión</v>
          </cell>
          <cell r="P11" t="str">
            <v>Acopio trituradora</v>
          </cell>
          <cell r="Q11" t="str">
            <v>-</v>
          </cell>
        </row>
        <row r="12">
          <cell r="C12" t="str">
            <v>La Unión</v>
          </cell>
          <cell r="P12" t="str">
            <v>Acopio trituradora</v>
          </cell>
          <cell r="Q12" t="str">
            <v>-</v>
          </cell>
        </row>
        <row r="13">
          <cell r="C13" t="str">
            <v>La Unión</v>
          </cell>
          <cell r="P13" t="str">
            <v>Acopio trituradora</v>
          </cell>
          <cell r="Q13" t="str">
            <v>Equivalente de arena = 49%</v>
          </cell>
        </row>
        <row r="14">
          <cell r="C14" t="str">
            <v>La Unión</v>
          </cell>
          <cell r="P14" t="str">
            <v>Acopio trituradora</v>
          </cell>
          <cell r="Q14" t="str">
            <v>-</v>
          </cell>
        </row>
        <row r="15">
          <cell r="C15" t="str">
            <v>La Unión</v>
          </cell>
          <cell r="P15" t="str">
            <v>Acopio trituradora</v>
          </cell>
          <cell r="Q15" t="str">
            <v>Equivalente de arena = 53%</v>
          </cell>
        </row>
        <row r="16">
          <cell r="C16" t="str">
            <v>La Unión</v>
          </cell>
          <cell r="P16" t="str">
            <v>Acopio trituradora</v>
          </cell>
          <cell r="Q16" t="str">
            <v>Equivalente de arena = 31%</v>
          </cell>
        </row>
        <row r="17">
          <cell r="C17" t="str">
            <v>La Unión</v>
          </cell>
          <cell r="P17" t="str">
            <v>Acopio trituradora</v>
          </cell>
          <cell r="Q17" t="str">
            <v>Equivalente de arena = 28%</v>
          </cell>
        </row>
        <row r="18">
          <cell r="C18" t="str">
            <v>La Unión</v>
          </cell>
          <cell r="P18" t="str">
            <v>Acopio trituradora</v>
          </cell>
          <cell r="Q18" t="str">
            <v>-</v>
          </cell>
        </row>
        <row r="19">
          <cell r="C19" t="str">
            <v>La Unión</v>
          </cell>
          <cell r="P19" t="str">
            <v>Acopio trituradora</v>
          </cell>
          <cell r="Q19" t="str">
            <v>-</v>
          </cell>
        </row>
        <row r="20">
          <cell r="C20" t="str">
            <v>Grupo I</v>
          </cell>
          <cell r="P20" t="str">
            <v>-</v>
          </cell>
          <cell r="Q20" t="str">
            <v>-</v>
          </cell>
        </row>
        <row r="21">
          <cell r="C21" t="str">
            <v>Grupo I 3*1</v>
          </cell>
          <cell r="P21" t="str">
            <v>-</v>
          </cell>
          <cell r="Q21" t="str">
            <v>-</v>
          </cell>
        </row>
        <row r="22">
          <cell r="C22" t="str">
            <v>Grupo I</v>
          </cell>
          <cell r="P22" t="str">
            <v>-</v>
          </cell>
          <cell r="Q22" t="str">
            <v>-</v>
          </cell>
        </row>
        <row r="23">
          <cell r="C23" t="str">
            <v>Grupo I</v>
          </cell>
          <cell r="P23" t="str">
            <v>-</v>
          </cell>
          <cell r="Q23" t="str">
            <v>-</v>
          </cell>
        </row>
        <row r="24">
          <cell r="C24" t="str">
            <v>Grupo I</v>
          </cell>
          <cell r="Q24" t="str">
            <v>Equivalente de arena = 51 %</v>
          </cell>
        </row>
        <row r="25">
          <cell r="C25" t="str">
            <v>La Unión</v>
          </cell>
          <cell r="P25" t="str">
            <v>Muestra en frio</v>
          </cell>
          <cell r="Q25" t="str">
            <v>Equivalente de arena = 64 %</v>
          </cell>
        </row>
        <row r="26">
          <cell r="C26" t="str">
            <v>Grupo I</v>
          </cell>
          <cell r="P26" t="str">
            <v>-</v>
          </cell>
          <cell r="Q26" t="str">
            <v>-</v>
          </cell>
        </row>
        <row r="27">
          <cell r="C27" t="str">
            <v>La Unión</v>
          </cell>
          <cell r="P27" t="str">
            <v>Muestra en frio</v>
          </cell>
          <cell r="Q27" t="str">
            <v>Equivalente de arena = 58 %</v>
          </cell>
        </row>
      </sheetData>
      <sheetData sheetId="1">
        <row r="6">
          <cell r="F6">
            <v>25</v>
          </cell>
        </row>
      </sheetData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esumen (2)"/>
      <sheetName val="LA43 (2)"/>
      <sheetName val="DATOS"/>
      <sheetName val="Clasificaciones"/>
      <sheetName val="Clasificacion normal"/>
      <sheetName val="NP"/>
      <sheetName val="AASHTO"/>
      <sheetName val="UN-PUNTO"/>
      <sheetName val="Clasificacion normal Modif"/>
      <sheetName val="NP (3)"/>
      <sheetName val="UN-PUNTO (2)"/>
      <sheetName val="NP (2)"/>
      <sheetName val="USCS"/>
      <sheetName val="LA43"/>
      <sheetName val="form"/>
      <sheetName val="PERFIL"/>
      <sheetName val="Clasificacion"/>
      <sheetName val="Mtras"/>
      <sheetName val="CarSuel"/>
      <sheetName val="CaSuel "/>
      <sheetName val="ClaUSCS"/>
    </sheetNames>
    <sheetDataSet>
      <sheetData sheetId="0" refreshError="1"/>
      <sheetData sheetId="1" refreshError="1"/>
      <sheetData sheetId="2" refreshError="1"/>
      <sheetData sheetId="3">
        <row r="5">
          <cell r="H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finos"/>
      <sheetName val="GRUESOS 34"/>
      <sheetName val="GRUESOS1"/>
      <sheetName val="GRUESOS (2)"/>
      <sheetName val="Hoja3"/>
    </sheetNames>
    <sheetDataSet>
      <sheetData sheetId="0">
        <row r="3">
          <cell r="B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GRAFICO"/>
      <sheetName val="LIMITES (3)"/>
      <sheetName val="Hoja1"/>
      <sheetName val="RESUMEN"/>
    </sheetNames>
    <sheetDataSet>
      <sheetData sheetId="0">
        <row r="5">
          <cell r="A5">
            <v>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Inmersión"/>
      <sheetName val="Inmersión (4)"/>
      <sheetName val="Inmersión (2)"/>
      <sheetName val="Inmersión (3)"/>
      <sheetName val="PROCE-INV-738-2002"/>
      <sheetName val="Hoja2"/>
      <sheetName val="INMERSION COMPRESION"/>
      <sheetName val="densidades"/>
      <sheetName val="datos (2)"/>
      <sheetName val="Hoja1"/>
    </sheetNames>
    <sheetDataSet>
      <sheetData sheetId="0">
        <row r="3">
          <cell r="I3">
            <v>1998.6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</sheetNames>
    <sheetDataSet>
      <sheetData sheetId="0" refreshError="1">
        <row r="3">
          <cell r="A3">
            <v>1</v>
          </cell>
          <cell r="G3">
            <v>0</v>
          </cell>
        </row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G141">
            <v>0</v>
          </cell>
        </row>
        <row r="142">
          <cell r="G142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46">
          <cell r="G146">
            <v>0</v>
          </cell>
        </row>
        <row r="147">
          <cell r="G147">
            <v>0</v>
          </cell>
        </row>
        <row r="148">
          <cell r="G148">
            <v>0</v>
          </cell>
        </row>
        <row r="149">
          <cell r="G149">
            <v>0</v>
          </cell>
        </row>
        <row r="150">
          <cell r="G150">
            <v>0</v>
          </cell>
        </row>
        <row r="151">
          <cell r="G151">
            <v>0</v>
          </cell>
        </row>
        <row r="152">
          <cell r="G152">
            <v>0</v>
          </cell>
        </row>
        <row r="153">
          <cell r="G153">
            <v>0</v>
          </cell>
        </row>
        <row r="154">
          <cell r="G154">
            <v>0</v>
          </cell>
        </row>
        <row r="155">
          <cell r="G155">
            <v>0</v>
          </cell>
        </row>
        <row r="156">
          <cell r="G156">
            <v>0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</v>
          </cell>
        </row>
        <row r="160">
          <cell r="G160">
            <v>0</v>
          </cell>
        </row>
        <row r="161">
          <cell r="G161">
            <v>0</v>
          </cell>
        </row>
        <row r="162">
          <cell r="G162">
            <v>0</v>
          </cell>
        </row>
        <row r="163">
          <cell r="G163">
            <v>0</v>
          </cell>
        </row>
        <row r="164">
          <cell r="G164">
            <v>0</v>
          </cell>
        </row>
        <row r="165">
          <cell r="G165">
            <v>0</v>
          </cell>
        </row>
        <row r="166">
          <cell r="G166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3">
          <cell r="G173">
            <v>0</v>
          </cell>
        </row>
        <row r="174">
          <cell r="G174">
            <v>0</v>
          </cell>
        </row>
        <row r="175">
          <cell r="G175">
            <v>0</v>
          </cell>
        </row>
        <row r="176">
          <cell r="G176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1">
          <cell r="G181">
            <v>0</v>
          </cell>
        </row>
        <row r="182">
          <cell r="G182">
            <v>0</v>
          </cell>
        </row>
        <row r="183">
          <cell r="G183">
            <v>0</v>
          </cell>
        </row>
        <row r="184">
          <cell r="G184">
            <v>0</v>
          </cell>
        </row>
        <row r="185">
          <cell r="G185">
            <v>0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89">
          <cell r="G189">
            <v>0</v>
          </cell>
        </row>
        <row r="190">
          <cell r="G190">
            <v>0</v>
          </cell>
        </row>
        <row r="191">
          <cell r="G191">
            <v>0</v>
          </cell>
        </row>
        <row r="192">
          <cell r="G192">
            <v>0</v>
          </cell>
        </row>
        <row r="193">
          <cell r="G193">
            <v>0</v>
          </cell>
        </row>
        <row r="194">
          <cell r="G194">
            <v>0</v>
          </cell>
        </row>
        <row r="195">
          <cell r="G195">
            <v>0</v>
          </cell>
        </row>
        <row r="196">
          <cell r="G196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3">
          <cell r="G213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8">
          <cell r="G218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5">
          <cell r="G225">
            <v>0</v>
          </cell>
        </row>
        <row r="226">
          <cell r="G226">
            <v>0</v>
          </cell>
        </row>
        <row r="227">
          <cell r="G227">
            <v>0</v>
          </cell>
        </row>
        <row r="228">
          <cell r="G228">
            <v>0</v>
          </cell>
        </row>
        <row r="229">
          <cell r="G229">
            <v>0</v>
          </cell>
        </row>
        <row r="230">
          <cell r="G230">
            <v>0</v>
          </cell>
        </row>
        <row r="231">
          <cell r="G231">
            <v>0</v>
          </cell>
        </row>
        <row r="232">
          <cell r="G232">
            <v>0</v>
          </cell>
        </row>
        <row r="233">
          <cell r="G233">
            <v>0</v>
          </cell>
        </row>
        <row r="234">
          <cell r="G234">
            <v>0</v>
          </cell>
        </row>
        <row r="235">
          <cell r="G235">
            <v>0</v>
          </cell>
        </row>
        <row r="236">
          <cell r="G236">
            <v>0</v>
          </cell>
        </row>
        <row r="237">
          <cell r="G237">
            <v>0</v>
          </cell>
        </row>
        <row r="238">
          <cell r="G238">
            <v>0</v>
          </cell>
        </row>
        <row r="239">
          <cell r="G239">
            <v>0</v>
          </cell>
        </row>
        <row r="240">
          <cell r="G240">
            <v>0</v>
          </cell>
        </row>
        <row r="241">
          <cell r="G241">
            <v>0</v>
          </cell>
        </row>
        <row r="242">
          <cell r="G242">
            <v>0</v>
          </cell>
        </row>
        <row r="243">
          <cell r="G243">
            <v>0</v>
          </cell>
        </row>
        <row r="244">
          <cell r="G244">
            <v>0</v>
          </cell>
        </row>
        <row r="245">
          <cell r="G245">
            <v>0</v>
          </cell>
        </row>
        <row r="246">
          <cell r="G246">
            <v>0</v>
          </cell>
        </row>
        <row r="247">
          <cell r="G247">
            <v>0</v>
          </cell>
        </row>
        <row r="248">
          <cell r="G248">
            <v>0</v>
          </cell>
        </row>
        <row r="249">
          <cell r="G249">
            <v>0</v>
          </cell>
        </row>
        <row r="250">
          <cell r="G250">
            <v>0</v>
          </cell>
        </row>
        <row r="251">
          <cell r="G251">
            <v>0</v>
          </cell>
        </row>
        <row r="252">
          <cell r="G252">
            <v>0</v>
          </cell>
        </row>
        <row r="253">
          <cell r="G253">
            <v>0</v>
          </cell>
        </row>
        <row r="254">
          <cell r="G254">
            <v>0</v>
          </cell>
        </row>
        <row r="255">
          <cell r="G255">
            <v>0</v>
          </cell>
        </row>
        <row r="256">
          <cell r="G256">
            <v>0</v>
          </cell>
        </row>
        <row r="257">
          <cell r="G257">
            <v>0</v>
          </cell>
        </row>
        <row r="258">
          <cell r="G258">
            <v>0</v>
          </cell>
        </row>
        <row r="259">
          <cell r="G259">
            <v>0</v>
          </cell>
        </row>
        <row r="260">
          <cell r="G260">
            <v>0</v>
          </cell>
        </row>
        <row r="261">
          <cell r="G261">
            <v>0</v>
          </cell>
        </row>
        <row r="262">
          <cell r="G262">
            <v>0</v>
          </cell>
        </row>
        <row r="263">
          <cell r="G263">
            <v>0</v>
          </cell>
        </row>
        <row r="264">
          <cell r="G264">
            <v>0</v>
          </cell>
        </row>
        <row r="265">
          <cell r="G265">
            <v>0</v>
          </cell>
        </row>
        <row r="266">
          <cell r="G266">
            <v>0</v>
          </cell>
        </row>
        <row r="267">
          <cell r="G267">
            <v>0</v>
          </cell>
        </row>
        <row r="268">
          <cell r="G268">
            <v>0</v>
          </cell>
        </row>
        <row r="269">
          <cell r="G269">
            <v>0</v>
          </cell>
        </row>
        <row r="270">
          <cell r="G270">
            <v>0</v>
          </cell>
        </row>
        <row r="271">
          <cell r="G271">
            <v>0</v>
          </cell>
        </row>
        <row r="272">
          <cell r="G272">
            <v>0</v>
          </cell>
        </row>
        <row r="273">
          <cell r="G273">
            <v>0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G276">
            <v>0</v>
          </cell>
        </row>
        <row r="277">
          <cell r="G277">
            <v>0</v>
          </cell>
        </row>
        <row r="278">
          <cell r="G278">
            <v>0</v>
          </cell>
        </row>
        <row r="279">
          <cell r="G279">
            <v>0</v>
          </cell>
        </row>
        <row r="280">
          <cell r="G280">
            <v>0</v>
          </cell>
        </row>
        <row r="281">
          <cell r="G281">
            <v>0</v>
          </cell>
        </row>
        <row r="282">
          <cell r="G282">
            <v>0</v>
          </cell>
        </row>
        <row r="283">
          <cell r="G283">
            <v>0</v>
          </cell>
        </row>
        <row r="284">
          <cell r="G284">
            <v>0</v>
          </cell>
        </row>
        <row r="285">
          <cell r="G285">
            <v>0</v>
          </cell>
        </row>
        <row r="286">
          <cell r="G286">
            <v>0</v>
          </cell>
        </row>
        <row r="287">
          <cell r="G287">
            <v>0</v>
          </cell>
        </row>
        <row r="288">
          <cell r="G288">
            <v>0</v>
          </cell>
        </row>
        <row r="289">
          <cell r="G289">
            <v>0</v>
          </cell>
        </row>
        <row r="290">
          <cell r="G290">
            <v>0</v>
          </cell>
        </row>
        <row r="291">
          <cell r="G291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-12 UMV"/>
      <sheetName val="TSR"/>
      <sheetName val="firmas"/>
      <sheetName val="Hoja1"/>
      <sheetName val="Formato"/>
    </sheetNames>
    <sheetDataSet>
      <sheetData sheetId="0">
        <row r="34">
          <cell r="D34" t="str">
            <v>--</v>
          </cell>
        </row>
      </sheetData>
      <sheetData sheetId="1"/>
      <sheetData sheetId="2">
        <row r="3">
          <cell r="A3" t="str">
            <v>CHAPARRO CARLOS</v>
          </cell>
          <cell r="B3" t="str">
            <v>Laboratorista</v>
          </cell>
        </row>
        <row r="4">
          <cell r="A4" t="str">
            <v>CORDOBA ALEXANDER</v>
          </cell>
          <cell r="B4" t="str">
            <v>Laboratorista</v>
          </cell>
        </row>
        <row r="5">
          <cell r="A5" t="str">
            <v>CRISTANCHO VICTOR</v>
          </cell>
          <cell r="B5" t="str">
            <v>Laboratorista</v>
          </cell>
        </row>
        <row r="6">
          <cell r="A6" t="str">
            <v>DIAZ CESAR</v>
          </cell>
          <cell r="B6" t="str">
            <v>Laboratorista</v>
          </cell>
        </row>
        <row r="7">
          <cell r="A7" t="str">
            <v>FLOREZ KAREN</v>
          </cell>
          <cell r="B7" t="str">
            <v>Laboratorista</v>
          </cell>
        </row>
        <row r="8">
          <cell r="A8" t="str">
            <v>GALVIS DAVID</v>
          </cell>
          <cell r="B8" t="str">
            <v>Laboratorista</v>
          </cell>
        </row>
        <row r="9">
          <cell r="A9" t="str">
            <v>MANCILLA EDGAR</v>
          </cell>
          <cell r="B9" t="str">
            <v>Laboratorista</v>
          </cell>
        </row>
        <row r="10">
          <cell r="A10" t="str">
            <v>OSPINA JUAN GABRIEL</v>
          </cell>
          <cell r="B10" t="str">
            <v>Laboratorista</v>
          </cell>
        </row>
        <row r="11">
          <cell r="A11" t="str">
            <v>SUAREZ  WILLIAM</v>
          </cell>
          <cell r="B11" t="str">
            <v>Laboratorista</v>
          </cell>
        </row>
        <row r="12">
          <cell r="A12" t="str">
            <v>YARA FABIAN</v>
          </cell>
          <cell r="B12" t="str">
            <v>Laboratorista</v>
          </cell>
        </row>
        <row r="13">
          <cell r="A13" t="str">
            <v>RINCON SATURNINO</v>
          </cell>
          <cell r="B13" t="str">
            <v>Coordinador operativo</v>
          </cell>
        </row>
        <row r="14">
          <cell r="A14" t="str">
            <v>ACHIARDI LEONARDO</v>
          </cell>
          <cell r="B14" t="str">
            <v>Auxiliar</v>
          </cell>
        </row>
        <row r="15">
          <cell r="A15" t="str">
            <v>ALBARRACIN JAIRO</v>
          </cell>
          <cell r="B15" t="str">
            <v>Auxiliar</v>
          </cell>
        </row>
        <row r="16">
          <cell r="A16" t="str">
            <v>ALMONACID JIMMY</v>
          </cell>
          <cell r="B16" t="str">
            <v>Auxiliar</v>
          </cell>
        </row>
        <row r="17">
          <cell r="A17" t="str">
            <v>CANO LUIS EDUARDO</v>
          </cell>
          <cell r="B17" t="str">
            <v>Auxiliar</v>
          </cell>
        </row>
        <row r="18">
          <cell r="A18" t="str">
            <v>GALVIS DANIEL</v>
          </cell>
          <cell r="B18" t="str">
            <v>Auxiliar</v>
          </cell>
        </row>
        <row r="19">
          <cell r="A19" t="str">
            <v>GOMEZ LUIS CARLOS</v>
          </cell>
          <cell r="B19" t="str">
            <v>Auxiliar</v>
          </cell>
        </row>
        <row r="20">
          <cell r="A20" t="str">
            <v>FAJARDO HUGO</v>
          </cell>
          <cell r="B20" t="str">
            <v>Auxiliar</v>
          </cell>
        </row>
        <row r="21">
          <cell r="A21" t="str">
            <v>PATIÑO MARLON</v>
          </cell>
          <cell r="B21" t="str">
            <v>Auxiliar</v>
          </cell>
        </row>
        <row r="22">
          <cell r="A22" t="str">
            <v>PRIETO YULY PAOLA</v>
          </cell>
          <cell r="B22" t="str">
            <v>Auxiliar</v>
          </cell>
        </row>
        <row r="23">
          <cell r="A23" t="str">
            <v>SASTOQUE CINDY</v>
          </cell>
          <cell r="B23" t="str">
            <v>Auxiliar</v>
          </cell>
        </row>
        <row r="24">
          <cell r="A24" t="str">
            <v>TEUTA DIEGO</v>
          </cell>
          <cell r="B24" t="str">
            <v>Auxiliar</v>
          </cell>
        </row>
        <row r="25">
          <cell r="A25" t="str">
            <v>VARGAS RODOLFO</v>
          </cell>
          <cell r="B25" t="str">
            <v>Auxiliar</v>
          </cell>
        </row>
        <row r="26">
          <cell r="A26" t="str">
            <v>VILLANUEVA BRAYAN</v>
          </cell>
          <cell r="B26" t="str">
            <v>Auxiliar</v>
          </cell>
        </row>
        <row r="27">
          <cell r="A27" t="str">
            <v>--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"/>
      <sheetName val="Recipiente"/>
      <sheetName val="Guia rec."/>
      <sheetName val="MEZCLAS"/>
      <sheetName val="Módulo1"/>
      <sheetName val="Módulo11"/>
      <sheetName val="2-6"/>
      <sheetName val="LIMITE"/>
      <sheetName val="Hoja1"/>
      <sheetName val="CLAS-BO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 RICE-ok"/>
      <sheetName val="DIS RICE-ok (2)"/>
      <sheetName val="Corrección"/>
      <sheetName val="Corrección (2)"/>
      <sheetName val="DATOS"/>
      <sheetName val="GRADACIÓN"/>
      <sheetName val="sin-briq"/>
      <sheetName val="CALIDAD-ASJ (5)"/>
      <sheetName val="Metro"/>
      <sheetName val="Hoja1"/>
      <sheetName val="Hoja2"/>
      <sheetName val="ASJ"/>
      <sheetName val="CALIDAD"/>
      <sheetName val="Formato"/>
      <sheetName val="Rice-EAFIT"/>
    </sheetNames>
    <sheetDataSet>
      <sheetData sheetId="0"/>
      <sheetData sheetId="1"/>
      <sheetData sheetId="2"/>
      <sheetData sheetId="3"/>
      <sheetData sheetId="4">
        <row r="3">
          <cell r="A3">
            <v>1</v>
          </cell>
          <cell r="B3">
            <v>40152</v>
          </cell>
          <cell r="D3">
            <v>1501</v>
          </cell>
          <cell r="E3">
            <v>1430.6</v>
          </cell>
          <cell r="G3" t="str">
            <v>Tramo de prueba</v>
          </cell>
          <cell r="H3" t="str">
            <v>1/4</v>
          </cell>
          <cell r="I3">
            <v>0</v>
          </cell>
          <cell r="J3">
            <v>222.5</v>
          </cell>
          <cell r="K3">
            <v>114.2</v>
          </cell>
          <cell r="L3">
            <v>239.6</v>
          </cell>
          <cell r="M3">
            <v>294</v>
          </cell>
          <cell r="N3">
            <v>280.39999999999998</v>
          </cell>
          <cell r="O3">
            <v>93.4</v>
          </cell>
          <cell r="P3">
            <v>82.9</v>
          </cell>
          <cell r="Q3">
            <v>103.6</v>
          </cell>
          <cell r="S3">
            <v>25</v>
          </cell>
          <cell r="T3" t="str">
            <v>1</v>
          </cell>
          <cell r="AK3">
            <v>0</v>
          </cell>
          <cell r="AM3">
            <v>0</v>
          </cell>
          <cell r="AO3">
            <v>0</v>
          </cell>
          <cell r="AP3" t="str">
            <v>Muestra tomada en el elevador</v>
          </cell>
          <cell r="AQ3" t="str">
            <v>-</v>
          </cell>
          <cell r="AR3">
            <v>0</v>
          </cell>
          <cell r="AS3">
            <v>0</v>
          </cell>
          <cell r="AV3">
            <v>0</v>
          </cell>
          <cell r="BS3">
            <v>2.5720000000000001</v>
          </cell>
        </row>
        <row r="4">
          <cell r="A4">
            <v>2</v>
          </cell>
          <cell r="B4">
            <v>40152</v>
          </cell>
          <cell r="D4">
            <v>1502.3</v>
          </cell>
          <cell r="E4">
            <v>1429.3</v>
          </cell>
          <cell r="G4" t="str">
            <v>Tramo de prueba</v>
          </cell>
          <cell r="H4" t="str">
            <v>2/4</v>
          </cell>
          <cell r="I4">
            <v>0</v>
          </cell>
          <cell r="J4">
            <v>183.1</v>
          </cell>
          <cell r="K4">
            <v>155.80000000000001</v>
          </cell>
          <cell r="L4">
            <v>267.8</v>
          </cell>
          <cell r="M4">
            <v>315.89999999999998</v>
          </cell>
          <cell r="N4">
            <v>245.6</v>
          </cell>
          <cell r="O4">
            <v>82</v>
          </cell>
          <cell r="P4">
            <v>78.099999999999994</v>
          </cell>
          <cell r="Q4">
            <v>101</v>
          </cell>
          <cell r="S4">
            <v>25</v>
          </cell>
          <cell r="T4" t="str">
            <v>1</v>
          </cell>
          <cell r="U4">
            <v>1230.5999999999999</v>
          </cell>
          <cell r="V4">
            <v>1231.5</v>
          </cell>
          <cell r="W4">
            <v>729.4</v>
          </cell>
          <cell r="Y4">
            <v>3.6</v>
          </cell>
          <cell r="Z4">
            <v>1234</v>
          </cell>
          <cell r="AA4">
            <v>1236.5</v>
          </cell>
          <cell r="AB4">
            <v>731</v>
          </cell>
          <cell r="AD4">
            <v>3.6</v>
          </cell>
          <cell r="AE4">
            <v>1238.2</v>
          </cell>
          <cell r="AF4">
            <v>1238.9000000000001</v>
          </cell>
          <cell r="AG4">
            <v>733.5</v>
          </cell>
          <cell r="AI4">
            <v>3.3</v>
          </cell>
          <cell r="AK4">
            <v>1539.7620999999999</v>
          </cell>
          <cell r="AM4">
            <v>1445.9487799999999</v>
          </cell>
          <cell r="AO4">
            <v>1382.72676</v>
          </cell>
          <cell r="AP4" t="str">
            <v>Muestra tomada en el elevador</v>
          </cell>
          <cell r="AQ4" t="str">
            <v>-</v>
          </cell>
          <cell r="AR4">
            <v>1513</v>
          </cell>
          <cell r="AS4">
            <v>3.5</v>
          </cell>
          <cell r="AV4">
            <v>2.4401729602729447</v>
          </cell>
          <cell r="BS4">
            <v>2.5720000000000001</v>
          </cell>
        </row>
        <row r="5">
          <cell r="A5">
            <v>3</v>
          </cell>
          <cell r="B5">
            <v>40152</v>
          </cell>
          <cell r="D5">
            <v>1500.6</v>
          </cell>
          <cell r="E5">
            <v>1429.4</v>
          </cell>
          <cell r="G5" t="str">
            <v>Tramo de prueba</v>
          </cell>
          <cell r="H5" t="str">
            <v>3/4</v>
          </cell>
          <cell r="I5">
            <v>0</v>
          </cell>
          <cell r="J5">
            <v>161.19999999999999</v>
          </cell>
          <cell r="K5">
            <v>135.30000000000001</v>
          </cell>
          <cell r="L5">
            <v>276.89999999999998</v>
          </cell>
          <cell r="M5">
            <v>323.7</v>
          </cell>
          <cell r="N5">
            <v>256.5</v>
          </cell>
          <cell r="O5">
            <v>89.3</v>
          </cell>
          <cell r="P5">
            <v>79.400000000000006</v>
          </cell>
          <cell r="Q5">
            <v>107.1</v>
          </cell>
          <cell r="S5">
            <v>25</v>
          </cell>
          <cell r="T5" t="str">
            <v>1</v>
          </cell>
          <cell r="AK5">
            <v>0</v>
          </cell>
          <cell r="AM5">
            <v>0</v>
          </cell>
          <cell r="AO5">
            <v>0</v>
          </cell>
          <cell r="AP5" t="str">
            <v>Muestra tomada en la volqueta</v>
          </cell>
          <cell r="AQ5" t="str">
            <v>-</v>
          </cell>
          <cell r="AR5">
            <v>0</v>
          </cell>
          <cell r="AS5">
            <v>0</v>
          </cell>
          <cell r="AV5">
            <v>0</v>
          </cell>
          <cell r="BS5">
            <v>2.5720000000000001</v>
          </cell>
        </row>
        <row r="6">
          <cell r="A6">
            <v>4</v>
          </cell>
          <cell r="B6">
            <v>40152</v>
          </cell>
          <cell r="D6">
            <v>1500.3</v>
          </cell>
          <cell r="E6">
            <v>1428.2</v>
          </cell>
          <cell r="G6" t="str">
            <v>Tramo de prueba</v>
          </cell>
          <cell r="H6" t="str">
            <v>4/4</v>
          </cell>
          <cell r="I6">
            <v>0</v>
          </cell>
          <cell r="J6">
            <v>209.3</v>
          </cell>
          <cell r="K6">
            <v>123.9</v>
          </cell>
          <cell r="L6">
            <v>275</v>
          </cell>
          <cell r="M6">
            <v>313.89999999999998</v>
          </cell>
          <cell r="N6">
            <v>246.1</v>
          </cell>
          <cell r="O6">
            <v>93.8</v>
          </cell>
          <cell r="P6">
            <v>67.2</v>
          </cell>
          <cell r="Q6">
            <v>99</v>
          </cell>
          <cell r="S6">
            <v>25</v>
          </cell>
          <cell r="T6" t="str">
            <v>1</v>
          </cell>
          <cell r="U6">
            <v>1237.5</v>
          </cell>
          <cell r="V6">
            <v>1238.5999999999999</v>
          </cell>
          <cell r="W6">
            <v>737.7</v>
          </cell>
          <cell r="Y6">
            <v>3.5</v>
          </cell>
          <cell r="Z6">
            <v>1232.4000000000001</v>
          </cell>
          <cell r="AA6">
            <v>1234.2</v>
          </cell>
          <cell r="AB6">
            <v>732.3</v>
          </cell>
          <cell r="AD6">
            <v>3.3</v>
          </cell>
          <cell r="AE6">
            <v>1235.0999999999999</v>
          </cell>
          <cell r="AF6">
            <v>1236.5999999999999</v>
          </cell>
          <cell r="AG6">
            <v>735.3</v>
          </cell>
          <cell r="AI6">
            <v>3.5</v>
          </cell>
          <cell r="AK6">
            <v>1945.6066799999999</v>
          </cell>
          <cell r="AM6">
            <v>1530.5847100000001</v>
          </cell>
          <cell r="AO6">
            <v>1507.13138</v>
          </cell>
          <cell r="AP6" t="str">
            <v>Muestra tomada en la carpeta recién extendida</v>
          </cell>
          <cell r="AQ6" t="str">
            <v>-</v>
          </cell>
          <cell r="AR6">
            <v>1743</v>
          </cell>
          <cell r="AS6">
            <v>3.4</v>
          </cell>
          <cell r="AV6">
            <v>2.4560670479906328</v>
          </cell>
          <cell r="BS6">
            <v>2.5720000000000001</v>
          </cell>
        </row>
        <row r="7">
          <cell r="A7">
            <v>5</v>
          </cell>
          <cell r="B7">
            <v>40161</v>
          </cell>
          <cell r="D7">
            <v>1501.9</v>
          </cell>
          <cell r="E7">
            <v>1425.5</v>
          </cell>
          <cell r="G7" t="str">
            <v>Parcheo elaboración de fallos en vías urbanas y rurales del municipio de Medellín</v>
          </cell>
          <cell r="H7" t="str">
            <v>2//2</v>
          </cell>
          <cell r="I7">
            <v>0</v>
          </cell>
          <cell r="J7">
            <v>176.6</v>
          </cell>
          <cell r="K7">
            <v>129.1</v>
          </cell>
          <cell r="L7">
            <v>286.89999999999998</v>
          </cell>
          <cell r="M7">
            <v>317.60000000000002</v>
          </cell>
          <cell r="N7">
            <v>286.60000000000002</v>
          </cell>
          <cell r="O7">
            <v>57.4</v>
          </cell>
          <cell r="P7">
            <v>76.2</v>
          </cell>
          <cell r="Q7">
            <v>95.1</v>
          </cell>
          <cell r="S7">
            <v>25</v>
          </cell>
          <cell r="T7" t="str">
            <v>1</v>
          </cell>
          <cell r="U7">
            <v>1237</v>
          </cell>
          <cell r="V7">
            <v>1237.5</v>
          </cell>
          <cell r="W7">
            <v>736.7</v>
          </cell>
          <cell r="Y7">
            <v>3.3</v>
          </cell>
          <cell r="Z7">
            <v>1235.5999999999999</v>
          </cell>
          <cell r="AA7">
            <v>1236.2</v>
          </cell>
          <cell r="AB7">
            <v>735.6</v>
          </cell>
          <cell r="AD7">
            <v>3.1</v>
          </cell>
          <cell r="AE7">
            <v>1234</v>
          </cell>
          <cell r="AF7">
            <v>1235.0999999999999</v>
          </cell>
          <cell r="AG7">
            <v>734.5</v>
          </cell>
          <cell r="AI7">
            <v>3.3</v>
          </cell>
          <cell r="AK7">
            <v>1520.38761</v>
          </cell>
          <cell r="AM7">
            <v>1516.3087699999999</v>
          </cell>
          <cell r="AO7">
            <v>1560.1563000000001</v>
          </cell>
          <cell r="AP7" t="str">
            <v>Muestra tomada en la volqueta</v>
          </cell>
          <cell r="AQ7" t="str">
            <v>-</v>
          </cell>
          <cell r="AR7">
            <v>1611</v>
          </cell>
          <cell r="AS7">
            <v>3.2</v>
          </cell>
          <cell r="AV7">
            <v>2.4605577509610939</v>
          </cell>
          <cell r="BS7">
            <v>2.57</v>
          </cell>
        </row>
        <row r="8">
          <cell r="A8">
            <v>6</v>
          </cell>
          <cell r="B8">
            <v>40161</v>
          </cell>
          <cell r="D8">
            <v>1503.8</v>
          </cell>
          <cell r="E8">
            <v>1431.6</v>
          </cell>
          <cell r="G8" t="str">
            <v>Parcheo elaboración de fallos en vías urbanas y rurales del municipio de Medellín</v>
          </cell>
          <cell r="H8" t="str">
            <v>1/2</v>
          </cell>
          <cell r="I8">
            <v>0</v>
          </cell>
          <cell r="J8">
            <v>244.4</v>
          </cell>
          <cell r="K8">
            <v>174.7</v>
          </cell>
          <cell r="L8">
            <v>277.7</v>
          </cell>
          <cell r="M8">
            <v>282.10000000000002</v>
          </cell>
          <cell r="N8">
            <v>228.3</v>
          </cell>
          <cell r="O8">
            <v>90</v>
          </cell>
          <cell r="P8">
            <v>62.4</v>
          </cell>
          <cell r="Q8">
            <v>72</v>
          </cell>
          <cell r="S8">
            <v>25</v>
          </cell>
          <cell r="T8" t="str">
            <v>1</v>
          </cell>
          <cell r="AK8">
            <v>0</v>
          </cell>
          <cell r="AM8">
            <v>0</v>
          </cell>
          <cell r="AO8">
            <v>0</v>
          </cell>
          <cell r="AP8" t="str">
            <v>Muestra tomada en el elevador</v>
          </cell>
          <cell r="AQ8" t="str">
            <v>-</v>
          </cell>
          <cell r="AR8">
            <v>0</v>
          </cell>
          <cell r="AS8">
            <v>0</v>
          </cell>
          <cell r="AV8">
            <v>0</v>
          </cell>
          <cell r="BS8">
            <v>2.57</v>
          </cell>
        </row>
        <row r="9">
          <cell r="A9">
            <v>7</v>
          </cell>
          <cell r="B9">
            <v>40162</v>
          </cell>
          <cell r="D9">
            <v>1507.1</v>
          </cell>
          <cell r="E9">
            <v>1436.2</v>
          </cell>
          <cell r="G9" t="str">
            <v>Parcheo elaboración de fallos en vías urbanas y rurales del municipio de Medellín</v>
          </cell>
          <cell r="H9" t="str">
            <v>2/2</v>
          </cell>
          <cell r="I9">
            <v>0</v>
          </cell>
          <cell r="J9">
            <v>164.3</v>
          </cell>
          <cell r="K9">
            <v>191.7</v>
          </cell>
          <cell r="L9">
            <v>318.5</v>
          </cell>
          <cell r="M9">
            <v>322.7</v>
          </cell>
          <cell r="N9">
            <v>197.7</v>
          </cell>
          <cell r="O9">
            <v>103.1</v>
          </cell>
          <cell r="P9">
            <v>59.9</v>
          </cell>
          <cell r="Q9">
            <v>78.3</v>
          </cell>
          <cell r="S9">
            <v>25</v>
          </cell>
          <cell r="T9" t="str">
            <v>1</v>
          </cell>
          <cell r="U9">
            <v>1237</v>
          </cell>
          <cell r="V9">
            <v>1239.3</v>
          </cell>
          <cell r="W9">
            <v>732.5</v>
          </cell>
          <cell r="Y9">
            <v>2.9</v>
          </cell>
          <cell r="Z9">
            <v>1235.8</v>
          </cell>
          <cell r="AA9">
            <v>1237.9000000000001</v>
          </cell>
          <cell r="AB9">
            <v>729.6</v>
          </cell>
          <cell r="AD9">
            <v>2.7</v>
          </cell>
          <cell r="AE9">
            <v>1233.2</v>
          </cell>
          <cell r="AF9">
            <v>1235.8</v>
          </cell>
          <cell r="AG9">
            <v>728.4</v>
          </cell>
          <cell r="AI9">
            <v>3.2</v>
          </cell>
          <cell r="AK9">
            <v>1648.8710700000001</v>
          </cell>
          <cell r="AM9">
            <v>1488.7765999999999</v>
          </cell>
          <cell r="AO9">
            <v>1348.0566200000001</v>
          </cell>
          <cell r="AP9" t="str">
            <v>Muestra tomada en la volqueta</v>
          </cell>
          <cell r="AQ9" t="str">
            <v>-</v>
          </cell>
          <cell r="AR9">
            <v>1538</v>
          </cell>
          <cell r="AS9">
            <v>2.9</v>
          </cell>
          <cell r="AV9">
            <v>2.4270387809796956</v>
          </cell>
          <cell r="BS9">
            <v>2.5819999999999999</v>
          </cell>
        </row>
        <row r="10">
          <cell r="A10">
            <v>8</v>
          </cell>
          <cell r="B10">
            <v>40162</v>
          </cell>
          <cell r="D10">
            <v>1504.5</v>
          </cell>
          <cell r="E10">
            <v>1434</v>
          </cell>
          <cell r="G10" t="str">
            <v>Parcheo elaboración de fallos en vías urbanas y rurales del municipio de Medellín</v>
          </cell>
          <cell r="H10" t="str">
            <v>1/2</v>
          </cell>
          <cell r="I10">
            <v>0</v>
          </cell>
          <cell r="J10">
            <v>240.9</v>
          </cell>
          <cell r="K10">
            <v>173.2</v>
          </cell>
          <cell r="L10">
            <v>283.3</v>
          </cell>
          <cell r="M10">
            <v>304.3</v>
          </cell>
          <cell r="N10">
            <v>218.1</v>
          </cell>
          <cell r="O10">
            <v>74.8</v>
          </cell>
          <cell r="P10">
            <v>64.099999999999994</v>
          </cell>
          <cell r="Q10">
            <v>75.3</v>
          </cell>
          <cell r="S10">
            <v>25</v>
          </cell>
          <cell r="T10" t="str">
            <v>1</v>
          </cell>
          <cell r="AK10">
            <v>0</v>
          </cell>
          <cell r="AM10">
            <v>0</v>
          </cell>
          <cell r="AO10">
            <v>0</v>
          </cell>
          <cell r="AP10" t="str">
            <v>Muestra tomada en el elevador</v>
          </cell>
          <cell r="AQ10" t="str">
            <v>-</v>
          </cell>
          <cell r="AR10">
            <v>0</v>
          </cell>
          <cell r="AS10">
            <v>0</v>
          </cell>
          <cell r="AV10">
            <v>0</v>
          </cell>
          <cell r="BS10">
            <v>2.5819999999999999</v>
          </cell>
        </row>
        <row r="11">
          <cell r="A11">
            <v>9</v>
          </cell>
          <cell r="B11">
            <v>40163</v>
          </cell>
          <cell r="D11">
            <v>1505.8</v>
          </cell>
          <cell r="E11">
            <v>1435.2</v>
          </cell>
          <cell r="G11" t="str">
            <v>Parcheo elaboración de fallos en vías urbanas y rurales del municipio de Medellín.</v>
          </cell>
          <cell r="H11" t="str">
            <v>1/1</v>
          </cell>
          <cell r="I11">
            <v>0</v>
          </cell>
          <cell r="J11">
            <v>176.7</v>
          </cell>
          <cell r="K11">
            <v>135.4</v>
          </cell>
          <cell r="L11">
            <v>352.2</v>
          </cell>
          <cell r="M11">
            <v>312.3</v>
          </cell>
          <cell r="N11">
            <v>208.5</v>
          </cell>
          <cell r="O11">
            <v>78.8</v>
          </cell>
          <cell r="P11">
            <v>83</v>
          </cell>
          <cell r="Q11">
            <v>88.3</v>
          </cell>
          <cell r="S11">
            <v>25</v>
          </cell>
          <cell r="T11" t="str">
            <v>1</v>
          </cell>
          <cell r="U11">
            <v>1235.7</v>
          </cell>
          <cell r="V11">
            <v>1237</v>
          </cell>
          <cell r="W11">
            <v>735.2</v>
          </cell>
          <cell r="Y11">
            <v>3.6</v>
          </cell>
          <cell r="Z11">
            <v>1233.5999999999999</v>
          </cell>
          <cell r="AA11">
            <v>1234.3</v>
          </cell>
          <cell r="AB11">
            <v>733.7</v>
          </cell>
          <cell r="AD11">
            <v>3.3</v>
          </cell>
          <cell r="AE11">
            <v>1232.8</v>
          </cell>
          <cell r="AF11">
            <v>1233.8</v>
          </cell>
          <cell r="AG11">
            <v>736</v>
          </cell>
          <cell r="AI11">
            <v>3.6</v>
          </cell>
          <cell r="AK11">
            <v>1673.34411</v>
          </cell>
          <cell r="AM11">
            <v>1565.25485</v>
          </cell>
          <cell r="AO11">
            <v>1917.0548000000001</v>
          </cell>
          <cell r="AP11" t="str">
            <v>Muestra tomada en el elevador</v>
          </cell>
          <cell r="AQ11" t="str">
            <v>-</v>
          </cell>
          <cell r="AR11">
            <v>1811</v>
          </cell>
          <cell r="AS11">
            <v>3.5</v>
          </cell>
          <cell r="AV11">
            <v>2.4605399301364783</v>
          </cell>
          <cell r="BS11">
            <v>2.5880000000000001</v>
          </cell>
        </row>
        <row r="12">
          <cell r="A12">
            <v>10</v>
          </cell>
          <cell r="B12">
            <v>40164</v>
          </cell>
          <cell r="D12">
            <v>1501.2</v>
          </cell>
          <cell r="E12">
            <v>1428.9</v>
          </cell>
          <cell r="G12" t="str">
            <v>Parcheo elaboración de fallos en vías urbanas y rurales del municipio de Medellín.</v>
          </cell>
          <cell r="H12" t="str">
            <v>1/2</v>
          </cell>
          <cell r="I12">
            <v>0</v>
          </cell>
          <cell r="J12">
            <v>192.9</v>
          </cell>
          <cell r="K12">
            <v>142.80000000000001</v>
          </cell>
          <cell r="L12">
            <v>296.39999999999998</v>
          </cell>
          <cell r="M12">
            <v>328.7</v>
          </cell>
          <cell r="N12">
            <v>227.5</v>
          </cell>
          <cell r="O12">
            <v>76.099999999999994</v>
          </cell>
          <cell r="P12">
            <v>68.2</v>
          </cell>
          <cell r="Q12">
            <v>96.3</v>
          </cell>
          <cell r="S12">
            <v>25</v>
          </cell>
          <cell r="T12" t="str">
            <v>1</v>
          </cell>
          <cell r="U12">
            <v>1241.3</v>
          </cell>
          <cell r="V12">
            <v>1242.2</v>
          </cell>
          <cell r="W12">
            <v>739.8</v>
          </cell>
          <cell r="Y12">
            <v>3.65</v>
          </cell>
          <cell r="Z12">
            <v>1237.7</v>
          </cell>
          <cell r="AA12">
            <v>1238.5</v>
          </cell>
          <cell r="AB12">
            <v>737.7</v>
          </cell>
          <cell r="AD12">
            <v>3.2</v>
          </cell>
          <cell r="AE12">
            <v>1234.5</v>
          </cell>
          <cell r="AF12">
            <v>1235.4000000000001</v>
          </cell>
          <cell r="AG12">
            <v>735.2</v>
          </cell>
          <cell r="AI12">
            <v>3.1</v>
          </cell>
          <cell r="AK12">
            <v>2114.8785399999997</v>
          </cell>
          <cell r="AM12">
            <v>1737.58584</v>
          </cell>
          <cell r="AO12">
            <v>1731.46758</v>
          </cell>
          <cell r="AP12" t="str">
            <v>Muestra tomada en la volqueta</v>
          </cell>
          <cell r="AQ12" t="str">
            <v>-</v>
          </cell>
          <cell r="AR12">
            <v>1953</v>
          </cell>
          <cell r="AS12">
            <v>3.3</v>
          </cell>
          <cell r="AV12">
            <v>2.4628413652598411</v>
          </cell>
          <cell r="BS12">
            <v>2.5750000000000002</v>
          </cell>
        </row>
        <row r="13">
          <cell r="A13">
            <v>11</v>
          </cell>
          <cell r="B13">
            <v>40164</v>
          </cell>
          <cell r="D13">
            <v>1502</v>
          </cell>
          <cell r="E13">
            <v>1429.7</v>
          </cell>
          <cell r="G13" t="str">
            <v>Parcheo elaboración de fallos en vías urbanas y rurales del municipio de Medellín.</v>
          </cell>
          <cell r="H13" t="str">
            <v>2/2</v>
          </cell>
          <cell r="I13">
            <v>0</v>
          </cell>
          <cell r="J13">
            <v>155.6</v>
          </cell>
          <cell r="K13">
            <v>158.19999999999999</v>
          </cell>
          <cell r="L13">
            <v>328.8</v>
          </cell>
          <cell r="M13">
            <v>324.60000000000002</v>
          </cell>
          <cell r="N13">
            <v>225.7</v>
          </cell>
          <cell r="O13">
            <v>75.7</v>
          </cell>
          <cell r="P13">
            <v>67.400000000000006</v>
          </cell>
          <cell r="Q13">
            <v>93.7</v>
          </cell>
          <cell r="S13">
            <v>25</v>
          </cell>
          <cell r="T13" t="str">
            <v>1</v>
          </cell>
          <cell r="AK13">
            <v>0</v>
          </cell>
          <cell r="AM13">
            <v>0</v>
          </cell>
          <cell r="AO13">
            <v>0</v>
          </cell>
          <cell r="AP13" t="str">
            <v>Muestra tomada en el elevador</v>
          </cell>
          <cell r="AQ13" t="str">
            <v>-</v>
          </cell>
          <cell r="AR13">
            <v>0</v>
          </cell>
          <cell r="AS13">
            <v>0</v>
          </cell>
          <cell r="AV13">
            <v>0</v>
          </cell>
          <cell r="BS13">
            <v>2.5750000000000002</v>
          </cell>
        </row>
        <row r="14">
          <cell r="A14">
            <v>12</v>
          </cell>
          <cell r="B14">
            <v>40165</v>
          </cell>
          <cell r="D14">
            <v>1500.5</v>
          </cell>
          <cell r="E14">
            <v>1422</v>
          </cell>
          <cell r="G14" t="str">
            <v>Parcheo elaboración de fallos en vías urbanas y rurales del municipio de Medellín.</v>
          </cell>
          <cell r="H14" t="str">
            <v>1/2</v>
          </cell>
          <cell r="I14">
            <v>0</v>
          </cell>
          <cell r="J14">
            <v>148.69999999999999</v>
          </cell>
          <cell r="K14">
            <v>168.8</v>
          </cell>
          <cell r="L14">
            <v>291.89999999999998</v>
          </cell>
          <cell r="M14">
            <v>327.7</v>
          </cell>
          <cell r="N14">
            <v>249.6</v>
          </cell>
          <cell r="O14">
            <v>80.7</v>
          </cell>
          <cell r="P14">
            <v>60.6</v>
          </cell>
          <cell r="Q14">
            <v>94</v>
          </cell>
          <cell r="S14">
            <v>25</v>
          </cell>
          <cell r="T14" t="str">
            <v>1</v>
          </cell>
          <cell r="U14">
            <v>1241.9000000000001</v>
          </cell>
          <cell r="V14">
            <v>1242.7</v>
          </cell>
          <cell r="W14">
            <v>737.7</v>
          </cell>
          <cell r="Y14">
            <v>3.6</v>
          </cell>
          <cell r="Z14">
            <v>1238.8</v>
          </cell>
          <cell r="AA14">
            <v>1239.3</v>
          </cell>
          <cell r="AB14">
            <v>737.3</v>
          </cell>
          <cell r="AD14">
            <v>3.58</v>
          </cell>
          <cell r="AE14">
            <v>1246.8</v>
          </cell>
          <cell r="AF14">
            <v>1247.5</v>
          </cell>
          <cell r="AG14">
            <v>740.3</v>
          </cell>
          <cell r="AI14">
            <v>3.49</v>
          </cell>
          <cell r="AK14">
            <v>1807.9458300000001</v>
          </cell>
          <cell r="AM14">
            <v>1854.8524900000002</v>
          </cell>
          <cell r="AO14">
            <v>1750.8420700000001</v>
          </cell>
          <cell r="AP14" t="str">
            <v>Muestra tomada en la volqueta</v>
          </cell>
          <cell r="AQ14" t="str">
            <v>-</v>
          </cell>
          <cell r="AR14">
            <v>1873</v>
          </cell>
          <cell r="AS14">
            <v>3.6</v>
          </cell>
          <cell r="AV14">
            <v>2.4545124553091937</v>
          </cell>
          <cell r="BS14">
            <v>2.569</v>
          </cell>
        </row>
        <row r="15">
          <cell r="A15">
            <v>13</v>
          </cell>
          <cell r="B15">
            <v>40165</v>
          </cell>
          <cell r="D15">
            <v>1500</v>
          </cell>
          <cell r="E15">
            <v>1421</v>
          </cell>
          <cell r="G15" t="str">
            <v>Parcheo elaboración de fallos en vías urbanas y rurales del municipio de Medellín.</v>
          </cell>
          <cell r="H15" t="str">
            <v>2/2</v>
          </cell>
          <cell r="I15">
            <v>0</v>
          </cell>
          <cell r="J15">
            <v>185.7</v>
          </cell>
          <cell r="K15">
            <v>121</v>
          </cell>
          <cell r="L15">
            <v>292.7</v>
          </cell>
          <cell r="M15">
            <v>319.3</v>
          </cell>
          <cell r="N15">
            <v>254.1</v>
          </cell>
          <cell r="O15">
            <v>85</v>
          </cell>
          <cell r="P15">
            <v>75.400000000000006</v>
          </cell>
          <cell r="Q15">
            <v>87.8</v>
          </cell>
          <cell r="S15">
            <v>25</v>
          </cell>
          <cell r="T15" t="str">
            <v>1</v>
          </cell>
          <cell r="U15">
            <v>1237</v>
          </cell>
          <cell r="V15">
            <v>1237.8</v>
          </cell>
          <cell r="W15">
            <v>734.5</v>
          </cell>
          <cell r="Y15">
            <v>3.4</v>
          </cell>
          <cell r="Z15">
            <v>1238.5999999999999</v>
          </cell>
          <cell r="AA15">
            <v>1239.0999999999999</v>
          </cell>
          <cell r="AB15">
            <v>735.5</v>
          </cell>
          <cell r="AD15">
            <v>3.5</v>
          </cell>
          <cell r="AE15">
            <v>1235.7</v>
          </cell>
          <cell r="AF15">
            <v>1236.2</v>
          </cell>
          <cell r="AG15">
            <v>733.8</v>
          </cell>
          <cell r="AI15">
            <v>3.3</v>
          </cell>
          <cell r="AK15">
            <v>1998.6316000000002</v>
          </cell>
          <cell r="AM15">
            <v>1929.2913200000003</v>
          </cell>
          <cell r="AO15">
            <v>1784.4925000000001</v>
          </cell>
          <cell r="AP15" t="str">
            <v>Muestra tomada en el elevador</v>
          </cell>
          <cell r="AQ15" t="str">
            <v>-</v>
          </cell>
          <cell r="AR15">
            <v>1986</v>
          </cell>
          <cell r="AS15">
            <v>3.4</v>
          </cell>
          <cell r="AV15">
            <v>2.451762313980387</v>
          </cell>
          <cell r="BS15">
            <v>2.5642</v>
          </cell>
        </row>
        <row r="16">
          <cell r="A16">
            <v>14</v>
          </cell>
          <cell r="B16">
            <v>40168</v>
          </cell>
          <cell r="D16">
            <v>1502.2</v>
          </cell>
          <cell r="E16">
            <v>1428.2</v>
          </cell>
          <cell r="G16" t="str">
            <v>Parcheo elaboración de fallos en vías urbanas y rurales del municipio de Medellín.</v>
          </cell>
          <cell r="H16" t="str">
            <v>1/2</v>
          </cell>
          <cell r="I16">
            <v>0</v>
          </cell>
          <cell r="J16">
            <v>152.6</v>
          </cell>
          <cell r="K16">
            <v>142.69999999999999</v>
          </cell>
          <cell r="L16">
            <v>329.9</v>
          </cell>
          <cell r="M16">
            <v>322.3</v>
          </cell>
          <cell r="N16">
            <v>234.4</v>
          </cell>
          <cell r="O16">
            <v>82.7</v>
          </cell>
          <cell r="P16">
            <v>72.7</v>
          </cell>
          <cell r="Q16">
            <v>90.9</v>
          </cell>
          <cell r="S16">
            <v>25</v>
          </cell>
          <cell r="T16" t="str">
            <v>1</v>
          </cell>
          <cell r="U16">
            <v>1242.4000000000001</v>
          </cell>
          <cell r="V16">
            <v>1243.3</v>
          </cell>
          <cell r="W16">
            <v>735.7</v>
          </cell>
          <cell r="Y16">
            <v>3.7</v>
          </cell>
          <cell r="Z16">
            <v>1239.5999999999999</v>
          </cell>
          <cell r="AA16">
            <v>1241.7</v>
          </cell>
          <cell r="AB16">
            <v>735.3</v>
          </cell>
          <cell r="AD16">
            <v>3.3</v>
          </cell>
          <cell r="AE16">
            <v>1238.7</v>
          </cell>
          <cell r="AF16">
            <v>1239.4000000000001</v>
          </cell>
          <cell r="AG16">
            <v>736.5</v>
          </cell>
          <cell r="AI16">
            <v>3.5</v>
          </cell>
          <cell r="AK16">
            <v>1670.2849799999999</v>
          </cell>
          <cell r="AM16">
            <v>1440.8502300000002</v>
          </cell>
          <cell r="AO16">
            <v>1593.8067300000002</v>
          </cell>
          <cell r="AP16" t="str">
            <v>Muestra tomada en la volqueta</v>
          </cell>
          <cell r="AQ16" t="str">
            <v>-</v>
          </cell>
          <cell r="AR16">
            <v>1622</v>
          </cell>
          <cell r="AS16">
            <v>3.5</v>
          </cell>
          <cell r="AV16">
            <v>2.4456846434851696</v>
          </cell>
          <cell r="BS16">
            <v>2.5834000000000001</v>
          </cell>
        </row>
        <row r="17">
          <cell r="A17">
            <v>15</v>
          </cell>
          <cell r="B17">
            <v>40168</v>
          </cell>
          <cell r="D17">
            <v>1500.5</v>
          </cell>
          <cell r="E17">
            <v>1422.2</v>
          </cell>
          <cell r="G17" t="str">
            <v>Parcheo elaboración de fallos en vías urbanas y rurales del municipio de Medellín.</v>
          </cell>
          <cell r="H17" t="str">
            <v>2/2</v>
          </cell>
          <cell r="I17">
            <v>0</v>
          </cell>
          <cell r="J17">
            <v>159.19999999999999</v>
          </cell>
          <cell r="K17">
            <v>140.6</v>
          </cell>
          <cell r="L17">
            <v>324.10000000000002</v>
          </cell>
          <cell r="M17">
            <v>315.7</v>
          </cell>
          <cell r="N17">
            <v>235.1</v>
          </cell>
          <cell r="O17">
            <v>80</v>
          </cell>
          <cell r="P17">
            <v>68.7</v>
          </cell>
          <cell r="Q17">
            <v>98.8</v>
          </cell>
          <cell r="S17">
            <v>25</v>
          </cell>
          <cell r="T17" t="str">
            <v>1</v>
          </cell>
          <cell r="AK17">
            <v>0</v>
          </cell>
          <cell r="AM17">
            <v>0</v>
          </cell>
          <cell r="AO17">
            <v>0</v>
          </cell>
          <cell r="AP17" t="str">
            <v>Muestra tomada en el elevador</v>
          </cell>
          <cell r="AQ17" t="str">
            <v>-</v>
          </cell>
          <cell r="AR17">
            <v>0</v>
          </cell>
          <cell r="AS17">
            <v>0</v>
          </cell>
          <cell r="AV17">
            <v>0</v>
          </cell>
          <cell r="BS17">
            <v>2.569</v>
          </cell>
        </row>
        <row r="18">
          <cell r="A18">
            <v>16</v>
          </cell>
          <cell r="B18">
            <v>40169</v>
          </cell>
          <cell r="D18">
            <v>1503.5</v>
          </cell>
          <cell r="E18">
            <v>1426.1</v>
          </cell>
          <cell r="G18" t="str">
            <v>Parcheo elaboración de fallos en vías urbanas y rurales del municipio de Medellín.</v>
          </cell>
          <cell r="H18" t="str">
            <v>1/2</v>
          </cell>
          <cell r="I18">
            <v>0</v>
          </cell>
          <cell r="J18">
            <v>143</v>
          </cell>
          <cell r="K18">
            <v>124.5</v>
          </cell>
          <cell r="L18">
            <v>299.10000000000002</v>
          </cell>
          <cell r="M18">
            <v>332.2</v>
          </cell>
          <cell r="N18">
            <v>267.60000000000002</v>
          </cell>
          <cell r="O18">
            <v>82.3</v>
          </cell>
          <cell r="P18">
            <v>76.7</v>
          </cell>
          <cell r="Q18">
            <v>100.7</v>
          </cell>
          <cell r="S18">
            <v>25</v>
          </cell>
          <cell r="T18" t="str">
            <v>1</v>
          </cell>
          <cell r="U18">
            <v>1237.4000000000001</v>
          </cell>
          <cell r="V18">
            <v>1239.8</v>
          </cell>
          <cell r="W18">
            <v>733.8</v>
          </cell>
          <cell r="Y18">
            <v>3.1</v>
          </cell>
          <cell r="Z18">
            <v>1239.2</v>
          </cell>
          <cell r="AA18">
            <v>1240.5999999999999</v>
          </cell>
          <cell r="AB18">
            <v>737</v>
          </cell>
          <cell r="AD18">
            <v>3.5</v>
          </cell>
          <cell r="AE18">
            <v>1238.2</v>
          </cell>
          <cell r="AF18">
            <v>1240.0999999999999</v>
          </cell>
          <cell r="AG18">
            <v>737</v>
          </cell>
          <cell r="AI18">
            <v>2.8</v>
          </cell>
          <cell r="AK18">
            <v>1513.24964</v>
          </cell>
          <cell r="AM18">
            <v>1735.5464200000001</v>
          </cell>
          <cell r="AO18">
            <v>1668.2455600000001</v>
          </cell>
          <cell r="AP18" t="str">
            <v>Muestra tomada en la volqueta</v>
          </cell>
          <cell r="AQ18" t="str">
            <v>-</v>
          </cell>
          <cell r="AR18">
            <v>1704</v>
          </cell>
          <cell r="AS18">
            <v>3.1</v>
          </cell>
          <cell r="AV18">
            <v>2.4485764212512198</v>
          </cell>
          <cell r="BS18">
            <v>2.5750000000000002</v>
          </cell>
        </row>
        <row r="19">
          <cell r="A19">
            <v>17</v>
          </cell>
          <cell r="B19">
            <v>40169</v>
          </cell>
          <cell r="D19">
            <v>1503</v>
          </cell>
          <cell r="E19">
            <v>1427.9</v>
          </cell>
          <cell r="G19" t="str">
            <v>Parcheo elaboración de fallos en vías urbanas y rurales del municipio de Medellín.</v>
          </cell>
          <cell r="H19" t="str">
            <v>2/2</v>
          </cell>
          <cell r="I19">
            <v>0</v>
          </cell>
          <cell r="J19">
            <v>177.7</v>
          </cell>
          <cell r="K19">
            <v>101.5</v>
          </cell>
          <cell r="L19">
            <v>345.5</v>
          </cell>
          <cell r="M19">
            <v>319.8</v>
          </cell>
          <cell r="N19">
            <v>228</v>
          </cell>
          <cell r="O19">
            <v>77.3</v>
          </cell>
          <cell r="P19">
            <v>75.400000000000006</v>
          </cell>
          <cell r="Q19">
            <v>102.7</v>
          </cell>
          <cell r="S19">
            <v>25</v>
          </cell>
          <cell r="T19" t="str">
            <v>1</v>
          </cell>
          <cell r="U19">
            <v>1236.3</v>
          </cell>
          <cell r="V19">
            <v>1236.7</v>
          </cell>
          <cell r="W19">
            <v>738.1</v>
          </cell>
          <cell r="Y19">
            <v>3.2</v>
          </cell>
          <cell r="Z19">
            <v>1237.3</v>
          </cell>
          <cell r="AA19">
            <v>1238.5</v>
          </cell>
          <cell r="AB19">
            <v>734.6</v>
          </cell>
          <cell r="AD19">
            <v>3.2</v>
          </cell>
          <cell r="AE19">
            <v>1235.5</v>
          </cell>
          <cell r="AF19">
            <v>1237.0999999999999</v>
          </cell>
          <cell r="AG19">
            <v>733.9</v>
          </cell>
          <cell r="AI19">
            <v>3.5</v>
          </cell>
          <cell r="AK19">
            <v>1872.1875600000001</v>
          </cell>
          <cell r="AM19">
            <v>1588.7081800000001</v>
          </cell>
          <cell r="AO19">
            <v>1417.3969000000002</v>
          </cell>
          <cell r="AP19" t="str">
            <v>Muestra tomada en el elevador</v>
          </cell>
          <cell r="AQ19" t="str">
            <v>-</v>
          </cell>
          <cell r="AR19">
            <v>1704</v>
          </cell>
          <cell r="AS19">
            <v>3.3</v>
          </cell>
          <cell r="AV19">
            <v>2.4562199463666623</v>
          </cell>
          <cell r="BS19">
            <v>2.5750000000000002</v>
          </cell>
        </row>
        <row r="20">
          <cell r="A20">
            <v>18</v>
          </cell>
          <cell r="B20">
            <v>40170</v>
          </cell>
          <cell r="D20">
            <v>1502.2</v>
          </cell>
          <cell r="E20">
            <v>1424.1</v>
          </cell>
          <cell r="G20" t="str">
            <v>Parcheo elaboración de fallos en vías urbanas y rurales del municipio de Medellín.</v>
          </cell>
          <cell r="H20" t="str">
            <v>1/1</v>
          </cell>
          <cell r="I20">
            <v>0</v>
          </cell>
          <cell r="J20">
            <v>101.1</v>
          </cell>
          <cell r="K20">
            <v>122.2</v>
          </cell>
          <cell r="L20">
            <v>364.3</v>
          </cell>
          <cell r="M20">
            <v>325.39999999999998</v>
          </cell>
          <cell r="N20">
            <v>266.89999999999998</v>
          </cell>
          <cell r="O20">
            <v>80.7</v>
          </cell>
          <cell r="P20">
            <v>70</v>
          </cell>
          <cell r="Q20">
            <v>93.5</v>
          </cell>
          <cell r="S20">
            <v>25</v>
          </cell>
          <cell r="T20" t="str">
            <v>1</v>
          </cell>
          <cell r="U20">
            <v>1240.0999999999999</v>
          </cell>
          <cell r="V20">
            <v>1240.8</v>
          </cell>
          <cell r="W20">
            <v>738.8</v>
          </cell>
          <cell r="Y20">
            <v>3.4</v>
          </cell>
          <cell r="Z20">
            <v>1243.3</v>
          </cell>
          <cell r="AA20">
            <v>1244.2</v>
          </cell>
          <cell r="AB20">
            <v>738.4</v>
          </cell>
          <cell r="AD20">
            <v>3.2</v>
          </cell>
          <cell r="AE20">
            <v>1235.9000000000001</v>
          </cell>
          <cell r="AF20">
            <v>1236.9000000000001</v>
          </cell>
          <cell r="AG20">
            <v>736.3</v>
          </cell>
          <cell r="AI20">
            <v>3.6</v>
          </cell>
          <cell r="AK20">
            <v>1625.4177400000001</v>
          </cell>
          <cell r="AM20">
            <v>1776.3348200000003</v>
          </cell>
          <cell r="AO20">
            <v>1632.5557100000003</v>
          </cell>
          <cell r="AP20" t="str">
            <v>Muestra tomada en la volqueta</v>
          </cell>
          <cell r="AQ20" t="str">
            <v>-</v>
          </cell>
          <cell r="AR20">
            <v>1752</v>
          </cell>
          <cell r="AS20">
            <v>3.4</v>
          </cell>
          <cell r="AV20">
            <v>2.4585351288392143</v>
          </cell>
          <cell r="BS20">
            <v>2.569</v>
          </cell>
        </row>
        <row r="21">
          <cell r="A21">
            <v>19</v>
          </cell>
          <cell r="B21">
            <v>40190</v>
          </cell>
          <cell r="D21">
            <v>1493.8</v>
          </cell>
          <cell r="E21">
            <v>1415.3</v>
          </cell>
          <cell r="G21" t="str">
            <v>Parcheo elaboración de fallos en vías urbanas y rurales del municipio de Medellín.</v>
          </cell>
          <cell r="H21" t="str">
            <v>1/2</v>
          </cell>
          <cell r="I21">
            <v>0</v>
          </cell>
          <cell r="J21">
            <v>144</v>
          </cell>
          <cell r="K21">
            <v>182.4</v>
          </cell>
          <cell r="L21">
            <v>270.39999999999998</v>
          </cell>
          <cell r="M21">
            <v>318.2</v>
          </cell>
          <cell r="N21">
            <v>268.8</v>
          </cell>
          <cell r="O21">
            <v>83.7</v>
          </cell>
          <cell r="P21">
            <v>64.400000000000006</v>
          </cell>
          <cell r="Q21">
            <v>83.4</v>
          </cell>
          <cell r="S21">
            <v>25</v>
          </cell>
          <cell r="T21" t="str">
            <v>1</v>
          </cell>
          <cell r="U21">
            <v>1238.9000000000001</v>
          </cell>
          <cell r="V21">
            <v>1239.4000000000001</v>
          </cell>
          <cell r="W21">
            <v>735.5</v>
          </cell>
          <cell r="Y21">
            <v>3.7</v>
          </cell>
          <cell r="Z21">
            <v>1240.3</v>
          </cell>
          <cell r="AA21">
            <v>1240.9000000000001</v>
          </cell>
          <cell r="AB21">
            <v>737.1</v>
          </cell>
          <cell r="AD21">
            <v>3.1</v>
          </cell>
          <cell r="AE21">
            <v>1239.8</v>
          </cell>
          <cell r="AF21">
            <v>1240.8</v>
          </cell>
          <cell r="AG21">
            <v>735.4</v>
          </cell>
          <cell r="AI21">
            <v>3.3</v>
          </cell>
          <cell r="AK21">
            <v>1596.8658600000001</v>
          </cell>
          <cell r="AM21">
            <v>1488.7765999999999</v>
          </cell>
          <cell r="AO21">
            <v>1389.8647300000002</v>
          </cell>
          <cell r="AP21" t="str">
            <v>Muestra tomada en el elevador</v>
          </cell>
          <cell r="AQ21" t="str">
            <v>-</v>
          </cell>
          <cell r="AR21">
            <v>1550</v>
          </cell>
          <cell r="AS21">
            <v>3.4</v>
          </cell>
          <cell r="AV21">
            <v>2.4506836655356228</v>
          </cell>
          <cell r="BS21">
            <v>2.5619999999999998</v>
          </cell>
        </row>
        <row r="22">
          <cell r="A22">
            <v>20</v>
          </cell>
          <cell r="B22">
            <v>40190</v>
          </cell>
          <cell r="D22">
            <v>1502.4</v>
          </cell>
          <cell r="E22">
            <v>1426.5</v>
          </cell>
          <cell r="G22" t="str">
            <v>Parcheo elaboración de fallos en vías urbanas y rurales del municipio de Medellín.</v>
          </cell>
          <cell r="H22" t="str">
            <v>2/2</v>
          </cell>
          <cell r="I22">
            <v>0</v>
          </cell>
          <cell r="J22">
            <v>177</v>
          </cell>
          <cell r="K22">
            <v>211.5</v>
          </cell>
          <cell r="L22">
            <v>242.7</v>
          </cell>
          <cell r="M22">
            <v>342.4</v>
          </cell>
          <cell r="N22">
            <v>223.2</v>
          </cell>
          <cell r="O22">
            <v>76.7</v>
          </cell>
          <cell r="P22">
            <v>68.900000000000006</v>
          </cell>
          <cell r="Q22">
            <v>84.1</v>
          </cell>
          <cell r="S22">
            <v>25</v>
          </cell>
          <cell r="T22" t="str">
            <v>1</v>
          </cell>
          <cell r="AK22">
            <v>0</v>
          </cell>
          <cell r="AM22">
            <v>0</v>
          </cell>
          <cell r="AO22">
            <v>0</v>
          </cell>
          <cell r="AP22" t="str">
            <v>Muestra tomada en la volqueta</v>
          </cell>
          <cell r="AQ22" t="str">
            <v>-</v>
          </cell>
          <cell r="AR22">
            <v>0</v>
          </cell>
          <cell r="AS22">
            <v>0</v>
          </cell>
          <cell r="AV22">
            <v>0</v>
          </cell>
          <cell r="BS22">
            <v>2.5737999999999999</v>
          </cell>
        </row>
        <row r="23">
          <cell r="A23">
            <v>21</v>
          </cell>
          <cell r="B23">
            <v>40191</v>
          </cell>
          <cell r="D23">
            <v>1499.2</v>
          </cell>
          <cell r="E23">
            <v>1419.6</v>
          </cell>
          <cell r="G23" t="str">
            <v>Parcheo elaboración de fallos en vías urbanas y rurales del municipio de Medellín.</v>
          </cell>
          <cell r="H23" t="str">
            <v>1/2</v>
          </cell>
          <cell r="I23">
            <v>0</v>
          </cell>
          <cell r="J23">
            <v>207</v>
          </cell>
          <cell r="K23">
            <v>136.30000000000001</v>
          </cell>
          <cell r="L23">
            <v>263.89999999999998</v>
          </cell>
          <cell r="M23">
            <v>314.39999999999998</v>
          </cell>
          <cell r="N23">
            <v>244.5</v>
          </cell>
          <cell r="O23">
            <v>87.4</v>
          </cell>
          <cell r="P23">
            <v>74.8</v>
          </cell>
          <cell r="Q23">
            <v>91.3</v>
          </cell>
          <cell r="S23">
            <v>25</v>
          </cell>
          <cell r="T23" t="str">
            <v>1</v>
          </cell>
          <cell r="U23">
            <v>1237.5999999999999</v>
          </cell>
          <cell r="V23">
            <v>1238.7</v>
          </cell>
          <cell r="W23">
            <v>734.5</v>
          </cell>
          <cell r="Y23">
            <v>3.4</v>
          </cell>
          <cell r="Z23">
            <v>1239.8</v>
          </cell>
          <cell r="AA23">
            <v>1240.3</v>
          </cell>
          <cell r="AB23">
            <v>733.1</v>
          </cell>
          <cell r="AD23">
            <v>3.7</v>
          </cell>
          <cell r="AE23">
            <v>1238.9000000000001</v>
          </cell>
          <cell r="AF23">
            <v>1239.9000000000001</v>
          </cell>
          <cell r="AG23">
            <v>735</v>
          </cell>
          <cell r="AI23">
            <v>3.3</v>
          </cell>
          <cell r="AK23">
            <v>1790.61076</v>
          </cell>
          <cell r="AM23">
            <v>1891.5620500000002</v>
          </cell>
          <cell r="AO23">
            <v>1506.11167</v>
          </cell>
          <cell r="AP23" t="str">
            <v>Muestra tomada en el elevador</v>
          </cell>
          <cell r="AQ23" t="str">
            <v>-</v>
          </cell>
          <cell r="AR23">
            <v>1790</v>
          </cell>
          <cell r="AS23">
            <v>3.5</v>
          </cell>
          <cell r="AV23">
            <v>2.4437428712346856</v>
          </cell>
          <cell r="BS23">
            <v>2.5569999999999999</v>
          </cell>
        </row>
        <row r="24">
          <cell r="A24">
            <v>22</v>
          </cell>
          <cell r="B24">
            <v>40191</v>
          </cell>
          <cell r="D24">
            <v>1493.4</v>
          </cell>
          <cell r="E24">
            <v>1415.5</v>
          </cell>
          <cell r="G24" t="str">
            <v>Parcheo elaboración de fallos en vías urbanas y rurales del municipio de Medellín.</v>
          </cell>
          <cell r="H24" t="str">
            <v>2/2</v>
          </cell>
          <cell r="I24">
            <v>0</v>
          </cell>
          <cell r="J24">
            <v>205.3</v>
          </cell>
          <cell r="K24">
            <v>168.7</v>
          </cell>
          <cell r="L24">
            <v>235.8</v>
          </cell>
          <cell r="M24">
            <v>311</v>
          </cell>
          <cell r="N24">
            <v>240.8</v>
          </cell>
          <cell r="O24">
            <v>82.5</v>
          </cell>
          <cell r="P24">
            <v>81</v>
          </cell>
          <cell r="Q24">
            <v>90.4</v>
          </cell>
          <cell r="S24">
            <v>25</v>
          </cell>
          <cell r="T24" t="str">
            <v>1</v>
          </cell>
          <cell r="AK24">
            <v>0</v>
          </cell>
          <cell r="AM24">
            <v>0</v>
          </cell>
          <cell r="AO24">
            <v>0</v>
          </cell>
          <cell r="AP24" t="str">
            <v>Muestra tomada en la volqueta</v>
          </cell>
          <cell r="AQ24" t="str">
            <v>-</v>
          </cell>
          <cell r="AR24">
            <v>0</v>
          </cell>
          <cell r="AS24">
            <v>0</v>
          </cell>
          <cell r="AV24">
            <v>0</v>
          </cell>
          <cell r="BS24">
            <v>2.569</v>
          </cell>
        </row>
        <row r="25">
          <cell r="A25">
            <v>23</v>
          </cell>
          <cell r="B25">
            <v>40192</v>
          </cell>
          <cell r="D25">
            <v>1501.8</v>
          </cell>
          <cell r="E25">
            <v>1426.4</v>
          </cell>
          <cell r="G25" t="str">
            <v>Parcheo elaboración de fallos en vías urbanas y rurales del municipio de Medellín.</v>
          </cell>
          <cell r="H25" t="str">
            <v>1/2</v>
          </cell>
          <cell r="I25">
            <v>0</v>
          </cell>
          <cell r="J25">
            <v>165.2</v>
          </cell>
          <cell r="K25">
            <v>177.2</v>
          </cell>
          <cell r="L25">
            <v>268.8</v>
          </cell>
          <cell r="M25">
            <v>305.5</v>
          </cell>
          <cell r="N25">
            <v>252.2</v>
          </cell>
          <cell r="O25">
            <v>88.1</v>
          </cell>
          <cell r="P25">
            <v>79.2</v>
          </cell>
          <cell r="Q25">
            <v>90.2</v>
          </cell>
          <cell r="S25">
            <v>25</v>
          </cell>
          <cell r="T25" t="str">
            <v>1</v>
          </cell>
          <cell r="U25">
            <v>1235.7</v>
          </cell>
          <cell r="V25">
            <v>1236.5999999999999</v>
          </cell>
          <cell r="W25">
            <v>735.6</v>
          </cell>
          <cell r="Y25">
            <v>3.1</v>
          </cell>
          <cell r="Z25">
            <v>1238.2</v>
          </cell>
          <cell r="AA25">
            <v>1239.0999999999999</v>
          </cell>
          <cell r="AB25">
            <v>740.4</v>
          </cell>
          <cell r="AD25">
            <v>3.3</v>
          </cell>
          <cell r="AE25">
            <v>1236.8</v>
          </cell>
          <cell r="AF25">
            <v>1237.8</v>
          </cell>
          <cell r="AG25">
            <v>735.8</v>
          </cell>
          <cell r="AI25">
            <v>3.4</v>
          </cell>
          <cell r="AK25">
            <v>1731.46758</v>
          </cell>
          <cell r="AM25">
            <v>1792.6501799999999</v>
          </cell>
          <cell r="AO25">
            <v>1625.4177400000001</v>
          </cell>
          <cell r="AP25" t="str">
            <v>Muestra tomada en el elevador</v>
          </cell>
          <cell r="AQ25" t="str">
            <v>-</v>
          </cell>
          <cell r="AR25">
            <v>1806</v>
          </cell>
          <cell r="AS25">
            <v>3.3</v>
          </cell>
          <cell r="AV25">
            <v>2.4637947624749397</v>
          </cell>
          <cell r="BS25">
            <v>2.58</v>
          </cell>
        </row>
        <row r="26">
          <cell r="A26">
            <v>24</v>
          </cell>
          <cell r="B26">
            <v>40192</v>
          </cell>
          <cell r="D26">
            <v>1498.5</v>
          </cell>
          <cell r="E26">
            <v>1419.5</v>
          </cell>
          <cell r="G26" t="str">
            <v>Parcheo elaboración de fallos en vías urbanas y rurales del municipio de Medellín.</v>
          </cell>
          <cell r="H26" t="str">
            <v>2/2</v>
          </cell>
          <cell r="I26">
            <v>0</v>
          </cell>
          <cell r="J26">
            <v>190</v>
          </cell>
          <cell r="K26">
            <v>175.1</v>
          </cell>
          <cell r="L26">
            <v>256.60000000000002</v>
          </cell>
          <cell r="M26">
            <v>305.5</v>
          </cell>
          <cell r="N26">
            <v>247.2</v>
          </cell>
          <cell r="O26">
            <v>79.2</v>
          </cell>
          <cell r="P26">
            <v>80.2</v>
          </cell>
          <cell r="Q26">
            <v>85.7</v>
          </cell>
          <cell r="S26">
            <v>25</v>
          </cell>
          <cell r="T26" t="str">
            <v>1</v>
          </cell>
          <cell r="AK26">
            <v>0</v>
          </cell>
          <cell r="AM26">
            <v>0</v>
          </cell>
          <cell r="AO26">
            <v>0</v>
          </cell>
          <cell r="AP26" t="str">
            <v>Muestra tomada en la volqueta</v>
          </cell>
          <cell r="AQ26" t="str">
            <v>-</v>
          </cell>
          <cell r="AR26">
            <v>0</v>
          </cell>
          <cell r="AS26">
            <v>0</v>
          </cell>
          <cell r="AV26">
            <v>0</v>
          </cell>
          <cell r="BS26">
            <v>2.58</v>
          </cell>
        </row>
        <row r="27">
          <cell r="A27">
            <v>25</v>
          </cell>
          <cell r="B27">
            <v>40193</v>
          </cell>
          <cell r="D27">
            <v>1503.4</v>
          </cell>
          <cell r="E27">
            <v>1427.1</v>
          </cell>
          <cell r="G27" t="str">
            <v>Parcheo elaboración de fallos en vías urbanas y rurales del municipio de Medellín.</v>
          </cell>
          <cell r="H27" t="str">
            <v>1/2</v>
          </cell>
          <cell r="I27">
            <v>0</v>
          </cell>
          <cell r="J27">
            <v>151</v>
          </cell>
          <cell r="K27">
            <v>156.4</v>
          </cell>
          <cell r="L27">
            <v>306.60000000000002</v>
          </cell>
          <cell r="M27">
            <v>305.89999999999998</v>
          </cell>
          <cell r="N27">
            <v>258.7</v>
          </cell>
          <cell r="O27">
            <v>81.2</v>
          </cell>
          <cell r="P27">
            <v>74.900000000000006</v>
          </cell>
          <cell r="Q27">
            <v>92.4</v>
          </cell>
          <cell r="S27">
            <v>25</v>
          </cell>
          <cell r="T27" t="str">
            <v>1</v>
          </cell>
          <cell r="U27">
            <v>1240</v>
          </cell>
          <cell r="V27">
            <v>1241.0999999999999</v>
          </cell>
          <cell r="W27">
            <v>739.3</v>
          </cell>
          <cell r="Y27">
            <v>3.11</v>
          </cell>
          <cell r="Z27">
            <v>1237.8</v>
          </cell>
          <cell r="AA27">
            <v>1238.4000000000001</v>
          </cell>
          <cell r="AB27">
            <v>735.2</v>
          </cell>
          <cell r="AD27">
            <v>2.81</v>
          </cell>
          <cell r="AE27">
            <v>1238.0999999999999</v>
          </cell>
          <cell r="AF27">
            <v>1239.3</v>
          </cell>
          <cell r="AG27">
            <v>739.4</v>
          </cell>
          <cell r="AI27">
            <v>3.07</v>
          </cell>
          <cell r="AK27">
            <v>1593.8067300000002</v>
          </cell>
          <cell r="AM27">
            <v>1529.5650000000001</v>
          </cell>
          <cell r="AO27">
            <v>1602.9841200000001</v>
          </cell>
          <cell r="AP27" t="str">
            <v>Muestra tomada en el elevador</v>
          </cell>
          <cell r="AQ27" t="str">
            <v>-</v>
          </cell>
          <cell r="AR27">
            <v>1651</v>
          </cell>
          <cell r="AS27">
            <v>3</v>
          </cell>
          <cell r="AV27">
            <v>2.4619962952317769</v>
          </cell>
          <cell r="BS27">
            <v>2.58</v>
          </cell>
        </row>
        <row r="28">
          <cell r="A28">
            <v>26</v>
          </cell>
          <cell r="B28">
            <v>40196</v>
          </cell>
          <cell r="D28">
            <v>1500.9</v>
          </cell>
          <cell r="E28">
            <v>1428.4</v>
          </cell>
          <cell r="G28" t="str">
            <v>Parcheo elaboración de fallos en vías urbanas y rurales del municipio de Medellín.</v>
          </cell>
          <cell r="H28" t="str">
            <v>1/2</v>
          </cell>
          <cell r="I28">
            <v>0</v>
          </cell>
          <cell r="J28">
            <v>126.2</v>
          </cell>
          <cell r="K28">
            <v>180.6</v>
          </cell>
          <cell r="L28">
            <v>341.2</v>
          </cell>
          <cell r="M28">
            <v>303.5</v>
          </cell>
          <cell r="N28">
            <v>237.7</v>
          </cell>
          <cell r="O28">
            <v>83.3</v>
          </cell>
          <cell r="P28">
            <v>72</v>
          </cell>
          <cell r="Q28">
            <v>83.9</v>
          </cell>
          <cell r="S28">
            <v>25</v>
          </cell>
          <cell r="T28" t="str">
            <v>1</v>
          </cell>
          <cell r="U28">
            <v>1235.7</v>
          </cell>
          <cell r="V28">
            <v>1237</v>
          </cell>
          <cell r="W28">
            <v>737.2</v>
          </cell>
          <cell r="Y28">
            <v>2.9</v>
          </cell>
          <cell r="Z28">
            <v>1237.4000000000001</v>
          </cell>
          <cell r="AA28">
            <v>1239.4000000000001</v>
          </cell>
          <cell r="AB28">
            <v>733.8</v>
          </cell>
          <cell r="AD28">
            <v>3.2</v>
          </cell>
          <cell r="AE28">
            <v>1235.5999999999999</v>
          </cell>
          <cell r="AF28">
            <v>1237.8</v>
          </cell>
          <cell r="AG28">
            <v>736</v>
          </cell>
          <cell r="AI28">
            <v>3.4</v>
          </cell>
          <cell r="AK28">
            <v>1760.0194600000002</v>
          </cell>
          <cell r="AM28">
            <v>1508.1510900000001</v>
          </cell>
          <cell r="AO28">
            <v>1725.3493200000003</v>
          </cell>
          <cell r="AP28" t="str">
            <v>Muestra tomada en el elevador</v>
          </cell>
          <cell r="AQ28" t="str">
            <v>-</v>
          </cell>
          <cell r="AR28">
            <v>1741</v>
          </cell>
          <cell r="AS28">
            <v>3.2</v>
          </cell>
          <cell r="AV28">
            <v>2.4535070350426857</v>
          </cell>
          <cell r="BS28">
            <v>2.5960000000000001</v>
          </cell>
        </row>
        <row r="29">
          <cell r="A29">
            <v>27</v>
          </cell>
          <cell r="B29">
            <v>40196</v>
          </cell>
          <cell r="D29">
            <v>1502.1</v>
          </cell>
          <cell r="E29">
            <v>1429</v>
          </cell>
          <cell r="G29" t="str">
            <v>Parcheo elaboración de fallos en vías urbanas y rurales del municipio de Medellín.</v>
          </cell>
          <cell r="H29" t="str">
            <v>2/2</v>
          </cell>
          <cell r="I29">
            <v>0</v>
          </cell>
          <cell r="J29">
            <v>139.69999999999999</v>
          </cell>
          <cell r="K29">
            <v>173.5</v>
          </cell>
          <cell r="L29">
            <v>333.6</v>
          </cell>
          <cell r="M29">
            <v>291.2</v>
          </cell>
          <cell r="N29">
            <v>246.2</v>
          </cell>
          <cell r="O29">
            <v>91.4</v>
          </cell>
          <cell r="P29">
            <v>66.7</v>
          </cell>
          <cell r="Q29">
            <v>86.7</v>
          </cell>
          <cell r="S29">
            <v>25</v>
          </cell>
          <cell r="T29" t="str">
            <v>1</v>
          </cell>
          <cell r="U29">
            <v>1231.4000000000001</v>
          </cell>
          <cell r="V29">
            <v>1234.5</v>
          </cell>
          <cell r="W29">
            <v>733.4</v>
          </cell>
          <cell r="Y29">
            <v>2.9</v>
          </cell>
          <cell r="Z29">
            <v>1232.2</v>
          </cell>
          <cell r="AA29">
            <v>1233.7</v>
          </cell>
          <cell r="AB29">
            <v>737.1</v>
          </cell>
          <cell r="AD29">
            <v>3.8</v>
          </cell>
          <cell r="AE29">
            <v>1230.5999999999999</v>
          </cell>
          <cell r="AF29">
            <v>1233.2</v>
          </cell>
          <cell r="AG29">
            <v>732.8</v>
          </cell>
          <cell r="AI29">
            <v>3.1</v>
          </cell>
          <cell r="AK29">
            <v>1592.78702</v>
          </cell>
          <cell r="AM29">
            <v>1929.2913200000003</v>
          </cell>
          <cell r="AO29">
            <v>1796.7290200000002</v>
          </cell>
          <cell r="AP29" t="str">
            <v>Muestra tomada en la volqueta</v>
          </cell>
          <cell r="AQ29" t="str">
            <v>-</v>
          </cell>
          <cell r="AR29">
            <v>1873</v>
          </cell>
          <cell r="AS29">
            <v>3.3</v>
          </cell>
          <cell r="AV29">
            <v>2.4587533823873238</v>
          </cell>
          <cell r="BS29">
            <v>2.5960000000000001</v>
          </cell>
        </row>
        <row r="30">
          <cell r="A30">
            <v>28</v>
          </cell>
          <cell r="B30">
            <v>40197</v>
          </cell>
          <cell r="D30">
            <v>1502.7</v>
          </cell>
          <cell r="E30">
            <v>1432.7</v>
          </cell>
          <cell r="G30" t="str">
            <v>Parcheo elaboración de fallos en vías urbanas y rurales del municipio de Medellín.</v>
          </cell>
          <cell r="H30" t="str">
            <v>1/2</v>
          </cell>
          <cell r="I30">
            <v>0</v>
          </cell>
          <cell r="J30">
            <v>207.6</v>
          </cell>
          <cell r="K30">
            <v>181.7</v>
          </cell>
          <cell r="L30">
            <v>284.10000000000002</v>
          </cell>
          <cell r="M30">
            <v>294.2</v>
          </cell>
          <cell r="N30">
            <v>230.7</v>
          </cell>
          <cell r="O30">
            <v>78.7</v>
          </cell>
          <cell r="P30">
            <v>66.900000000000006</v>
          </cell>
          <cell r="Q30">
            <v>88.8</v>
          </cell>
          <cell r="S30">
            <v>25</v>
          </cell>
          <cell r="T30" t="str">
            <v>1</v>
          </cell>
          <cell r="U30">
            <v>1238.7</v>
          </cell>
          <cell r="V30">
            <v>1239.5999999999999</v>
          </cell>
          <cell r="W30">
            <v>737.4</v>
          </cell>
          <cell r="Y30">
            <v>3.1</v>
          </cell>
          <cell r="Z30">
            <v>1236.7</v>
          </cell>
          <cell r="AA30">
            <v>1238.5999999999999</v>
          </cell>
          <cell r="AB30">
            <v>738.5</v>
          </cell>
          <cell r="AD30">
            <v>3.2</v>
          </cell>
          <cell r="AE30">
            <v>1236.3</v>
          </cell>
          <cell r="AF30">
            <v>1238.7</v>
          </cell>
          <cell r="AG30">
            <v>737</v>
          </cell>
          <cell r="AI30">
            <v>3.5</v>
          </cell>
          <cell r="AK30">
            <v>1780.4136600000002</v>
          </cell>
          <cell r="AM30">
            <v>1775.31511</v>
          </cell>
          <cell r="AO30">
            <v>1488.7765999999999</v>
          </cell>
          <cell r="AP30" t="str">
            <v>Muestra tomada en el elevador</v>
          </cell>
          <cell r="AQ30" t="str">
            <v>-</v>
          </cell>
          <cell r="AR30">
            <v>1764</v>
          </cell>
          <cell r="AS30">
            <v>3.3</v>
          </cell>
          <cell r="AV30">
            <v>2.460672836822801</v>
          </cell>
          <cell r="BS30">
            <v>2.6059999999999999</v>
          </cell>
        </row>
        <row r="31">
          <cell r="A31">
            <v>29</v>
          </cell>
          <cell r="B31">
            <v>40197</v>
          </cell>
          <cell r="D31">
            <v>1501.1</v>
          </cell>
          <cell r="E31">
            <v>1430.2</v>
          </cell>
          <cell r="G31" t="str">
            <v>Parcheo elaboración de fallos en vías urbanas y rurales del municipio de Medellín.</v>
          </cell>
          <cell r="H31" t="str">
            <v>2/2</v>
          </cell>
          <cell r="I31">
            <v>0</v>
          </cell>
          <cell r="J31">
            <v>167.3</v>
          </cell>
          <cell r="K31">
            <v>143.5</v>
          </cell>
          <cell r="L31">
            <v>312.10000000000002</v>
          </cell>
          <cell r="M31">
            <v>305.2</v>
          </cell>
          <cell r="N31">
            <v>257.89999999999998</v>
          </cell>
          <cell r="O31">
            <v>89.8</v>
          </cell>
          <cell r="P31">
            <v>63.9</v>
          </cell>
          <cell r="Q31">
            <v>90.5</v>
          </cell>
          <cell r="S31">
            <v>25</v>
          </cell>
          <cell r="T31" t="str">
            <v>1</v>
          </cell>
          <cell r="U31">
            <v>1235.8</v>
          </cell>
          <cell r="V31">
            <v>1237</v>
          </cell>
          <cell r="W31">
            <v>737</v>
          </cell>
          <cell r="Y31">
            <v>3.1</v>
          </cell>
          <cell r="Z31">
            <v>1236.8</v>
          </cell>
          <cell r="AA31">
            <v>1237.7</v>
          </cell>
          <cell r="AB31">
            <v>735.2</v>
          </cell>
          <cell r="AD31">
            <v>2.9</v>
          </cell>
          <cell r="AE31">
            <v>1240.5</v>
          </cell>
          <cell r="AF31">
            <v>1242.3</v>
          </cell>
          <cell r="AG31">
            <v>738.2</v>
          </cell>
          <cell r="AI31">
            <v>3</v>
          </cell>
          <cell r="AK31">
            <v>1671.3046900000002</v>
          </cell>
          <cell r="AM31">
            <v>1725.3493200000003</v>
          </cell>
          <cell r="AO31">
            <v>1805.9064100000001</v>
          </cell>
          <cell r="AP31" t="str">
            <v>Muestra tomada en la volqueta</v>
          </cell>
          <cell r="AQ31" t="str">
            <v>-</v>
          </cell>
          <cell r="AR31">
            <v>1814</v>
          </cell>
          <cell r="AS31">
            <v>3</v>
          </cell>
          <cell r="AV31">
            <v>2.4573627273920589</v>
          </cell>
          <cell r="BS31">
            <v>2.6059999999999999</v>
          </cell>
        </row>
        <row r="32">
          <cell r="A32">
            <v>30</v>
          </cell>
          <cell r="B32">
            <v>40198</v>
          </cell>
          <cell r="D32">
            <v>1501.3</v>
          </cell>
          <cell r="E32">
            <v>1428.6</v>
          </cell>
          <cell r="G32" t="str">
            <v>Parcheo elaboración de fallos en vías urbanas y rurales del municipio de Medellín.</v>
          </cell>
          <cell r="H32" t="str">
            <v>1/2</v>
          </cell>
          <cell r="I32">
            <v>0</v>
          </cell>
          <cell r="J32">
            <v>161.19999999999999</v>
          </cell>
          <cell r="K32">
            <v>160.19999999999999</v>
          </cell>
          <cell r="L32">
            <v>311.7</v>
          </cell>
          <cell r="M32">
            <v>315.7</v>
          </cell>
          <cell r="N32">
            <v>246.4</v>
          </cell>
          <cell r="O32">
            <v>78.3</v>
          </cell>
          <cell r="P32">
            <v>67.3</v>
          </cell>
          <cell r="Q32">
            <v>87.8</v>
          </cell>
          <cell r="S32">
            <v>25</v>
          </cell>
          <cell r="T32" t="str">
            <v>1</v>
          </cell>
          <cell r="U32">
            <v>1235.0999999999999</v>
          </cell>
          <cell r="V32">
            <v>1237.7</v>
          </cell>
          <cell r="W32">
            <v>730.3</v>
          </cell>
          <cell r="Y32">
            <v>2.9</v>
          </cell>
          <cell r="Z32">
            <v>1237.9000000000001</v>
          </cell>
          <cell r="AA32">
            <v>1239.5999999999999</v>
          </cell>
          <cell r="AB32">
            <v>731.7</v>
          </cell>
          <cell r="AD32">
            <v>3.14</v>
          </cell>
          <cell r="AE32">
            <v>1235.7</v>
          </cell>
          <cell r="AF32">
            <v>1237.0999999999999</v>
          </cell>
          <cell r="AG32">
            <v>732.2</v>
          </cell>
          <cell r="AI32">
            <v>3.5</v>
          </cell>
          <cell r="AK32">
            <v>1452.0670400000001</v>
          </cell>
          <cell r="AM32">
            <v>1565.25485</v>
          </cell>
          <cell r="AO32">
            <v>1461.24443</v>
          </cell>
          <cell r="AP32" t="str">
            <v>Muestra tomada en el elevador</v>
          </cell>
          <cell r="AQ32" t="str">
            <v>-</v>
          </cell>
          <cell r="AR32">
            <v>1539</v>
          </cell>
          <cell r="AS32">
            <v>3.2</v>
          </cell>
          <cell r="AV32">
            <v>2.4324908771744758</v>
          </cell>
          <cell r="BS32">
            <v>2.5840000000000001</v>
          </cell>
        </row>
        <row r="33">
          <cell r="A33">
            <v>31</v>
          </cell>
          <cell r="B33">
            <v>40198</v>
          </cell>
          <cell r="D33">
            <v>1500.1</v>
          </cell>
          <cell r="E33">
            <v>1426.5</v>
          </cell>
          <cell r="G33" t="str">
            <v>Parcheo elaboración de fallos en vías urbanas y rurales del municipio de Medellín.</v>
          </cell>
          <cell r="H33" t="str">
            <v>2/2</v>
          </cell>
          <cell r="I33">
            <v>0</v>
          </cell>
          <cell r="J33">
            <v>135.30000000000001</v>
          </cell>
          <cell r="K33">
            <v>172.5</v>
          </cell>
          <cell r="L33">
            <v>322.10000000000002</v>
          </cell>
          <cell r="M33">
            <v>305.5</v>
          </cell>
          <cell r="N33">
            <v>250.5</v>
          </cell>
          <cell r="O33">
            <v>88.7</v>
          </cell>
          <cell r="P33">
            <v>64</v>
          </cell>
          <cell r="Q33">
            <v>87.9</v>
          </cell>
          <cell r="S33">
            <v>25</v>
          </cell>
          <cell r="T33" t="str">
            <v>1</v>
          </cell>
          <cell r="AK33">
            <v>0</v>
          </cell>
          <cell r="AM33">
            <v>0</v>
          </cell>
          <cell r="AO33">
            <v>0</v>
          </cell>
          <cell r="AP33" t="str">
            <v>Muestra tomada en la volqueta</v>
          </cell>
          <cell r="AQ33" t="str">
            <v>-</v>
          </cell>
          <cell r="AR33">
            <v>0</v>
          </cell>
          <cell r="AS33">
            <v>0</v>
          </cell>
          <cell r="AV33">
            <v>0</v>
          </cell>
          <cell r="BS33">
            <v>2.5840000000000001</v>
          </cell>
        </row>
        <row r="34">
          <cell r="A34">
            <v>32</v>
          </cell>
          <cell r="B34">
            <v>40199</v>
          </cell>
          <cell r="D34">
            <v>1500.7</v>
          </cell>
          <cell r="E34">
            <v>1429.5</v>
          </cell>
          <cell r="G34" t="str">
            <v>Parcheo elaboración de fallos en vías urbanas y rurales del municipio de Medellín.</v>
          </cell>
          <cell r="H34" t="str">
            <v>1/2</v>
          </cell>
          <cell r="I34">
            <v>0</v>
          </cell>
          <cell r="J34">
            <v>204.9</v>
          </cell>
          <cell r="K34">
            <v>164.4</v>
          </cell>
          <cell r="L34">
            <v>284.39999999999998</v>
          </cell>
          <cell r="M34">
            <v>328.2</v>
          </cell>
          <cell r="N34">
            <v>239.3</v>
          </cell>
          <cell r="O34">
            <v>69.3</v>
          </cell>
          <cell r="P34">
            <v>61.1</v>
          </cell>
          <cell r="Q34">
            <v>77.900000000000006</v>
          </cell>
          <cell r="S34">
            <v>25</v>
          </cell>
          <cell r="T34" t="str">
            <v>1</v>
          </cell>
          <cell r="U34">
            <v>1237</v>
          </cell>
          <cell r="V34">
            <v>1240.3</v>
          </cell>
          <cell r="W34">
            <v>732.3</v>
          </cell>
          <cell r="Y34">
            <v>3.2</v>
          </cell>
          <cell r="Z34">
            <v>1235.5</v>
          </cell>
          <cell r="AA34">
            <v>1239.5999999999999</v>
          </cell>
          <cell r="AB34">
            <v>730.2</v>
          </cell>
          <cell r="AD34">
            <v>3.7</v>
          </cell>
          <cell r="AE34">
            <v>1234.5</v>
          </cell>
          <cell r="AF34">
            <v>1238.4000000000001</v>
          </cell>
          <cell r="AG34">
            <v>739.5</v>
          </cell>
          <cell r="AI34">
            <v>3.4</v>
          </cell>
          <cell r="AK34">
            <v>1699.8565700000001</v>
          </cell>
          <cell r="AM34">
            <v>1665.18643</v>
          </cell>
          <cell r="AO34">
            <v>1681.5017899999998</v>
          </cell>
          <cell r="AP34" t="str">
            <v>Muestra tomada en el elevador</v>
          </cell>
          <cell r="AQ34" t="str">
            <v>-</v>
          </cell>
          <cell r="AR34">
            <v>1742</v>
          </cell>
          <cell r="AS34">
            <v>3.4</v>
          </cell>
          <cell r="AV34">
            <v>2.4378103467665513</v>
          </cell>
          <cell r="BS34">
            <v>2.59</v>
          </cell>
        </row>
        <row r="35">
          <cell r="A35">
            <v>33</v>
          </cell>
          <cell r="B35">
            <v>40199</v>
          </cell>
          <cell r="D35">
            <v>1505.6</v>
          </cell>
          <cell r="E35">
            <v>1433.5</v>
          </cell>
          <cell r="G35" t="str">
            <v>Parcheo elaboración de fallos en vías urbanas y rurales del municipio de Medellín.</v>
          </cell>
          <cell r="H35" t="str">
            <v>2/2</v>
          </cell>
          <cell r="I35">
            <v>0</v>
          </cell>
          <cell r="J35">
            <v>208.5</v>
          </cell>
          <cell r="K35">
            <v>164</v>
          </cell>
          <cell r="L35">
            <v>299.3</v>
          </cell>
          <cell r="M35">
            <v>286.2</v>
          </cell>
          <cell r="N35">
            <v>241.8</v>
          </cell>
          <cell r="O35">
            <v>83.2</v>
          </cell>
          <cell r="P35">
            <v>61.5</v>
          </cell>
          <cell r="Q35">
            <v>89</v>
          </cell>
          <cell r="S35">
            <v>25</v>
          </cell>
          <cell r="T35" t="str">
            <v>1</v>
          </cell>
          <cell r="U35">
            <v>1235.3</v>
          </cell>
          <cell r="V35">
            <v>1237.5999999999999</v>
          </cell>
          <cell r="W35">
            <v>731.8</v>
          </cell>
          <cell r="Y35">
            <v>3.4</v>
          </cell>
          <cell r="Z35">
            <v>1230.4000000000001</v>
          </cell>
          <cell r="AA35">
            <v>1233.2</v>
          </cell>
          <cell r="AB35">
            <v>730.3</v>
          </cell>
          <cell r="AD35">
            <v>3</v>
          </cell>
          <cell r="AE35">
            <v>1234.2</v>
          </cell>
          <cell r="AF35">
            <v>1237.2</v>
          </cell>
          <cell r="AG35">
            <v>731.4</v>
          </cell>
          <cell r="AI35">
            <v>3.2</v>
          </cell>
          <cell r="AK35">
            <v>1830.3794499999999</v>
          </cell>
          <cell r="AM35">
            <v>1715.1522200000002</v>
          </cell>
          <cell r="AO35">
            <v>1890.54234</v>
          </cell>
          <cell r="AP35" t="str">
            <v>Muestra tomada en la volqueta</v>
          </cell>
          <cell r="AQ35" t="str">
            <v>-</v>
          </cell>
          <cell r="AR35">
            <v>1879</v>
          </cell>
          <cell r="AS35">
            <v>3.2</v>
          </cell>
          <cell r="AV35">
            <v>2.435845661762869</v>
          </cell>
          <cell r="BS35">
            <v>2.59</v>
          </cell>
        </row>
        <row r="36">
          <cell r="A36">
            <v>34</v>
          </cell>
          <cell r="B36">
            <v>40203</v>
          </cell>
          <cell r="D36">
            <v>1501.2</v>
          </cell>
          <cell r="E36">
            <v>1431.2</v>
          </cell>
          <cell r="G36" t="str">
            <v>Parcheo elaboración de fallos en vías urbanas y rurales del municipio de Medellín.</v>
          </cell>
          <cell r="H36" t="str">
            <v>1/2</v>
          </cell>
          <cell r="I36">
            <v>0</v>
          </cell>
          <cell r="J36">
            <v>195.2</v>
          </cell>
          <cell r="K36">
            <v>177.5</v>
          </cell>
          <cell r="L36">
            <v>283.10000000000002</v>
          </cell>
          <cell r="M36">
            <v>301.7</v>
          </cell>
          <cell r="N36">
            <v>241.7</v>
          </cell>
          <cell r="O36">
            <v>76.3</v>
          </cell>
          <cell r="P36">
            <v>69</v>
          </cell>
          <cell r="Q36">
            <v>86.7</v>
          </cell>
          <cell r="S36">
            <v>25</v>
          </cell>
          <cell r="T36" t="str">
            <v>1</v>
          </cell>
          <cell r="U36">
            <v>1240</v>
          </cell>
          <cell r="V36">
            <v>1241.5999999999999</v>
          </cell>
          <cell r="W36">
            <v>737.1</v>
          </cell>
          <cell r="Y36">
            <v>2.9</v>
          </cell>
          <cell r="Z36">
            <v>1240.7</v>
          </cell>
          <cell r="AA36">
            <v>1242.3</v>
          </cell>
          <cell r="AB36">
            <v>736.7</v>
          </cell>
          <cell r="AD36">
            <v>2.8</v>
          </cell>
          <cell r="AE36">
            <v>1236.8</v>
          </cell>
          <cell r="AF36">
            <v>1238.7</v>
          </cell>
          <cell r="AG36">
            <v>737.2</v>
          </cell>
          <cell r="AI36">
            <v>2.9</v>
          </cell>
          <cell r="AK36">
            <v>1558.11688</v>
          </cell>
          <cell r="AM36">
            <v>1390.88444</v>
          </cell>
          <cell r="AO36">
            <v>1532.6241299999999</v>
          </cell>
          <cell r="AP36" t="str">
            <v>Muestra tomada en el elevador</v>
          </cell>
          <cell r="AQ36" t="str">
            <v>-</v>
          </cell>
          <cell r="AR36">
            <v>1555</v>
          </cell>
          <cell r="AS36">
            <v>2.9</v>
          </cell>
          <cell r="AV36">
            <v>2.4521386610453932</v>
          </cell>
          <cell r="BS36">
            <v>2.593</v>
          </cell>
        </row>
        <row r="37">
          <cell r="A37">
            <v>35</v>
          </cell>
          <cell r="B37">
            <v>40203</v>
          </cell>
          <cell r="D37">
            <v>1503.9</v>
          </cell>
          <cell r="E37">
            <v>1431.7</v>
          </cell>
          <cell r="G37" t="str">
            <v>Parcheo elaboración de fallos en vías urbanas y rurales del municipio de Medellín.</v>
          </cell>
          <cell r="H37" t="str">
            <v>2/2</v>
          </cell>
          <cell r="I37">
            <v>0</v>
          </cell>
          <cell r="J37">
            <v>177.9</v>
          </cell>
          <cell r="K37">
            <v>167.6</v>
          </cell>
          <cell r="L37">
            <v>334.3</v>
          </cell>
          <cell r="M37">
            <v>300.10000000000002</v>
          </cell>
          <cell r="N37">
            <v>218.3</v>
          </cell>
          <cell r="O37">
            <v>83.4</v>
          </cell>
          <cell r="P37">
            <v>64.3</v>
          </cell>
          <cell r="Q37">
            <v>85.8</v>
          </cell>
          <cell r="S37">
            <v>25</v>
          </cell>
          <cell r="T37" t="str">
            <v>1</v>
          </cell>
          <cell r="U37">
            <v>1238.8</v>
          </cell>
          <cell r="V37">
            <v>1240.8</v>
          </cell>
          <cell r="W37">
            <v>735</v>
          </cell>
          <cell r="Y37">
            <v>3.3</v>
          </cell>
          <cell r="Z37">
            <v>1235.9000000000001</v>
          </cell>
          <cell r="AA37">
            <v>1238.0999999999999</v>
          </cell>
          <cell r="AB37">
            <v>732.3</v>
          </cell>
          <cell r="AD37">
            <v>3.2</v>
          </cell>
          <cell r="AE37">
            <v>1237</v>
          </cell>
          <cell r="AF37">
            <v>1240.4000000000001</v>
          </cell>
          <cell r="AG37">
            <v>734.8</v>
          </cell>
          <cell r="AI37">
            <v>2.9</v>
          </cell>
          <cell r="AK37">
            <v>1570.3534000000002</v>
          </cell>
          <cell r="AM37">
            <v>1588.7081800000001</v>
          </cell>
          <cell r="AO37">
            <v>1532.6241299999999</v>
          </cell>
          <cell r="AP37" t="str">
            <v>Muestra tomada en la volqueta</v>
          </cell>
          <cell r="AQ37" t="str">
            <v>-</v>
          </cell>
          <cell r="AR37">
            <v>1617</v>
          </cell>
          <cell r="AS37">
            <v>3.1</v>
          </cell>
          <cell r="AV37">
            <v>2.4392587095428784</v>
          </cell>
          <cell r="BS37">
            <v>2.5882000000000001</v>
          </cell>
        </row>
        <row r="38">
          <cell r="A38">
            <v>36</v>
          </cell>
          <cell r="B38">
            <v>40204</v>
          </cell>
          <cell r="D38">
            <v>1501.3</v>
          </cell>
          <cell r="E38">
            <v>1431.1</v>
          </cell>
          <cell r="G38" t="str">
            <v>Parcheo elaboración de fallos en vías urbanas y rurales del municipio de Medellín.</v>
          </cell>
          <cell r="H38" t="str">
            <v>1/2</v>
          </cell>
          <cell r="I38">
            <v>0</v>
          </cell>
          <cell r="J38">
            <v>154.4</v>
          </cell>
          <cell r="K38">
            <v>192.6</v>
          </cell>
          <cell r="L38">
            <v>337.3</v>
          </cell>
          <cell r="M38">
            <v>295.7</v>
          </cell>
          <cell r="N38">
            <v>212</v>
          </cell>
          <cell r="O38">
            <v>83.3</v>
          </cell>
          <cell r="P38">
            <v>69</v>
          </cell>
          <cell r="Q38">
            <v>86.8</v>
          </cell>
          <cell r="S38">
            <v>25</v>
          </cell>
          <cell r="T38" t="str">
            <v>1</v>
          </cell>
          <cell r="U38">
            <v>1232.9000000000001</v>
          </cell>
          <cell r="V38">
            <v>1237.8</v>
          </cell>
          <cell r="W38">
            <v>733.8</v>
          </cell>
          <cell r="Y38">
            <v>2.7</v>
          </cell>
          <cell r="Z38">
            <v>1238.0999999999999</v>
          </cell>
          <cell r="AA38">
            <v>1239.9000000000001</v>
          </cell>
          <cell r="AB38">
            <v>735.7</v>
          </cell>
          <cell r="AD38">
            <v>3.2</v>
          </cell>
          <cell r="AE38">
            <v>1238.0999999999999</v>
          </cell>
          <cell r="AF38">
            <v>1239.5999999999999</v>
          </cell>
          <cell r="AG38">
            <v>735.3</v>
          </cell>
          <cell r="AI38">
            <v>3.3</v>
          </cell>
          <cell r="AK38">
            <v>1778.3742400000001</v>
          </cell>
          <cell r="AM38">
            <v>1683.5412100000003</v>
          </cell>
          <cell r="AO38">
            <v>1706.9945399999999</v>
          </cell>
          <cell r="AP38" t="str">
            <v>Muestra tomada en el elevador</v>
          </cell>
          <cell r="AQ38" t="str">
            <v>-</v>
          </cell>
          <cell r="AR38">
            <v>1791</v>
          </cell>
          <cell r="AS38">
            <v>3.1</v>
          </cell>
          <cell r="AV38">
            <v>2.4451235666891549</v>
          </cell>
          <cell r="BS38">
            <v>2.593</v>
          </cell>
        </row>
        <row r="39">
          <cell r="A39">
            <v>37</v>
          </cell>
          <cell r="B39">
            <v>40204</v>
          </cell>
          <cell r="D39">
            <v>1502.5</v>
          </cell>
          <cell r="E39">
            <v>1430.2</v>
          </cell>
          <cell r="G39" t="str">
            <v>Parcheo elaboración de fallos en vías urbanas y rurales del municipio de Medellín.</v>
          </cell>
          <cell r="H39" t="str">
            <v>2/2</v>
          </cell>
          <cell r="I39">
            <v>0</v>
          </cell>
          <cell r="J39">
            <v>211.5</v>
          </cell>
          <cell r="K39">
            <v>170.5</v>
          </cell>
          <cell r="L39">
            <v>295.10000000000002</v>
          </cell>
          <cell r="M39">
            <v>284.3</v>
          </cell>
          <cell r="N39">
            <v>222.4</v>
          </cell>
          <cell r="O39">
            <v>92.4</v>
          </cell>
          <cell r="P39">
            <v>68.400000000000006</v>
          </cell>
          <cell r="Q39">
            <v>85.6</v>
          </cell>
          <cell r="S39">
            <v>25</v>
          </cell>
          <cell r="T39" t="str">
            <v>1</v>
          </cell>
          <cell r="U39">
            <v>1236.4000000000001</v>
          </cell>
          <cell r="V39">
            <v>1238.9000000000001</v>
          </cell>
          <cell r="W39">
            <v>736.3</v>
          </cell>
          <cell r="Y39">
            <v>2.9</v>
          </cell>
          <cell r="Z39">
            <v>1237</v>
          </cell>
          <cell r="AA39">
            <v>1238.0999999999999</v>
          </cell>
          <cell r="AB39">
            <v>737.6</v>
          </cell>
          <cell r="AD39">
            <v>3.2</v>
          </cell>
          <cell r="AE39">
            <v>1236.9000000000001</v>
          </cell>
          <cell r="AF39">
            <v>1237.9000000000001</v>
          </cell>
          <cell r="AG39">
            <v>738.7</v>
          </cell>
          <cell r="AI39">
            <v>3.1</v>
          </cell>
          <cell r="AK39">
            <v>1508.1510900000001</v>
          </cell>
          <cell r="AM39">
            <v>1569.3336900000002</v>
          </cell>
          <cell r="AO39">
            <v>1715.1522200000002</v>
          </cell>
          <cell r="AP39" t="str">
            <v>Muestra tomada en la volqueta</v>
          </cell>
          <cell r="AQ39" t="str">
            <v>-</v>
          </cell>
          <cell r="AR39">
            <v>1679</v>
          </cell>
          <cell r="AS39">
            <v>3.1</v>
          </cell>
          <cell r="AV39">
            <v>2.4625428827416425</v>
          </cell>
          <cell r="BS39">
            <v>2.5882000000000001</v>
          </cell>
        </row>
        <row r="40">
          <cell r="A40">
            <v>38</v>
          </cell>
          <cell r="B40">
            <v>40205</v>
          </cell>
          <cell r="D40">
            <v>1500.1</v>
          </cell>
          <cell r="E40">
            <v>1428.7</v>
          </cell>
          <cell r="G40" t="str">
            <v>Parcheo elaboración de fallos en vías urbanas y rurales del municipio de Medellín.</v>
          </cell>
          <cell r="H40" t="str">
            <v>1/2</v>
          </cell>
          <cell r="I40">
            <v>0</v>
          </cell>
          <cell r="J40">
            <v>190.2</v>
          </cell>
          <cell r="K40">
            <v>205.9</v>
          </cell>
          <cell r="L40">
            <v>296.7</v>
          </cell>
          <cell r="M40">
            <v>292.7</v>
          </cell>
          <cell r="N40">
            <v>210.9</v>
          </cell>
          <cell r="O40">
            <v>79.5</v>
          </cell>
          <cell r="P40">
            <v>68.099999999999994</v>
          </cell>
          <cell r="Q40">
            <v>84.7</v>
          </cell>
          <cell r="S40">
            <v>25</v>
          </cell>
          <cell r="T40" t="str">
            <v>1</v>
          </cell>
          <cell r="U40">
            <v>1239.4000000000001</v>
          </cell>
          <cell r="V40">
            <v>1240.3</v>
          </cell>
          <cell r="W40">
            <v>743.6</v>
          </cell>
          <cell r="Y40">
            <v>3.3</v>
          </cell>
          <cell r="Z40">
            <v>1238.0999999999999</v>
          </cell>
          <cell r="AA40">
            <v>1240.5999999999999</v>
          </cell>
          <cell r="AB40">
            <v>737.5</v>
          </cell>
          <cell r="AD40">
            <v>3.3</v>
          </cell>
          <cell r="AE40">
            <v>1237.2</v>
          </cell>
          <cell r="AF40">
            <v>1238.4000000000001</v>
          </cell>
          <cell r="AG40">
            <v>739.3</v>
          </cell>
          <cell r="AI40">
            <v>2.8</v>
          </cell>
          <cell r="AK40">
            <v>1831.3991600000002</v>
          </cell>
          <cell r="AM40">
            <v>1593.8067300000002</v>
          </cell>
          <cell r="AO40">
            <v>1773.2756900000002</v>
          </cell>
          <cell r="AP40" t="str">
            <v>Muestra tomada en el elevador</v>
          </cell>
          <cell r="AQ40" t="str">
            <v>-</v>
          </cell>
          <cell r="AR40">
            <v>1829</v>
          </cell>
          <cell r="AS40">
            <v>3.1</v>
          </cell>
          <cell r="AV40">
            <v>2.471108431950428</v>
          </cell>
          <cell r="BS40">
            <v>2.5923814459704611</v>
          </cell>
        </row>
        <row r="41">
          <cell r="A41">
            <v>39</v>
          </cell>
          <cell r="B41">
            <v>40205</v>
          </cell>
          <cell r="D41">
            <v>1501.3</v>
          </cell>
          <cell r="E41">
            <v>1431.4</v>
          </cell>
          <cell r="G41" t="str">
            <v>Parcheo elaboración de fallos en vías urbanas y rurales del municipio de Medellín.</v>
          </cell>
          <cell r="H41" t="str">
            <v>2/2</v>
          </cell>
          <cell r="I41">
            <v>0</v>
          </cell>
          <cell r="J41">
            <v>183.3</v>
          </cell>
          <cell r="K41">
            <v>177.8</v>
          </cell>
          <cell r="L41">
            <v>330.6</v>
          </cell>
          <cell r="M41">
            <v>281.60000000000002</v>
          </cell>
          <cell r="N41">
            <v>225.6</v>
          </cell>
          <cell r="O41">
            <v>75.900000000000006</v>
          </cell>
          <cell r="P41">
            <v>69.7</v>
          </cell>
          <cell r="Q41">
            <v>86.9</v>
          </cell>
          <cell r="S41">
            <v>25</v>
          </cell>
          <cell r="T41" t="str">
            <v>1</v>
          </cell>
          <cell r="U41">
            <v>1238.3</v>
          </cell>
          <cell r="V41">
            <v>1240</v>
          </cell>
          <cell r="W41">
            <v>737.5</v>
          </cell>
          <cell r="Y41">
            <v>3.5</v>
          </cell>
          <cell r="Z41">
            <v>1236.7</v>
          </cell>
          <cell r="AA41">
            <v>1238.3</v>
          </cell>
          <cell r="AB41">
            <v>736.4</v>
          </cell>
          <cell r="AD41">
            <v>3.6</v>
          </cell>
          <cell r="AE41">
            <v>1232.7</v>
          </cell>
          <cell r="AF41">
            <v>1235.8</v>
          </cell>
          <cell r="AG41">
            <v>731.9</v>
          </cell>
          <cell r="AI41">
            <v>3</v>
          </cell>
          <cell r="AK41">
            <v>1533.64384</v>
          </cell>
          <cell r="AM41">
            <v>1971.09943</v>
          </cell>
          <cell r="AO41">
            <v>1821.2020600000001</v>
          </cell>
          <cell r="AP41" t="str">
            <v>Muestra tomada en la volqueta</v>
          </cell>
          <cell r="AQ41" t="str">
            <v>-</v>
          </cell>
          <cell r="AR41">
            <v>1854</v>
          </cell>
          <cell r="AS41">
            <v>3.4</v>
          </cell>
          <cell r="AV41">
            <v>2.4510210590962296</v>
          </cell>
          <cell r="BS41">
            <v>2.5923814459704611</v>
          </cell>
        </row>
        <row r="42">
          <cell r="A42">
            <v>40</v>
          </cell>
          <cell r="B42">
            <v>40206</v>
          </cell>
          <cell r="D42">
            <v>1505</v>
          </cell>
          <cell r="E42">
            <v>1432.6</v>
          </cell>
          <cell r="G42" t="str">
            <v>Parcheo elaboración de fallos en vías urbanas y rurales del municipio de Medellín.</v>
          </cell>
          <cell r="H42" t="str">
            <v>1/2</v>
          </cell>
          <cell r="I42">
            <v>0</v>
          </cell>
          <cell r="J42">
            <v>165.3</v>
          </cell>
          <cell r="K42">
            <v>181.7</v>
          </cell>
          <cell r="L42">
            <v>343.6</v>
          </cell>
          <cell r="M42">
            <v>290.5</v>
          </cell>
          <cell r="N42">
            <v>230.6</v>
          </cell>
          <cell r="O42">
            <v>80</v>
          </cell>
          <cell r="P42">
            <v>59.6</v>
          </cell>
          <cell r="Q42">
            <v>81.3</v>
          </cell>
          <cell r="S42">
            <v>25</v>
          </cell>
          <cell r="T42" t="str">
            <v>1</v>
          </cell>
          <cell r="U42">
            <v>1237.4000000000001</v>
          </cell>
          <cell r="V42">
            <v>1238.0999999999999</v>
          </cell>
          <cell r="W42">
            <v>738.1</v>
          </cell>
          <cell r="Y42">
            <v>2.9</v>
          </cell>
          <cell r="Z42">
            <v>1237.2</v>
          </cell>
          <cell r="AA42">
            <v>1238.7</v>
          </cell>
          <cell r="AB42">
            <v>734.5</v>
          </cell>
          <cell r="AD42">
            <v>2.9</v>
          </cell>
          <cell r="AE42">
            <v>1236.8</v>
          </cell>
          <cell r="AF42">
            <v>1237.9000000000001</v>
          </cell>
          <cell r="AG42">
            <v>733.3</v>
          </cell>
          <cell r="AI42">
            <v>3.1</v>
          </cell>
          <cell r="AK42">
            <v>1730.44787</v>
          </cell>
          <cell r="AM42">
            <v>1544.8606500000001</v>
          </cell>
          <cell r="AO42">
            <v>1611.1418000000001</v>
          </cell>
          <cell r="AP42" t="str">
            <v>Muestra tomada en el elevador</v>
          </cell>
          <cell r="AQ42" t="str">
            <v>-</v>
          </cell>
          <cell r="AR42">
            <v>1700</v>
          </cell>
          <cell r="AS42">
            <v>3</v>
          </cell>
          <cell r="AV42">
            <v>2.4526843578448592</v>
          </cell>
          <cell r="BS42">
            <v>2.580507928322803</v>
          </cell>
        </row>
        <row r="43">
          <cell r="A43">
            <v>41</v>
          </cell>
          <cell r="B43">
            <v>40206</v>
          </cell>
          <cell r="D43">
            <v>1503.9</v>
          </cell>
          <cell r="E43">
            <v>1432.2</v>
          </cell>
          <cell r="G43" t="str">
            <v>Parcheo elaboración de fallos en vías urbanas y rurales del municipio de Medellín.</v>
          </cell>
          <cell r="H43" t="str">
            <v>2/2</v>
          </cell>
          <cell r="I43">
            <v>0</v>
          </cell>
          <cell r="J43">
            <v>170.8</v>
          </cell>
          <cell r="K43">
            <v>176.1</v>
          </cell>
          <cell r="L43">
            <v>326.7</v>
          </cell>
          <cell r="M43">
            <v>298.7</v>
          </cell>
          <cell r="N43">
            <v>225.5</v>
          </cell>
          <cell r="O43">
            <v>84.5</v>
          </cell>
          <cell r="P43">
            <v>63.8</v>
          </cell>
          <cell r="Q43">
            <v>86.1</v>
          </cell>
          <cell r="S43">
            <v>25</v>
          </cell>
          <cell r="T43" t="str">
            <v>1</v>
          </cell>
          <cell r="U43">
            <v>1236.9000000000001</v>
          </cell>
          <cell r="V43">
            <v>1237.8</v>
          </cell>
          <cell r="W43">
            <v>736.9</v>
          </cell>
          <cell r="Y43">
            <v>2.8</v>
          </cell>
          <cell r="Z43">
            <v>1236.3</v>
          </cell>
          <cell r="AA43">
            <v>1239.2</v>
          </cell>
          <cell r="AB43">
            <v>736.7</v>
          </cell>
          <cell r="AD43">
            <v>3</v>
          </cell>
          <cell r="AE43">
            <v>1236</v>
          </cell>
          <cell r="AF43">
            <v>1236.7</v>
          </cell>
          <cell r="AG43">
            <v>737.7</v>
          </cell>
          <cell r="AI43">
            <v>2.8</v>
          </cell>
          <cell r="AK43">
            <v>1578.51108</v>
          </cell>
          <cell r="AM43">
            <v>1607.06296</v>
          </cell>
          <cell r="AO43">
            <v>1649.8907799999999</v>
          </cell>
          <cell r="AP43" t="str">
            <v>Muestra tomada en la volqueta</v>
          </cell>
          <cell r="AQ43" t="str">
            <v>-</v>
          </cell>
          <cell r="AR43">
            <v>1694</v>
          </cell>
          <cell r="AS43">
            <v>2.9</v>
          </cell>
          <cell r="AV43">
            <v>2.4616477496097571</v>
          </cell>
          <cell r="BS43">
            <v>2.580507928322803</v>
          </cell>
        </row>
        <row r="44">
          <cell r="A44">
            <v>42</v>
          </cell>
          <cell r="B44">
            <v>40207</v>
          </cell>
          <cell r="D44">
            <v>1489.9</v>
          </cell>
          <cell r="E44">
            <v>1410.2</v>
          </cell>
          <cell r="G44" t="str">
            <v>Parcheo elaboración de fallos en vías urbanas y rurales del municipio de Medellín.</v>
          </cell>
          <cell r="H44" t="str">
            <v>1/2</v>
          </cell>
          <cell r="I44">
            <v>0</v>
          </cell>
          <cell r="J44">
            <v>133</v>
          </cell>
          <cell r="K44">
            <v>170</v>
          </cell>
          <cell r="L44">
            <v>308</v>
          </cell>
          <cell r="M44">
            <v>299.8</v>
          </cell>
          <cell r="N44">
            <v>251.3</v>
          </cell>
          <cell r="O44">
            <v>84.5</v>
          </cell>
          <cell r="P44">
            <v>75.3</v>
          </cell>
          <cell r="Q44">
            <v>88.3</v>
          </cell>
          <cell r="S44">
            <v>25</v>
          </cell>
          <cell r="T44" t="str">
            <v>1</v>
          </cell>
          <cell r="U44">
            <v>1229.8</v>
          </cell>
          <cell r="V44">
            <v>1230.8</v>
          </cell>
          <cell r="W44">
            <v>731.2</v>
          </cell>
          <cell r="Y44">
            <v>3.6</v>
          </cell>
          <cell r="Z44">
            <v>1230.5</v>
          </cell>
          <cell r="AA44">
            <v>1231.3</v>
          </cell>
          <cell r="AB44">
            <v>732</v>
          </cell>
          <cell r="AD44">
            <v>3.1</v>
          </cell>
          <cell r="AE44">
            <v>1231</v>
          </cell>
          <cell r="AF44">
            <v>1232.0999999999999</v>
          </cell>
          <cell r="AG44">
            <v>730.1</v>
          </cell>
          <cell r="AI44">
            <v>3.5</v>
          </cell>
          <cell r="AK44">
            <v>1639.6936799999999</v>
          </cell>
          <cell r="AM44">
            <v>1702.9157</v>
          </cell>
          <cell r="AO44">
            <v>1744.72381</v>
          </cell>
          <cell r="AP44" t="str">
            <v>Muestra tomada en el elevador</v>
          </cell>
          <cell r="AQ44" t="str">
            <v>-</v>
          </cell>
          <cell r="AR44">
            <v>1785</v>
          </cell>
          <cell r="AS44">
            <v>3.4</v>
          </cell>
          <cell r="AV44">
            <v>2.4522098181427459</v>
          </cell>
          <cell r="BS44">
            <v>2.5642</v>
          </cell>
        </row>
        <row r="45">
          <cell r="A45">
            <v>43</v>
          </cell>
          <cell r="B45">
            <v>40207</v>
          </cell>
          <cell r="D45">
            <v>1500.8</v>
          </cell>
          <cell r="E45">
            <v>1422.2</v>
          </cell>
          <cell r="G45" t="str">
            <v>Parcheo elaboración de fallos en vías urbanas y rurales del municipio de Medellín.</v>
          </cell>
          <cell r="H45" t="str">
            <v>2/2</v>
          </cell>
          <cell r="I45">
            <v>0</v>
          </cell>
          <cell r="J45">
            <v>166.3</v>
          </cell>
          <cell r="K45">
            <v>203</v>
          </cell>
          <cell r="L45">
            <v>297</v>
          </cell>
          <cell r="M45">
            <v>264.5</v>
          </cell>
          <cell r="N45">
            <v>244.9</v>
          </cell>
          <cell r="O45">
            <v>81.5</v>
          </cell>
          <cell r="P45">
            <v>72.599999999999994</v>
          </cell>
          <cell r="Q45">
            <v>92.4</v>
          </cell>
          <cell r="S45">
            <v>25</v>
          </cell>
          <cell r="T45" t="str">
            <v>1</v>
          </cell>
          <cell r="U45">
            <v>1234.5999999999999</v>
          </cell>
          <cell r="V45">
            <v>1235</v>
          </cell>
          <cell r="W45">
            <v>734.6</v>
          </cell>
          <cell r="Y45">
            <v>3.2</v>
          </cell>
          <cell r="Z45">
            <v>1237.0999999999999</v>
          </cell>
          <cell r="AA45">
            <v>1237.5999999999999</v>
          </cell>
          <cell r="AB45">
            <v>735.6</v>
          </cell>
          <cell r="AD45">
            <v>3.3</v>
          </cell>
          <cell r="AE45">
            <v>1234</v>
          </cell>
          <cell r="AF45">
            <v>1234.5</v>
          </cell>
          <cell r="AG45">
            <v>733.1</v>
          </cell>
          <cell r="AI45">
            <v>3.16</v>
          </cell>
          <cell r="AK45">
            <v>1613.1812200000002</v>
          </cell>
          <cell r="AM45">
            <v>1664.1667200000002</v>
          </cell>
          <cell r="AO45">
            <v>1477.55979</v>
          </cell>
          <cell r="AP45" t="str">
            <v>Muestra tomada en la volqueta</v>
          </cell>
          <cell r="AQ45" t="str">
            <v>-</v>
          </cell>
          <cell r="AR45">
            <v>1663</v>
          </cell>
          <cell r="AS45">
            <v>3.2</v>
          </cell>
          <cell r="AV45">
            <v>2.4570180537335196</v>
          </cell>
          <cell r="BS45">
            <v>2.569</v>
          </cell>
        </row>
        <row r="46">
          <cell r="A46">
            <v>44</v>
          </cell>
          <cell r="B46">
            <v>40210</v>
          </cell>
          <cell r="D46">
            <v>1501.3</v>
          </cell>
          <cell r="E46">
            <v>1424</v>
          </cell>
          <cell r="G46" t="str">
            <v>Parcheo elaboración de fallos en vías urbanas y rurales del municipio de Medellín.</v>
          </cell>
          <cell r="H46" t="str">
            <v>1/2</v>
          </cell>
          <cell r="I46">
            <v>0</v>
          </cell>
          <cell r="J46">
            <v>189.6</v>
          </cell>
          <cell r="K46">
            <v>180.4</v>
          </cell>
          <cell r="L46">
            <v>233</v>
          </cell>
          <cell r="M46">
            <v>309.8</v>
          </cell>
          <cell r="N46">
            <v>259.8</v>
          </cell>
          <cell r="O46">
            <v>88.3</v>
          </cell>
          <cell r="P46">
            <v>69.099999999999994</v>
          </cell>
          <cell r="Q46">
            <v>94</v>
          </cell>
          <cell r="S46">
            <v>25</v>
          </cell>
          <cell r="T46" t="str">
            <v>1</v>
          </cell>
          <cell r="U46">
            <v>1239.9000000000001</v>
          </cell>
          <cell r="V46">
            <v>1240.5</v>
          </cell>
          <cell r="W46">
            <v>736.9</v>
          </cell>
          <cell r="Y46">
            <v>3.4</v>
          </cell>
          <cell r="Z46">
            <v>1238.8</v>
          </cell>
          <cell r="AA46">
            <v>1239.4000000000001</v>
          </cell>
          <cell r="AB46">
            <v>737.3</v>
          </cell>
          <cell r="AD46">
            <v>2.7</v>
          </cell>
          <cell r="AE46">
            <v>1232.8</v>
          </cell>
          <cell r="AF46">
            <v>1233.5999999999999</v>
          </cell>
          <cell r="AG46">
            <v>734.4</v>
          </cell>
          <cell r="AI46">
            <v>3.1</v>
          </cell>
          <cell r="AK46">
            <v>1771.2362700000001</v>
          </cell>
          <cell r="AM46">
            <v>1549.9592</v>
          </cell>
          <cell r="AO46">
            <v>1554.0380400000001</v>
          </cell>
          <cell r="AP46" t="str">
            <v>Muestra tomada en el elevador</v>
          </cell>
          <cell r="AQ46" t="str">
            <v>-</v>
          </cell>
          <cell r="AR46">
            <v>1703</v>
          </cell>
          <cell r="AS46">
            <v>3.1</v>
          </cell>
          <cell r="AV46">
            <v>2.4590734289212031</v>
          </cell>
          <cell r="BS46">
            <v>2.5680000000000001</v>
          </cell>
        </row>
        <row r="47">
          <cell r="A47">
            <v>45</v>
          </cell>
          <cell r="B47">
            <v>40210</v>
          </cell>
          <cell r="D47">
            <v>1501.3</v>
          </cell>
          <cell r="E47">
            <v>1421.5</v>
          </cell>
          <cell r="G47" t="str">
            <v>Parcheo elaboración de fallos en vías urbanas y rurales del municipio de Medellín.</v>
          </cell>
          <cell r="H47" t="str">
            <v>2/2</v>
          </cell>
          <cell r="I47">
            <v>0</v>
          </cell>
          <cell r="J47">
            <v>118</v>
          </cell>
          <cell r="K47">
            <v>206.7</v>
          </cell>
          <cell r="L47">
            <v>274.3</v>
          </cell>
          <cell r="M47">
            <v>322.10000000000002</v>
          </cell>
          <cell r="N47">
            <v>246.7</v>
          </cell>
          <cell r="O47">
            <v>85.2</v>
          </cell>
          <cell r="P47">
            <v>74.900000000000006</v>
          </cell>
          <cell r="Q47">
            <v>93.6</v>
          </cell>
          <cell r="S47">
            <v>25</v>
          </cell>
          <cell r="T47" t="str">
            <v>1</v>
          </cell>
          <cell r="U47">
            <v>1235.5</v>
          </cell>
          <cell r="V47">
            <v>1236.0999999999999</v>
          </cell>
          <cell r="W47">
            <v>735.4</v>
          </cell>
          <cell r="Y47">
            <v>3.6</v>
          </cell>
          <cell r="Z47">
            <v>1237.2</v>
          </cell>
          <cell r="AA47">
            <v>1237.7</v>
          </cell>
          <cell r="AB47">
            <v>734.6</v>
          </cell>
          <cell r="AD47">
            <v>3</v>
          </cell>
          <cell r="AE47">
            <v>1240.7</v>
          </cell>
          <cell r="AF47">
            <v>1241.3</v>
          </cell>
          <cell r="AG47">
            <v>736.4</v>
          </cell>
          <cell r="AI47">
            <v>2.9</v>
          </cell>
          <cell r="AK47">
            <v>1665.18643</v>
          </cell>
          <cell r="AM47">
            <v>1564.23514</v>
          </cell>
          <cell r="AO47">
            <v>1567.2942699999999</v>
          </cell>
          <cell r="AP47" t="str">
            <v>Muestra tomada en la volqueta</v>
          </cell>
          <cell r="AQ47" t="str">
            <v>-</v>
          </cell>
          <cell r="AR47">
            <v>1669</v>
          </cell>
          <cell r="AS47">
            <v>3.2</v>
          </cell>
          <cell r="AV47">
            <v>2.454139572486314</v>
          </cell>
          <cell r="BS47">
            <v>2.5680000000000001</v>
          </cell>
        </row>
        <row r="48">
          <cell r="A48">
            <v>46</v>
          </cell>
          <cell r="B48">
            <v>40211</v>
          </cell>
          <cell r="D48">
            <v>1500.5</v>
          </cell>
          <cell r="E48">
            <v>1421.9</v>
          </cell>
          <cell r="G48" t="str">
            <v>Parcheo elaboración de fallos en vías urbanas y rurales del municipio de Medellín.</v>
          </cell>
          <cell r="H48" t="str">
            <v>1/2</v>
          </cell>
          <cell r="I48">
            <v>0</v>
          </cell>
          <cell r="J48">
            <v>142.6</v>
          </cell>
          <cell r="K48">
            <v>160.69999999999999</v>
          </cell>
          <cell r="L48">
            <v>311.39999999999998</v>
          </cell>
          <cell r="M48">
            <v>306</v>
          </cell>
          <cell r="N48">
            <v>250.7</v>
          </cell>
          <cell r="O48">
            <v>94.8</v>
          </cell>
          <cell r="P48">
            <v>67</v>
          </cell>
          <cell r="Q48">
            <v>88.7</v>
          </cell>
          <cell r="S48">
            <v>25</v>
          </cell>
          <cell r="T48" t="str">
            <v>1</v>
          </cell>
          <cell r="U48">
            <v>1235.4000000000001</v>
          </cell>
          <cell r="V48">
            <v>1236.0999999999999</v>
          </cell>
          <cell r="W48">
            <v>735.1</v>
          </cell>
          <cell r="Y48">
            <v>3.09</v>
          </cell>
          <cell r="Z48">
            <v>1236.2</v>
          </cell>
          <cell r="AA48">
            <v>1237.7</v>
          </cell>
          <cell r="AB48">
            <v>735.4</v>
          </cell>
          <cell r="AD48">
            <v>3.4</v>
          </cell>
          <cell r="AE48">
            <v>1236.2</v>
          </cell>
          <cell r="AF48">
            <v>1237.4000000000001</v>
          </cell>
          <cell r="AG48">
            <v>736.7</v>
          </cell>
          <cell r="AI48">
            <v>3.24</v>
          </cell>
          <cell r="AK48">
            <v>1680.48208</v>
          </cell>
          <cell r="AM48">
            <v>1419.43632</v>
          </cell>
          <cell r="AO48">
            <v>1550.97891</v>
          </cell>
          <cell r="AP48" t="str">
            <v>Muestra tomada en el elevador</v>
          </cell>
          <cell r="AQ48" t="str">
            <v>-</v>
          </cell>
          <cell r="AR48">
            <v>1627</v>
          </cell>
          <cell r="AS48">
            <v>3.2</v>
          </cell>
          <cell r="AV48">
            <v>2.4580859328353357</v>
          </cell>
          <cell r="BS48">
            <v>2.58</v>
          </cell>
        </row>
        <row r="49">
          <cell r="A49">
            <v>47</v>
          </cell>
          <cell r="B49">
            <v>40211</v>
          </cell>
          <cell r="D49">
            <v>1500.2</v>
          </cell>
          <cell r="E49">
            <v>1427.8</v>
          </cell>
          <cell r="G49" t="str">
            <v>Parcheo elaboración de fallos en vías urbanas y rurales del municipio de Medellín.</v>
          </cell>
          <cell r="H49" t="str">
            <v>2/2</v>
          </cell>
          <cell r="I49">
            <v>0</v>
          </cell>
          <cell r="J49">
            <v>134</v>
          </cell>
          <cell r="K49">
            <v>180.8</v>
          </cell>
          <cell r="L49">
            <v>335.8</v>
          </cell>
          <cell r="M49">
            <v>324.2</v>
          </cell>
          <cell r="N49">
            <v>215.6</v>
          </cell>
          <cell r="O49">
            <v>75.5</v>
          </cell>
          <cell r="P49">
            <v>70.900000000000006</v>
          </cell>
          <cell r="Q49">
            <v>91</v>
          </cell>
          <cell r="S49">
            <v>25</v>
          </cell>
          <cell r="T49" t="str">
            <v>1</v>
          </cell>
          <cell r="U49">
            <v>1236.2</v>
          </cell>
          <cell r="V49">
            <v>1237.8</v>
          </cell>
          <cell r="W49">
            <v>738.5</v>
          </cell>
          <cell r="Y49">
            <v>3.5</v>
          </cell>
          <cell r="Z49">
            <v>1238.9000000000001</v>
          </cell>
          <cell r="AA49">
            <v>1241.7</v>
          </cell>
          <cell r="AB49">
            <v>737.9</v>
          </cell>
          <cell r="AD49">
            <v>3.5</v>
          </cell>
          <cell r="AE49">
            <v>1236.2</v>
          </cell>
          <cell r="AF49">
            <v>1237.7</v>
          </cell>
          <cell r="AG49">
            <v>738.7</v>
          </cell>
          <cell r="AI49">
            <v>3.6</v>
          </cell>
          <cell r="AK49">
            <v>1361.31285</v>
          </cell>
          <cell r="AM49">
            <v>1521.40732</v>
          </cell>
          <cell r="AO49">
            <v>1569.3336900000002</v>
          </cell>
          <cell r="AP49" t="str">
            <v>Muestra tomada en la volqueta</v>
          </cell>
          <cell r="AQ49" t="str">
            <v>-</v>
          </cell>
          <cell r="AR49">
            <v>1560</v>
          </cell>
          <cell r="AS49">
            <v>3.5</v>
          </cell>
          <cell r="AV49">
            <v>2.4635502033963257</v>
          </cell>
          <cell r="BS49">
            <v>2.58</v>
          </cell>
        </row>
        <row r="50">
          <cell r="A50">
            <v>48</v>
          </cell>
          <cell r="B50">
            <v>40212</v>
          </cell>
          <cell r="D50">
            <v>1501.5</v>
          </cell>
          <cell r="E50">
            <v>1428.3</v>
          </cell>
          <cell r="G50" t="str">
            <v>Parcheo elaboración de fallos en vías urbanas y rurales del municipio de Medellín.</v>
          </cell>
          <cell r="H50" t="str">
            <v>1/2</v>
          </cell>
          <cell r="I50">
            <v>0</v>
          </cell>
          <cell r="J50">
            <v>177.8</v>
          </cell>
          <cell r="K50">
            <v>148.69999999999999</v>
          </cell>
          <cell r="L50">
            <v>321.3</v>
          </cell>
          <cell r="M50">
            <v>310.7</v>
          </cell>
          <cell r="N50">
            <v>226.9</v>
          </cell>
          <cell r="O50">
            <v>80.7</v>
          </cell>
          <cell r="P50">
            <v>72.900000000000006</v>
          </cell>
          <cell r="Q50">
            <v>89.3</v>
          </cell>
          <cell r="S50">
            <v>25</v>
          </cell>
          <cell r="T50" t="str">
            <v>1</v>
          </cell>
          <cell r="U50">
            <v>1237.3</v>
          </cell>
          <cell r="V50">
            <v>1238.0999999999999</v>
          </cell>
          <cell r="W50">
            <v>741.3</v>
          </cell>
          <cell r="Y50">
            <v>3.2</v>
          </cell>
          <cell r="Z50">
            <v>1235</v>
          </cell>
          <cell r="AA50">
            <v>1236.2</v>
          </cell>
          <cell r="AB50">
            <v>736.4</v>
          </cell>
          <cell r="AD50">
            <v>3.4</v>
          </cell>
          <cell r="AE50">
            <v>1236.8</v>
          </cell>
          <cell r="AF50">
            <v>1237.4000000000001</v>
          </cell>
          <cell r="AG50">
            <v>735.1</v>
          </cell>
          <cell r="AI50">
            <v>3.4</v>
          </cell>
          <cell r="AK50">
            <v>1854.8524900000002</v>
          </cell>
          <cell r="AM50">
            <v>1557.09717</v>
          </cell>
          <cell r="AO50">
            <v>1523.4467400000001</v>
          </cell>
          <cell r="AP50" t="str">
            <v>Muestra tomada en el elevador</v>
          </cell>
          <cell r="AQ50" t="str">
            <v>-</v>
          </cell>
          <cell r="AR50">
            <v>1737</v>
          </cell>
          <cell r="AS50">
            <v>3.3</v>
          </cell>
          <cell r="AV50">
            <v>2.467362256832597</v>
          </cell>
          <cell r="BS50">
            <v>2.5779999999999998</v>
          </cell>
        </row>
        <row r="51">
          <cell r="A51">
            <v>49</v>
          </cell>
          <cell r="B51">
            <v>40212</v>
          </cell>
          <cell r="D51">
            <v>1500.9</v>
          </cell>
          <cell r="E51">
            <v>1430.6</v>
          </cell>
          <cell r="G51" t="str">
            <v>Parcheo elaboración de fallos en vías urbanas y rurales del municipio de Medellín.</v>
          </cell>
          <cell r="H51" t="str">
            <v>2/2</v>
          </cell>
          <cell r="I51">
            <v>0</v>
          </cell>
          <cell r="J51">
            <v>211.5</v>
          </cell>
          <cell r="K51">
            <v>155.19999999999999</v>
          </cell>
          <cell r="L51">
            <v>323.10000000000002</v>
          </cell>
          <cell r="M51">
            <v>296.3</v>
          </cell>
          <cell r="N51">
            <v>211</v>
          </cell>
          <cell r="O51">
            <v>77.400000000000006</v>
          </cell>
          <cell r="P51">
            <v>65.8</v>
          </cell>
          <cell r="Q51">
            <v>90.3</v>
          </cell>
          <cell r="S51">
            <v>25</v>
          </cell>
          <cell r="T51" t="str">
            <v>1</v>
          </cell>
          <cell r="U51">
            <v>1234.5999999999999</v>
          </cell>
          <cell r="V51">
            <v>1235.3</v>
          </cell>
          <cell r="W51">
            <v>737.3</v>
          </cell>
          <cell r="Y51">
            <v>3.4</v>
          </cell>
          <cell r="Z51">
            <v>1236.5999999999999</v>
          </cell>
          <cell r="AA51">
            <v>1238.0999999999999</v>
          </cell>
          <cell r="AB51">
            <v>738.2</v>
          </cell>
          <cell r="AD51">
            <v>3.2</v>
          </cell>
          <cell r="AE51">
            <v>1236.8</v>
          </cell>
          <cell r="AF51">
            <v>1237.7</v>
          </cell>
          <cell r="AG51">
            <v>735.9</v>
          </cell>
          <cell r="AI51">
            <v>3.2</v>
          </cell>
          <cell r="AK51">
            <v>1484.69776</v>
          </cell>
          <cell r="AM51">
            <v>1609.10238</v>
          </cell>
          <cell r="AO51">
            <v>1669.2652700000001</v>
          </cell>
          <cell r="AP51" t="str">
            <v>Muestra tomada en la volqueta</v>
          </cell>
          <cell r="AQ51" t="str">
            <v>-</v>
          </cell>
          <cell r="AR51">
            <v>1673</v>
          </cell>
          <cell r="AS51">
            <v>3.3</v>
          </cell>
          <cell r="AV51">
            <v>2.4652806294913328</v>
          </cell>
          <cell r="BS51">
            <v>2.5779999999999998</v>
          </cell>
        </row>
        <row r="52">
          <cell r="A52">
            <v>50</v>
          </cell>
          <cell r="B52">
            <v>40212</v>
          </cell>
          <cell r="D52">
            <v>1501</v>
          </cell>
          <cell r="E52">
            <v>1419.5</v>
          </cell>
          <cell r="G52" t="str">
            <v>Estima</v>
          </cell>
          <cell r="H52" t="str">
            <v>1/1</v>
          </cell>
          <cell r="I52">
            <v>0</v>
          </cell>
          <cell r="J52">
            <v>143.9</v>
          </cell>
          <cell r="K52">
            <v>159.69999999999999</v>
          </cell>
          <cell r="L52">
            <v>323.39999999999998</v>
          </cell>
          <cell r="M52">
            <v>304.8</v>
          </cell>
          <cell r="N52">
            <v>253.8</v>
          </cell>
          <cell r="O52">
            <v>83.8</v>
          </cell>
          <cell r="P52">
            <v>65.599999999999994</v>
          </cell>
          <cell r="Q52">
            <v>84.5</v>
          </cell>
          <cell r="S52">
            <v>25</v>
          </cell>
          <cell r="T52" t="str">
            <v>1</v>
          </cell>
          <cell r="AK52">
            <v>0</v>
          </cell>
          <cell r="AM52">
            <v>0</v>
          </cell>
          <cell r="AO52">
            <v>0</v>
          </cell>
          <cell r="AP52" t="str">
            <v>Muestra tomada en vía</v>
          </cell>
          <cell r="AQ52" t="str">
            <v>-</v>
          </cell>
          <cell r="AR52">
            <v>0</v>
          </cell>
          <cell r="AS52">
            <v>0</v>
          </cell>
          <cell r="AV52">
            <v>0</v>
          </cell>
          <cell r="BS52">
            <v>2.5779999999999998</v>
          </cell>
        </row>
        <row r="53">
          <cell r="A53">
            <v>51</v>
          </cell>
          <cell r="B53">
            <v>40213</v>
          </cell>
          <cell r="D53">
            <v>1501.4</v>
          </cell>
          <cell r="E53">
            <v>1427.9</v>
          </cell>
          <cell r="G53" t="str">
            <v>Parcheo elaboración de fallos en vías urbanas y rurales del municipio de Medellín; Estyma S.A.</v>
          </cell>
          <cell r="H53" t="str">
            <v>1/2</v>
          </cell>
          <cell r="I53">
            <v>0</v>
          </cell>
          <cell r="J53">
            <v>159.9</v>
          </cell>
          <cell r="K53">
            <v>173.6</v>
          </cell>
          <cell r="L53">
            <v>293.5</v>
          </cell>
          <cell r="M53">
            <v>302.5</v>
          </cell>
          <cell r="N53">
            <v>253.5</v>
          </cell>
          <cell r="O53">
            <v>82</v>
          </cell>
          <cell r="P53">
            <v>76.599999999999994</v>
          </cell>
          <cell r="Q53">
            <v>86.3</v>
          </cell>
          <cell r="S53">
            <v>25</v>
          </cell>
          <cell r="T53" t="str">
            <v>1</v>
          </cell>
          <cell r="U53">
            <v>1238.3</v>
          </cell>
          <cell r="V53">
            <v>1239.4000000000001</v>
          </cell>
          <cell r="W53">
            <v>737.3</v>
          </cell>
          <cell r="Y53">
            <v>3.3</v>
          </cell>
          <cell r="Z53">
            <v>1239</v>
          </cell>
          <cell r="AA53">
            <v>1240.7</v>
          </cell>
          <cell r="AB53">
            <v>736.2</v>
          </cell>
          <cell r="AD53">
            <v>3</v>
          </cell>
          <cell r="AE53">
            <v>1234.0999999999999</v>
          </cell>
          <cell r="AF53">
            <v>1235.3</v>
          </cell>
          <cell r="AG53">
            <v>735.5</v>
          </cell>
          <cell r="AI53">
            <v>3.3</v>
          </cell>
          <cell r="AK53">
            <v>1623.37832</v>
          </cell>
          <cell r="AM53">
            <v>1426.57429</v>
          </cell>
          <cell r="AO53">
            <v>1682.5215000000001</v>
          </cell>
          <cell r="AP53" t="str">
            <v>Muestra tomada en el elevador</v>
          </cell>
          <cell r="AQ53" t="str">
            <v>-</v>
          </cell>
          <cell r="AR53">
            <v>1651</v>
          </cell>
          <cell r="AS53">
            <v>3.2</v>
          </cell>
          <cell r="AV53">
            <v>2.4565689191812026</v>
          </cell>
          <cell r="BS53">
            <v>2.5779999999999998</v>
          </cell>
        </row>
        <row r="54">
          <cell r="A54">
            <v>52</v>
          </cell>
          <cell r="B54">
            <v>40213</v>
          </cell>
          <cell r="D54">
            <v>1501.4</v>
          </cell>
          <cell r="E54">
            <v>1427.9</v>
          </cell>
          <cell r="G54" t="str">
            <v>Parcheo elaboración de fallos en vías urbanas y rurales del municipio de Medellín; Estyma S.A.</v>
          </cell>
          <cell r="H54" t="str">
            <v>2/2</v>
          </cell>
          <cell r="I54">
            <v>0</v>
          </cell>
          <cell r="J54">
            <v>141.19999999999999</v>
          </cell>
          <cell r="K54">
            <v>238.2</v>
          </cell>
          <cell r="L54">
            <v>224.3</v>
          </cell>
          <cell r="M54">
            <v>291.10000000000002</v>
          </cell>
          <cell r="N54">
            <v>284.3</v>
          </cell>
          <cell r="O54">
            <v>92.8</v>
          </cell>
          <cell r="P54">
            <v>69.3</v>
          </cell>
          <cell r="Q54">
            <v>86.7</v>
          </cell>
          <cell r="S54">
            <v>25</v>
          </cell>
          <cell r="T54" t="str">
            <v>1</v>
          </cell>
          <cell r="U54">
            <v>1234.3</v>
          </cell>
          <cell r="V54">
            <v>1234.7</v>
          </cell>
          <cell r="W54">
            <v>730.4</v>
          </cell>
          <cell r="Y54">
            <v>3.2</v>
          </cell>
          <cell r="Z54">
            <v>1234.0999999999999</v>
          </cell>
          <cell r="AA54">
            <v>1234.5</v>
          </cell>
          <cell r="AB54">
            <v>733.6</v>
          </cell>
          <cell r="AD54">
            <v>3</v>
          </cell>
          <cell r="AE54">
            <v>1232.4000000000001</v>
          </cell>
          <cell r="AF54">
            <v>1232.8</v>
          </cell>
          <cell r="AG54">
            <v>732.6</v>
          </cell>
          <cell r="AI54">
            <v>3.2</v>
          </cell>
          <cell r="AK54">
            <v>1620.3191900000002</v>
          </cell>
          <cell r="AM54">
            <v>1781.43337</v>
          </cell>
          <cell r="AO54">
            <v>1689.6594700000001</v>
          </cell>
          <cell r="AP54" t="str">
            <v>Muestra tomada en la volqueta</v>
          </cell>
          <cell r="AQ54" t="str">
            <v>-</v>
          </cell>
          <cell r="AR54">
            <v>1778</v>
          </cell>
          <cell r="AS54">
            <v>3.1</v>
          </cell>
          <cell r="AV54">
            <v>2.4511861667399559</v>
          </cell>
          <cell r="BS54">
            <v>2.5779999999999998</v>
          </cell>
        </row>
        <row r="55">
          <cell r="A55">
            <v>53</v>
          </cell>
          <cell r="B55">
            <v>40214</v>
          </cell>
          <cell r="D55">
            <v>1500.5</v>
          </cell>
          <cell r="E55">
            <v>1424.7</v>
          </cell>
          <cell r="G55" t="str">
            <v>Parcheo elaboración de fallos en vías urbanas y rurales del municipio de Medellín.</v>
          </cell>
          <cell r="H55" t="str">
            <v>1/2</v>
          </cell>
          <cell r="I55">
            <v>0</v>
          </cell>
          <cell r="J55">
            <v>205.3</v>
          </cell>
          <cell r="K55">
            <v>207.6</v>
          </cell>
          <cell r="L55">
            <v>276.2</v>
          </cell>
          <cell r="M55">
            <v>266.2</v>
          </cell>
          <cell r="N55">
            <v>229</v>
          </cell>
          <cell r="O55">
            <v>86.3</v>
          </cell>
          <cell r="P55">
            <v>66.900000000000006</v>
          </cell>
          <cell r="Q55">
            <v>87.2</v>
          </cell>
          <cell r="S55">
            <v>25</v>
          </cell>
          <cell r="T55" t="str">
            <v>1</v>
          </cell>
          <cell r="U55">
            <v>1238.2</v>
          </cell>
          <cell r="V55">
            <v>1239.0999999999999</v>
          </cell>
          <cell r="W55">
            <v>737.2</v>
          </cell>
          <cell r="Y55">
            <v>2.7</v>
          </cell>
          <cell r="Z55">
            <v>1237.4000000000001</v>
          </cell>
          <cell r="AA55">
            <v>1238.4000000000001</v>
          </cell>
          <cell r="AB55">
            <v>737</v>
          </cell>
          <cell r="AD55">
            <v>3.4</v>
          </cell>
          <cell r="AE55">
            <v>1235.2</v>
          </cell>
          <cell r="AF55">
            <v>1235.8</v>
          </cell>
          <cell r="AG55">
            <v>737.3</v>
          </cell>
          <cell r="AI55">
            <v>3.2</v>
          </cell>
          <cell r="AK55">
            <v>1720.2507700000001</v>
          </cell>
          <cell r="AM55">
            <v>1592.78702</v>
          </cell>
          <cell r="AO55">
            <v>1706.9945399999999</v>
          </cell>
          <cell r="AP55" t="str">
            <v>Muestra tomada en el elevador</v>
          </cell>
          <cell r="AQ55" t="str">
            <v>-</v>
          </cell>
          <cell r="AR55">
            <v>1760</v>
          </cell>
          <cell r="AS55">
            <v>3.1</v>
          </cell>
          <cell r="AV55">
            <v>2.4636888075398025</v>
          </cell>
          <cell r="BS55">
            <v>2.581</v>
          </cell>
        </row>
        <row r="56">
          <cell r="A56">
            <v>54</v>
          </cell>
          <cell r="B56">
            <v>40214</v>
          </cell>
          <cell r="D56">
            <v>1501.6</v>
          </cell>
          <cell r="E56">
            <v>1421.8</v>
          </cell>
          <cell r="G56" t="str">
            <v>Parcheo elaboración de fallos en vías urbanas y rurales del municipio de Medellín.</v>
          </cell>
          <cell r="H56" t="str">
            <v>2/2</v>
          </cell>
          <cell r="I56">
            <v>0</v>
          </cell>
          <cell r="J56">
            <v>181.5</v>
          </cell>
          <cell r="K56">
            <v>197.3</v>
          </cell>
          <cell r="L56">
            <v>219.4</v>
          </cell>
          <cell r="M56">
            <v>304.8</v>
          </cell>
          <cell r="N56">
            <v>267.60000000000002</v>
          </cell>
          <cell r="O56">
            <v>85.4</v>
          </cell>
          <cell r="P56">
            <v>78.599999999999994</v>
          </cell>
          <cell r="Q56">
            <v>87.2</v>
          </cell>
          <cell r="S56">
            <v>25</v>
          </cell>
          <cell r="T56" t="str">
            <v>1</v>
          </cell>
          <cell r="U56">
            <v>1231.2</v>
          </cell>
          <cell r="V56">
            <v>1231.5999999999999</v>
          </cell>
          <cell r="W56">
            <v>735</v>
          </cell>
          <cell r="Y56">
            <v>3.3</v>
          </cell>
          <cell r="Z56">
            <v>1235.0999999999999</v>
          </cell>
          <cell r="AA56">
            <v>1235.5</v>
          </cell>
          <cell r="AB56">
            <v>735.9</v>
          </cell>
          <cell r="AD56">
            <v>3.5</v>
          </cell>
          <cell r="AE56">
            <v>1234.3</v>
          </cell>
          <cell r="AF56">
            <v>1234.5999999999999</v>
          </cell>
          <cell r="AG56">
            <v>736</v>
          </cell>
          <cell r="AI56">
            <v>3.4</v>
          </cell>
          <cell r="AK56">
            <v>1636.6345500000002</v>
          </cell>
          <cell r="AM56">
            <v>1843.6356799999999</v>
          </cell>
          <cell r="AO56">
            <v>1704.9551199999999</v>
          </cell>
          <cell r="AP56" t="str">
            <v>Muestra tomada en la volqueta</v>
          </cell>
          <cell r="AQ56" t="str">
            <v>-</v>
          </cell>
          <cell r="AR56">
            <v>1831</v>
          </cell>
          <cell r="AS56">
            <v>3.4</v>
          </cell>
          <cell r="AV56">
            <v>2.4684147697784797</v>
          </cell>
          <cell r="BS56">
            <v>2.581</v>
          </cell>
        </row>
        <row r="57">
          <cell r="A57">
            <v>55</v>
          </cell>
          <cell r="B57">
            <v>40215</v>
          </cell>
          <cell r="D57">
            <v>1501.7</v>
          </cell>
          <cell r="E57">
            <v>1427.9</v>
          </cell>
          <cell r="G57" t="str">
            <v>Parcheo elaboración de fallos en vías urbanas y rurales del municipio de Medellín.</v>
          </cell>
          <cell r="H57" t="str">
            <v>1/2</v>
          </cell>
          <cell r="I57">
            <v>0</v>
          </cell>
          <cell r="J57">
            <v>172.2</v>
          </cell>
          <cell r="K57">
            <v>219.3</v>
          </cell>
          <cell r="L57">
            <v>302.7</v>
          </cell>
          <cell r="M57">
            <v>281</v>
          </cell>
          <cell r="N57">
            <v>222.7</v>
          </cell>
          <cell r="O57">
            <v>80.400000000000006</v>
          </cell>
          <cell r="P57">
            <v>60.3</v>
          </cell>
          <cell r="Q57">
            <v>89.3</v>
          </cell>
          <cell r="S57">
            <v>25</v>
          </cell>
          <cell r="T57" t="str">
            <v>1</v>
          </cell>
          <cell r="U57">
            <v>1236.2</v>
          </cell>
          <cell r="V57">
            <v>1237.5999999999999</v>
          </cell>
          <cell r="W57">
            <v>740</v>
          </cell>
          <cell r="Y57">
            <v>3.5</v>
          </cell>
          <cell r="Z57">
            <v>1236.8</v>
          </cell>
          <cell r="AA57">
            <v>1238.2</v>
          </cell>
          <cell r="AB57">
            <v>739.8</v>
          </cell>
          <cell r="AD57">
            <v>3.5</v>
          </cell>
          <cell r="AE57">
            <v>1233.5999999999999</v>
          </cell>
          <cell r="AF57">
            <v>1237.7</v>
          </cell>
          <cell r="AG57">
            <v>735.6</v>
          </cell>
          <cell r="AI57">
            <v>3.1</v>
          </cell>
          <cell r="AK57">
            <v>1994.55276</v>
          </cell>
          <cell r="AM57">
            <v>1628.4768700000002</v>
          </cell>
          <cell r="AO57">
            <v>1467.3626900000002</v>
          </cell>
          <cell r="AP57" t="str">
            <v>Muestra tomada en el elevador</v>
          </cell>
          <cell r="AQ57" t="str">
            <v>-</v>
          </cell>
          <cell r="AR57">
            <v>1793</v>
          </cell>
          <cell r="AS57">
            <v>3.4</v>
          </cell>
          <cell r="AV57">
            <v>2.4670117516152494</v>
          </cell>
          <cell r="BS57">
            <v>2.58</v>
          </cell>
        </row>
        <row r="58">
          <cell r="A58">
            <v>56</v>
          </cell>
          <cell r="B58">
            <v>40215</v>
          </cell>
          <cell r="D58">
            <v>1500.9</v>
          </cell>
          <cell r="E58">
            <v>1428</v>
          </cell>
          <cell r="G58" t="str">
            <v>Parcheo elaboración de fallos en vías urbanas y rurales del municipio de Medellín.</v>
          </cell>
          <cell r="H58" t="str">
            <v>2/2</v>
          </cell>
          <cell r="I58">
            <v>0</v>
          </cell>
          <cell r="J58">
            <v>126.1</v>
          </cell>
          <cell r="K58">
            <v>223.4</v>
          </cell>
          <cell r="L58">
            <v>304.8</v>
          </cell>
          <cell r="M58">
            <v>290.89999999999998</v>
          </cell>
          <cell r="N58">
            <v>241.1</v>
          </cell>
          <cell r="O58">
            <v>78.599999999999994</v>
          </cell>
          <cell r="P58">
            <v>71.3</v>
          </cell>
          <cell r="Q58">
            <v>91.8</v>
          </cell>
          <cell r="S58">
            <v>25</v>
          </cell>
          <cell r="T58" t="str">
            <v>1</v>
          </cell>
          <cell r="U58">
            <v>1234.5</v>
          </cell>
          <cell r="V58">
            <v>1235.0999999999999</v>
          </cell>
          <cell r="W58">
            <v>738</v>
          </cell>
          <cell r="Y58">
            <v>3.1</v>
          </cell>
          <cell r="Z58">
            <v>1234.5</v>
          </cell>
          <cell r="AA58">
            <v>1235.7</v>
          </cell>
          <cell r="AB58">
            <v>735.4</v>
          </cell>
          <cell r="AD58">
            <v>3.4</v>
          </cell>
          <cell r="AE58">
            <v>1233.2</v>
          </cell>
          <cell r="AF58">
            <v>1235.2</v>
          </cell>
          <cell r="AG58">
            <v>735.1</v>
          </cell>
          <cell r="AI58">
            <v>3.6</v>
          </cell>
          <cell r="AK58">
            <v>1959.8826199999999</v>
          </cell>
          <cell r="AM58">
            <v>1811.0049600000002</v>
          </cell>
          <cell r="AO58">
            <v>1808.9655399999999</v>
          </cell>
          <cell r="AP58" t="str">
            <v>Muestra tomada en la volqueta</v>
          </cell>
          <cell r="AQ58" t="str">
            <v>-</v>
          </cell>
          <cell r="AR58">
            <v>1966</v>
          </cell>
          <cell r="AS58">
            <v>3.4</v>
          </cell>
          <cell r="AV58">
            <v>2.4650452735842912</v>
          </cell>
          <cell r="BS58">
            <v>2.58</v>
          </cell>
        </row>
        <row r="59">
          <cell r="A59">
            <v>57</v>
          </cell>
          <cell r="B59">
            <v>40216</v>
          </cell>
          <cell r="D59">
            <v>1500.4</v>
          </cell>
          <cell r="E59">
            <v>1427.1</v>
          </cell>
          <cell r="G59" t="str">
            <v>Parcheo elaboración de fallos en vías urbanas y rurales del municipio de Medellín.</v>
          </cell>
          <cell r="H59" t="str">
            <v>1/2</v>
          </cell>
          <cell r="I59">
            <v>0</v>
          </cell>
          <cell r="J59">
            <v>160.9</v>
          </cell>
          <cell r="K59">
            <v>150.69999999999999</v>
          </cell>
          <cell r="L59">
            <v>298.8</v>
          </cell>
          <cell r="M59">
            <v>330.5</v>
          </cell>
          <cell r="N59">
            <v>227.2</v>
          </cell>
          <cell r="O59">
            <v>89.5</v>
          </cell>
          <cell r="P59">
            <v>79.099999999999994</v>
          </cell>
          <cell r="Q59">
            <v>90.4</v>
          </cell>
          <cell r="S59">
            <v>25</v>
          </cell>
          <cell r="T59" t="str">
            <v>1</v>
          </cell>
          <cell r="U59">
            <v>1234.7</v>
          </cell>
          <cell r="V59">
            <v>1236.5</v>
          </cell>
          <cell r="W59">
            <v>739.1</v>
          </cell>
          <cell r="Y59">
            <v>3.3</v>
          </cell>
          <cell r="Z59">
            <v>1234</v>
          </cell>
          <cell r="AA59">
            <v>1236.0999999999999</v>
          </cell>
          <cell r="AB59">
            <v>737</v>
          </cell>
          <cell r="AD59">
            <v>3.2</v>
          </cell>
          <cell r="AE59">
            <v>1237.2</v>
          </cell>
          <cell r="AF59">
            <v>1239.2</v>
          </cell>
          <cell r="AG59">
            <v>737.7</v>
          </cell>
          <cell r="AI59">
            <v>3.2</v>
          </cell>
          <cell r="AK59">
            <v>1874.2269799999999</v>
          </cell>
          <cell r="AM59">
            <v>1753.9012</v>
          </cell>
          <cell r="AO59">
            <v>1699.8565700000001</v>
          </cell>
          <cell r="AP59" t="str">
            <v>Muestra tomada en el elevador</v>
          </cell>
          <cell r="AQ59" t="str">
            <v>-</v>
          </cell>
          <cell r="AR59">
            <v>1876</v>
          </cell>
          <cell r="AS59">
            <v>3.2</v>
          </cell>
          <cell r="AV59">
            <v>2.4666829249662858</v>
          </cell>
          <cell r="BS59">
            <v>2.5880000000000001</v>
          </cell>
        </row>
        <row r="60">
          <cell r="A60">
            <v>58</v>
          </cell>
          <cell r="B60">
            <v>40216</v>
          </cell>
          <cell r="D60">
            <v>1501</v>
          </cell>
          <cell r="E60">
            <v>1424.8</v>
          </cell>
          <cell r="G60" t="str">
            <v>Parcheo elaboración de fallos en vías urbanas y rurales del municipio de Medellín.</v>
          </cell>
          <cell r="H60" t="str">
            <v>2/2</v>
          </cell>
          <cell r="I60">
            <v>0</v>
          </cell>
          <cell r="J60">
            <v>159.4</v>
          </cell>
          <cell r="K60">
            <v>172.8</v>
          </cell>
          <cell r="L60">
            <v>287.39999999999998</v>
          </cell>
          <cell r="M60">
            <v>287.7</v>
          </cell>
          <cell r="N60">
            <v>258.5</v>
          </cell>
          <cell r="O60">
            <v>93.7</v>
          </cell>
          <cell r="P60">
            <v>69.5</v>
          </cell>
          <cell r="Q60">
            <v>95.8</v>
          </cell>
          <cell r="S60">
            <v>25</v>
          </cell>
          <cell r="T60" t="str">
            <v>1</v>
          </cell>
          <cell r="U60">
            <v>1228</v>
          </cell>
          <cell r="V60">
            <v>1229</v>
          </cell>
          <cell r="W60">
            <v>732.9</v>
          </cell>
          <cell r="Y60">
            <v>2.8</v>
          </cell>
          <cell r="Z60">
            <v>1234</v>
          </cell>
          <cell r="AA60">
            <v>1235</v>
          </cell>
          <cell r="AB60">
            <v>735.4</v>
          </cell>
          <cell r="AD60">
            <v>3</v>
          </cell>
          <cell r="AE60">
            <v>1233.0999999999999</v>
          </cell>
          <cell r="AF60">
            <v>1234.0999999999999</v>
          </cell>
          <cell r="AG60">
            <v>733.9</v>
          </cell>
          <cell r="AI60">
            <v>3.21</v>
          </cell>
          <cell r="AK60">
            <v>1561.1760100000001</v>
          </cell>
          <cell r="AM60">
            <v>1792.6501799999999</v>
          </cell>
          <cell r="AO60">
            <v>1582.5899200000001</v>
          </cell>
          <cell r="AP60" t="str">
            <v>Muestra tomada en la volqueta</v>
          </cell>
          <cell r="AQ60" t="str">
            <v>-</v>
          </cell>
          <cell r="AR60">
            <v>1741</v>
          </cell>
          <cell r="AS60">
            <v>3</v>
          </cell>
          <cell r="AV60">
            <v>2.4629405294463789</v>
          </cell>
          <cell r="BS60">
            <v>2.5737999999999999</v>
          </cell>
        </row>
        <row r="61">
          <cell r="A61">
            <v>59</v>
          </cell>
          <cell r="B61">
            <v>40217</v>
          </cell>
          <cell r="D61">
            <v>1500.9</v>
          </cell>
          <cell r="E61">
            <v>1422.9</v>
          </cell>
          <cell r="G61" t="str">
            <v>Parcheo elaboración de fallos en vías urbanas y rurales del municipio de Medellín.</v>
          </cell>
          <cell r="H61" t="str">
            <v>1/2</v>
          </cell>
          <cell r="I61">
            <v>0</v>
          </cell>
          <cell r="J61">
            <v>135.19999999999999</v>
          </cell>
          <cell r="K61">
            <v>163.30000000000001</v>
          </cell>
          <cell r="L61">
            <v>309.8</v>
          </cell>
          <cell r="M61">
            <v>323.60000000000002</v>
          </cell>
          <cell r="N61">
            <v>249</v>
          </cell>
          <cell r="O61">
            <v>77.7</v>
          </cell>
          <cell r="P61">
            <v>72</v>
          </cell>
          <cell r="Q61">
            <v>92.3</v>
          </cell>
          <cell r="S61">
            <v>25</v>
          </cell>
          <cell r="T61" t="str">
            <v>1</v>
          </cell>
          <cell r="U61">
            <v>1235.8</v>
          </cell>
          <cell r="V61">
            <v>1236.8</v>
          </cell>
          <cell r="W61">
            <v>740.7</v>
          </cell>
          <cell r="Y61">
            <v>3</v>
          </cell>
          <cell r="Z61">
            <v>1234.5</v>
          </cell>
          <cell r="AA61">
            <v>1235.7</v>
          </cell>
          <cell r="AB61">
            <v>738</v>
          </cell>
          <cell r="AD61">
            <v>3.1</v>
          </cell>
          <cell r="AE61">
            <v>1233.8</v>
          </cell>
          <cell r="AF61">
            <v>1235.5</v>
          </cell>
          <cell r="AG61">
            <v>735.6</v>
          </cell>
          <cell r="AI61">
            <v>3.6</v>
          </cell>
          <cell r="AK61">
            <v>1873.2072700000001</v>
          </cell>
          <cell r="AM61">
            <v>1859.9510399999999</v>
          </cell>
          <cell r="AO61">
            <v>1614.20093</v>
          </cell>
          <cell r="AP61" t="str">
            <v>Muestra tomada en el elevador</v>
          </cell>
          <cell r="AQ61" t="str">
            <v>-</v>
          </cell>
          <cell r="AR61">
            <v>1892</v>
          </cell>
          <cell r="AS61">
            <v>3.2</v>
          </cell>
          <cell r="AV61">
            <v>2.4725909676213997</v>
          </cell>
          <cell r="BS61">
            <v>2.5939999999999999</v>
          </cell>
        </row>
        <row r="62">
          <cell r="A62">
            <v>60</v>
          </cell>
          <cell r="B62">
            <v>40217</v>
          </cell>
          <cell r="D62">
            <v>1501</v>
          </cell>
          <cell r="E62">
            <v>1428.1</v>
          </cell>
          <cell r="G62" t="str">
            <v>Parcheo elaboración de fallos en vías urbanas y rurales del municipio de Medellín.</v>
          </cell>
          <cell r="H62" t="str">
            <v>2/2</v>
          </cell>
          <cell r="I62">
            <v>0</v>
          </cell>
          <cell r="J62">
            <v>166.5</v>
          </cell>
          <cell r="K62">
            <v>146</v>
          </cell>
          <cell r="L62">
            <v>315.60000000000002</v>
          </cell>
          <cell r="M62">
            <v>307.8</v>
          </cell>
          <cell r="N62">
            <v>252.3</v>
          </cell>
          <cell r="O62">
            <v>88.7</v>
          </cell>
          <cell r="P62">
            <v>66.099999999999994</v>
          </cell>
          <cell r="Q62">
            <v>85.1</v>
          </cell>
          <cell r="S62">
            <v>25</v>
          </cell>
          <cell r="T62" t="str">
            <v>1</v>
          </cell>
          <cell r="U62">
            <v>1224.8</v>
          </cell>
          <cell r="V62">
            <v>1227.0999999999999</v>
          </cell>
          <cell r="W62">
            <v>726.8</v>
          </cell>
          <cell r="Y62">
            <v>3.1</v>
          </cell>
          <cell r="Z62">
            <v>1235.2</v>
          </cell>
          <cell r="AA62">
            <v>1236.8</v>
          </cell>
          <cell r="AB62">
            <v>734.5</v>
          </cell>
          <cell r="AD62">
            <v>3.1</v>
          </cell>
          <cell r="AE62">
            <v>1234.8</v>
          </cell>
          <cell r="AF62">
            <v>1236.3</v>
          </cell>
          <cell r="AG62">
            <v>732.2</v>
          </cell>
          <cell r="AI62">
            <v>3.3</v>
          </cell>
          <cell r="AK62">
            <v>1451.0473300000001</v>
          </cell>
          <cell r="AM62">
            <v>1600.9447</v>
          </cell>
          <cell r="AO62">
            <v>1483.6780500000002</v>
          </cell>
          <cell r="AP62" t="str">
            <v>Muestra tomada en la volqueta</v>
          </cell>
          <cell r="AQ62" t="str">
            <v>-</v>
          </cell>
          <cell r="AR62">
            <v>1581</v>
          </cell>
          <cell r="AS62">
            <v>3.2</v>
          </cell>
          <cell r="AV62">
            <v>2.4450716186828267</v>
          </cell>
          <cell r="BS62">
            <v>2.5939999999999999</v>
          </cell>
        </row>
        <row r="63">
          <cell r="A63">
            <v>61</v>
          </cell>
          <cell r="B63">
            <v>40218</v>
          </cell>
          <cell r="D63">
            <v>1500.5</v>
          </cell>
          <cell r="E63">
            <v>1424.5</v>
          </cell>
          <cell r="G63" t="str">
            <v>Parcheo elaboración de fallos en vías urbanas y rurales del municipio de Medellín.</v>
          </cell>
          <cell r="H63" t="str">
            <v>1/2</v>
          </cell>
          <cell r="I63">
            <v>0</v>
          </cell>
          <cell r="J63">
            <v>195.3</v>
          </cell>
          <cell r="K63">
            <v>194.4</v>
          </cell>
          <cell r="L63">
            <v>249.1</v>
          </cell>
          <cell r="M63">
            <v>314</v>
          </cell>
          <cell r="N63">
            <v>241.6</v>
          </cell>
          <cell r="O63">
            <v>75.5</v>
          </cell>
          <cell r="P63">
            <v>70.099999999999994</v>
          </cell>
          <cell r="Q63">
            <v>84.5</v>
          </cell>
          <cell r="S63">
            <v>25</v>
          </cell>
          <cell r="T63" t="str">
            <v>1</v>
          </cell>
          <cell r="U63">
            <v>1234.4000000000001</v>
          </cell>
          <cell r="V63">
            <v>1235.0999999999999</v>
          </cell>
          <cell r="W63">
            <v>740.9</v>
          </cell>
          <cell r="Y63">
            <v>3.5</v>
          </cell>
          <cell r="Z63">
            <v>1235.0999999999999</v>
          </cell>
          <cell r="AA63">
            <v>1235.8</v>
          </cell>
          <cell r="AB63">
            <v>736.3</v>
          </cell>
          <cell r="AD63">
            <v>3.4</v>
          </cell>
          <cell r="AE63">
            <v>1234.7</v>
          </cell>
          <cell r="AF63">
            <v>1235.7</v>
          </cell>
          <cell r="AG63">
            <v>738</v>
          </cell>
          <cell r="AI63">
            <v>3.4</v>
          </cell>
          <cell r="AK63">
            <v>1851.7933600000001</v>
          </cell>
          <cell r="AM63">
            <v>1681.5017899999998</v>
          </cell>
          <cell r="AO63">
            <v>1798.7684400000001</v>
          </cell>
          <cell r="AP63" t="str">
            <v>Muestra tomada en el elevador</v>
          </cell>
          <cell r="AQ63" t="str">
            <v>-</v>
          </cell>
          <cell r="AR63">
            <v>1891</v>
          </cell>
          <cell r="AS63">
            <v>3.4</v>
          </cell>
          <cell r="AV63">
            <v>2.4764878852584329</v>
          </cell>
          <cell r="BS63">
            <v>2.5979999999999999</v>
          </cell>
        </row>
        <row r="64">
          <cell r="A64">
            <v>62</v>
          </cell>
          <cell r="B64">
            <v>40218</v>
          </cell>
          <cell r="D64">
            <v>1500.9</v>
          </cell>
          <cell r="E64">
            <v>1427.7</v>
          </cell>
          <cell r="G64" t="str">
            <v>Parcheo elaboración de fallos en vías urbanas y rurales del municipio de Medellín.</v>
          </cell>
          <cell r="H64" t="str">
            <v>2/2</v>
          </cell>
          <cell r="I64">
            <v>0</v>
          </cell>
          <cell r="J64">
            <v>217</v>
          </cell>
          <cell r="K64">
            <v>186.7</v>
          </cell>
          <cell r="L64">
            <v>208.9</v>
          </cell>
          <cell r="M64">
            <v>296.89999999999998</v>
          </cell>
          <cell r="N64">
            <v>274</v>
          </cell>
          <cell r="O64">
            <v>80.2</v>
          </cell>
          <cell r="P64">
            <v>76.900000000000006</v>
          </cell>
          <cell r="Q64">
            <v>87.1</v>
          </cell>
          <cell r="S64">
            <v>25</v>
          </cell>
          <cell r="T64" t="str">
            <v>1</v>
          </cell>
          <cell r="U64">
            <v>1231.9000000000001</v>
          </cell>
          <cell r="V64">
            <v>1233.8</v>
          </cell>
          <cell r="W64">
            <v>734.8</v>
          </cell>
          <cell r="Y64">
            <v>2.9</v>
          </cell>
          <cell r="Z64">
            <v>1233.8</v>
          </cell>
          <cell r="AA64">
            <v>1234.2</v>
          </cell>
          <cell r="AB64">
            <v>736.3</v>
          </cell>
          <cell r="AD64">
            <v>3.6</v>
          </cell>
          <cell r="AE64">
            <v>1237.8</v>
          </cell>
          <cell r="AF64">
            <v>1238.5</v>
          </cell>
          <cell r="AG64">
            <v>736.4</v>
          </cell>
          <cell r="AI64">
            <v>3.1</v>
          </cell>
          <cell r="AK64">
            <v>1450.0276200000001</v>
          </cell>
          <cell r="AM64">
            <v>1871.1678500000003</v>
          </cell>
          <cell r="AO64">
            <v>1532.6241299999999</v>
          </cell>
          <cell r="AP64" t="str">
            <v>Muestra tomada en la volqueta</v>
          </cell>
          <cell r="AQ64" t="str">
            <v>-</v>
          </cell>
          <cell r="AR64">
            <v>1707</v>
          </cell>
          <cell r="AS64">
            <v>3.2</v>
          </cell>
          <cell r="AV64">
            <v>2.4634370000173669</v>
          </cell>
          <cell r="BS64">
            <v>2.5979999999999999</v>
          </cell>
        </row>
        <row r="65">
          <cell r="A65">
            <v>63</v>
          </cell>
          <cell r="B65">
            <v>40219</v>
          </cell>
          <cell r="D65">
            <v>1500.1</v>
          </cell>
          <cell r="E65">
            <v>1427</v>
          </cell>
          <cell r="G65" t="str">
            <v>Parcheo elaboración de fallos en vías urbanas y rurales del municipio de Medellín.</v>
          </cell>
          <cell r="H65" t="str">
            <v>1/2</v>
          </cell>
          <cell r="I65">
            <v>0</v>
          </cell>
          <cell r="J65">
            <v>190.9</v>
          </cell>
          <cell r="K65">
            <v>193</v>
          </cell>
          <cell r="L65">
            <v>262.89999999999998</v>
          </cell>
          <cell r="M65">
            <v>300.39999999999998</v>
          </cell>
          <cell r="N65">
            <v>239.7</v>
          </cell>
          <cell r="O65">
            <v>77.7</v>
          </cell>
          <cell r="P65">
            <v>77.2</v>
          </cell>
          <cell r="Q65">
            <v>85.2</v>
          </cell>
          <cell r="S65">
            <v>25</v>
          </cell>
          <cell r="T65" t="str">
            <v>1</v>
          </cell>
          <cell r="U65">
            <v>1237.5999999999999</v>
          </cell>
          <cell r="V65">
            <v>1238.4000000000001</v>
          </cell>
          <cell r="W65">
            <v>742.2</v>
          </cell>
          <cell r="Y65">
            <v>3</v>
          </cell>
          <cell r="Z65">
            <v>1230.5</v>
          </cell>
          <cell r="AA65">
            <v>1232.3</v>
          </cell>
          <cell r="AB65">
            <v>732.9</v>
          </cell>
          <cell r="AD65">
            <v>3.6</v>
          </cell>
          <cell r="AE65">
            <v>1235.5</v>
          </cell>
          <cell r="AF65">
            <v>1236.9000000000001</v>
          </cell>
          <cell r="AG65">
            <v>735</v>
          </cell>
          <cell r="AI65">
            <v>3.2</v>
          </cell>
          <cell r="AK65">
            <v>1910.9365399999999</v>
          </cell>
          <cell r="AM65">
            <v>1625.4177400000001</v>
          </cell>
          <cell r="AO65">
            <v>1742.6843900000001</v>
          </cell>
          <cell r="AP65" t="str">
            <v>Muestra tomada en el elevador</v>
          </cell>
          <cell r="AQ65" t="str">
            <v>-</v>
          </cell>
          <cell r="AR65">
            <v>1860</v>
          </cell>
          <cell r="AS65">
            <v>3.3</v>
          </cell>
          <cell r="AV65">
            <v>2.4660184281048059</v>
          </cell>
          <cell r="BS65">
            <v>2.5910000000000002</v>
          </cell>
        </row>
        <row r="66">
          <cell r="A66">
            <v>64</v>
          </cell>
          <cell r="B66">
            <v>40219</v>
          </cell>
          <cell r="D66">
            <v>1501.7</v>
          </cell>
          <cell r="E66">
            <v>1429.4</v>
          </cell>
          <cell r="G66" t="str">
            <v>Parcheo elaboración de fallos en vías urbanas y rurales del municipio de Medellín.</v>
          </cell>
          <cell r="H66" t="str">
            <v>2/2</v>
          </cell>
          <cell r="I66">
            <v>0</v>
          </cell>
          <cell r="J66">
            <v>209.4</v>
          </cell>
          <cell r="K66">
            <v>202</v>
          </cell>
          <cell r="L66">
            <v>255.9</v>
          </cell>
          <cell r="M66">
            <v>287.39999999999998</v>
          </cell>
          <cell r="N66">
            <v>241.8</v>
          </cell>
          <cell r="O66">
            <v>83.7</v>
          </cell>
          <cell r="P66">
            <v>62</v>
          </cell>
          <cell r="Q66">
            <v>87.2</v>
          </cell>
          <cell r="S66">
            <v>25</v>
          </cell>
          <cell r="T66" t="str">
            <v>1</v>
          </cell>
          <cell r="U66">
            <v>1234.4000000000001</v>
          </cell>
          <cell r="V66">
            <v>1235</v>
          </cell>
          <cell r="W66">
            <v>737.7</v>
          </cell>
          <cell r="Y66">
            <v>3.1</v>
          </cell>
          <cell r="Z66">
            <v>1233.7</v>
          </cell>
          <cell r="AA66">
            <v>1235.0999999999999</v>
          </cell>
          <cell r="AB66">
            <v>735.6</v>
          </cell>
          <cell r="AD66">
            <v>3.4</v>
          </cell>
          <cell r="AE66">
            <v>1232.2</v>
          </cell>
          <cell r="AF66">
            <v>1233</v>
          </cell>
          <cell r="AG66">
            <v>735.1</v>
          </cell>
          <cell r="AI66">
            <v>3.4</v>
          </cell>
          <cell r="AK66">
            <v>1742.6843900000001</v>
          </cell>
          <cell r="AM66">
            <v>1822.2217700000001</v>
          </cell>
          <cell r="AO66">
            <v>1758.9997499999999</v>
          </cell>
          <cell r="AP66" t="str">
            <v>Muestra tomada en la volqueta</v>
          </cell>
          <cell r="AQ66" t="str">
            <v>-</v>
          </cell>
          <cell r="AR66">
            <v>1881</v>
          </cell>
          <cell r="AS66">
            <v>3.3</v>
          </cell>
          <cell r="AV66">
            <v>2.4683814392260786</v>
          </cell>
          <cell r="BS66">
            <v>2.5910000000000002</v>
          </cell>
        </row>
        <row r="67">
          <cell r="A67">
            <v>65</v>
          </cell>
          <cell r="B67">
            <v>40220</v>
          </cell>
          <cell r="D67">
            <v>1501.9</v>
          </cell>
          <cell r="E67">
            <v>1425.6</v>
          </cell>
          <cell r="G67" t="str">
            <v>Parcheo elaboración de fallos en vías urbanas y rurales del municipio de Medellín.</v>
          </cell>
          <cell r="H67" t="str">
            <v>1/2</v>
          </cell>
          <cell r="I67">
            <v>0</v>
          </cell>
          <cell r="J67">
            <v>161.5</v>
          </cell>
          <cell r="K67">
            <v>183.3</v>
          </cell>
          <cell r="L67">
            <v>289.60000000000002</v>
          </cell>
          <cell r="M67">
            <v>310.8</v>
          </cell>
          <cell r="N67">
            <v>235.1</v>
          </cell>
          <cell r="O67">
            <v>80.8</v>
          </cell>
          <cell r="P67">
            <v>72.599999999999994</v>
          </cell>
          <cell r="Q67">
            <v>91.9</v>
          </cell>
          <cell r="S67">
            <v>25</v>
          </cell>
          <cell r="T67" t="str">
            <v>1</v>
          </cell>
          <cell r="U67">
            <v>1236.2</v>
          </cell>
          <cell r="V67">
            <v>1236.8</v>
          </cell>
          <cell r="W67">
            <v>739.3</v>
          </cell>
          <cell r="Y67">
            <v>2.9</v>
          </cell>
          <cell r="Z67">
            <v>1231.2</v>
          </cell>
          <cell r="AA67">
            <v>1232.5</v>
          </cell>
          <cell r="AB67">
            <v>735.2</v>
          </cell>
          <cell r="AD67">
            <v>3</v>
          </cell>
          <cell r="AE67">
            <v>1233.9000000000001</v>
          </cell>
          <cell r="AF67">
            <v>1234.9000000000001</v>
          </cell>
          <cell r="AG67">
            <v>736</v>
          </cell>
          <cell r="AI67">
            <v>3</v>
          </cell>
          <cell r="AK67">
            <v>1809.9852500000002</v>
          </cell>
          <cell r="AM67">
            <v>1696.7974400000001</v>
          </cell>
          <cell r="AO67">
            <v>1474.5006600000002</v>
          </cell>
          <cell r="AP67" t="str">
            <v>Muestra tomada en el elevador</v>
          </cell>
          <cell r="AQ67" t="str">
            <v>-</v>
          </cell>
          <cell r="AR67">
            <v>1762</v>
          </cell>
          <cell r="AS67">
            <v>3</v>
          </cell>
          <cell r="AV67">
            <v>2.470696812961795</v>
          </cell>
          <cell r="BS67">
            <v>2.5910000000000002</v>
          </cell>
        </row>
        <row r="68">
          <cell r="A68">
            <v>66</v>
          </cell>
          <cell r="B68">
            <v>40220</v>
          </cell>
          <cell r="D68">
            <v>1500.4</v>
          </cell>
          <cell r="E68">
            <v>1425.6</v>
          </cell>
          <cell r="G68" t="str">
            <v>Parcheo elaboración de fallos en vías urbanas y rurales del municipio de Medellín.</v>
          </cell>
          <cell r="H68" t="str">
            <v>2/2</v>
          </cell>
          <cell r="I68">
            <v>0</v>
          </cell>
          <cell r="J68">
            <v>195</v>
          </cell>
          <cell r="K68">
            <v>174.5</v>
          </cell>
          <cell r="L68">
            <v>277.5</v>
          </cell>
          <cell r="M68">
            <v>297.39999999999998</v>
          </cell>
          <cell r="N68">
            <v>246.3</v>
          </cell>
          <cell r="O68">
            <v>85.1</v>
          </cell>
          <cell r="P68">
            <v>62.3</v>
          </cell>
          <cell r="Q68">
            <v>87.5</v>
          </cell>
          <cell r="S68">
            <v>25</v>
          </cell>
          <cell r="T68" t="str">
            <v>1</v>
          </cell>
          <cell r="U68">
            <v>1232.4000000000001</v>
          </cell>
          <cell r="V68">
            <v>1233.3</v>
          </cell>
          <cell r="W68">
            <v>734.9</v>
          </cell>
          <cell r="Y68">
            <v>2.8</v>
          </cell>
          <cell r="Z68">
            <v>1230.8</v>
          </cell>
          <cell r="AA68">
            <v>1232.0999999999999</v>
          </cell>
          <cell r="AB68">
            <v>732.5</v>
          </cell>
          <cell r="AD68">
            <v>2.85</v>
          </cell>
          <cell r="AE68">
            <v>1235.0999999999999</v>
          </cell>
          <cell r="AF68">
            <v>1236</v>
          </cell>
          <cell r="AG68">
            <v>732.5</v>
          </cell>
          <cell r="AI68">
            <v>2.7</v>
          </cell>
          <cell r="AK68">
            <v>1543.84094</v>
          </cell>
          <cell r="AM68">
            <v>1523.4467400000001</v>
          </cell>
          <cell r="AO68">
            <v>1523.4467400000001</v>
          </cell>
          <cell r="AP68" t="str">
            <v>Muestra tomada en la volqueta</v>
          </cell>
          <cell r="AQ68" t="str">
            <v>-</v>
          </cell>
          <cell r="AR68">
            <v>1610</v>
          </cell>
          <cell r="AS68">
            <v>2.8</v>
          </cell>
          <cell r="AV68">
            <v>2.4558995323641577</v>
          </cell>
          <cell r="BS68">
            <v>2.5910000000000002</v>
          </cell>
        </row>
        <row r="69">
          <cell r="A69">
            <v>67</v>
          </cell>
          <cell r="B69">
            <v>40221</v>
          </cell>
          <cell r="D69">
            <v>1500.4</v>
          </cell>
          <cell r="E69">
            <v>1428</v>
          </cell>
          <cell r="G69" t="str">
            <v>Parcheo elaboración de fallos en vías urbanas y rurales del municipio de Medellín.</v>
          </cell>
          <cell r="H69" t="str">
            <v>1/2</v>
          </cell>
          <cell r="I69">
            <v>0</v>
          </cell>
          <cell r="J69">
            <v>190.3</v>
          </cell>
          <cell r="K69">
            <v>194.8</v>
          </cell>
          <cell r="L69">
            <v>303.60000000000002</v>
          </cell>
          <cell r="M69">
            <v>292.2</v>
          </cell>
          <cell r="N69">
            <v>218</v>
          </cell>
          <cell r="O69">
            <v>75.099999999999994</v>
          </cell>
          <cell r="P69">
            <v>64.8</v>
          </cell>
          <cell r="Q69">
            <v>89.2</v>
          </cell>
          <cell r="S69">
            <v>25</v>
          </cell>
          <cell r="T69" t="str">
            <v>1</v>
          </cell>
          <cell r="U69">
            <v>1231.3</v>
          </cell>
          <cell r="V69">
            <v>1232.3</v>
          </cell>
          <cell r="W69">
            <v>733.6</v>
          </cell>
          <cell r="Y69">
            <v>3.3</v>
          </cell>
          <cell r="Z69">
            <v>1234.5</v>
          </cell>
          <cell r="AA69">
            <v>1235.7</v>
          </cell>
          <cell r="AB69">
            <v>735.6</v>
          </cell>
          <cell r="AD69">
            <v>3.3</v>
          </cell>
          <cell r="AE69">
            <v>1234.5</v>
          </cell>
          <cell r="AF69">
            <v>1235.3</v>
          </cell>
          <cell r="AG69">
            <v>735.9</v>
          </cell>
          <cell r="AI69">
            <v>3.14</v>
          </cell>
          <cell r="AK69">
            <v>1538.7423900000001</v>
          </cell>
          <cell r="AM69">
            <v>1595.8461500000001</v>
          </cell>
          <cell r="AO69">
            <v>1641.7331000000001</v>
          </cell>
          <cell r="AP69" t="str">
            <v>Muestra tomada en el elevador</v>
          </cell>
          <cell r="AQ69" t="str">
            <v>-</v>
          </cell>
          <cell r="AR69">
            <v>1681</v>
          </cell>
          <cell r="AS69">
            <v>3.2</v>
          </cell>
          <cell r="AV69">
            <v>2.4626064481748791</v>
          </cell>
          <cell r="BS69">
            <v>2.5859999999999999</v>
          </cell>
        </row>
        <row r="70">
          <cell r="A70">
            <v>68</v>
          </cell>
          <cell r="B70">
            <v>40221</v>
          </cell>
          <cell r="D70">
            <v>1500.9</v>
          </cell>
          <cell r="E70">
            <v>1426.4</v>
          </cell>
          <cell r="G70" t="str">
            <v>Parcheo elaboración de fallos en vías urbanas y rurales del municipio de Medellín</v>
          </cell>
          <cell r="H70" t="str">
            <v>2/2</v>
          </cell>
          <cell r="I70">
            <v>0</v>
          </cell>
          <cell r="J70">
            <v>185.4</v>
          </cell>
          <cell r="K70">
            <v>186.3</v>
          </cell>
          <cell r="L70">
            <v>319.89999999999998</v>
          </cell>
          <cell r="M70">
            <v>281.2</v>
          </cell>
          <cell r="N70">
            <v>223.2</v>
          </cell>
          <cell r="O70">
            <v>77.7</v>
          </cell>
          <cell r="P70">
            <v>70.599999999999994</v>
          </cell>
          <cell r="Q70">
            <v>82.1</v>
          </cell>
          <cell r="S70">
            <v>25</v>
          </cell>
          <cell r="T70" t="str">
            <v>1</v>
          </cell>
          <cell r="U70">
            <v>1229.8</v>
          </cell>
          <cell r="V70">
            <v>1231.3</v>
          </cell>
          <cell r="W70">
            <v>731.3</v>
          </cell>
          <cell r="Y70">
            <v>3</v>
          </cell>
          <cell r="Z70">
            <v>1229.0999999999999</v>
          </cell>
          <cell r="AA70">
            <v>1229.8</v>
          </cell>
          <cell r="AB70">
            <v>733</v>
          </cell>
          <cell r="AD70">
            <v>2.8</v>
          </cell>
          <cell r="AE70">
            <v>1236.2</v>
          </cell>
          <cell r="AF70">
            <v>1238</v>
          </cell>
          <cell r="AG70">
            <v>735.7</v>
          </cell>
          <cell r="AI70">
            <v>3.6</v>
          </cell>
          <cell r="AK70">
            <v>1455.12617</v>
          </cell>
          <cell r="AM70">
            <v>1601.96441</v>
          </cell>
          <cell r="AO70">
            <v>1689.6594700000001</v>
          </cell>
          <cell r="AP70" t="str">
            <v>Muestra tomada en la volqueta</v>
          </cell>
          <cell r="AQ70" t="str">
            <v>-</v>
          </cell>
          <cell r="AR70">
            <v>1669</v>
          </cell>
          <cell r="AS70">
            <v>3.1</v>
          </cell>
          <cell r="AV70">
            <v>2.4576944392543081</v>
          </cell>
          <cell r="BS70">
            <v>2.5859999999999999</v>
          </cell>
        </row>
        <row r="71">
          <cell r="A71">
            <v>69</v>
          </cell>
          <cell r="B71">
            <v>40224</v>
          </cell>
          <cell r="D71">
            <v>1500.4</v>
          </cell>
          <cell r="E71">
            <v>1421.1</v>
          </cell>
          <cell r="G71" t="str">
            <v>Parcheo elaboración de fallos en vías urbanas y rurales del municipio de Medellín; Obra las Palmas. Estyma S.A.; Magma.</v>
          </cell>
          <cell r="H71" t="str">
            <v>1/2</v>
          </cell>
          <cell r="I71">
            <v>0</v>
          </cell>
          <cell r="J71">
            <v>155.5</v>
          </cell>
          <cell r="K71">
            <v>163.80000000000001</v>
          </cell>
          <cell r="L71">
            <v>328.9</v>
          </cell>
          <cell r="M71">
            <v>252.7</v>
          </cell>
          <cell r="N71">
            <v>267.2</v>
          </cell>
          <cell r="O71">
            <v>89.6</v>
          </cell>
          <cell r="P71">
            <v>74.5</v>
          </cell>
          <cell r="Q71">
            <v>88.9</v>
          </cell>
          <cell r="S71">
            <v>25</v>
          </cell>
          <cell r="T71" t="str">
            <v>1</v>
          </cell>
          <cell r="U71">
            <v>1235.9000000000001</v>
          </cell>
          <cell r="V71">
            <v>1237.4000000000001</v>
          </cell>
          <cell r="W71">
            <v>734.7</v>
          </cell>
          <cell r="Y71">
            <v>3.2</v>
          </cell>
          <cell r="Z71">
            <v>1236.5</v>
          </cell>
          <cell r="AA71">
            <v>1237.8</v>
          </cell>
          <cell r="AB71">
            <v>734.2</v>
          </cell>
          <cell r="AD71">
            <v>3.3</v>
          </cell>
          <cell r="AE71">
            <v>1234.5</v>
          </cell>
          <cell r="AF71">
            <v>1236.8</v>
          </cell>
          <cell r="AG71">
            <v>730.7</v>
          </cell>
          <cell r="AI71">
            <v>3.1</v>
          </cell>
          <cell r="AK71">
            <v>1511.2102200000002</v>
          </cell>
          <cell r="AM71">
            <v>1620.3191900000002</v>
          </cell>
          <cell r="AO71">
            <v>1421.4757400000001</v>
          </cell>
          <cell r="AP71" t="str">
            <v>Muestra tomada en el elevador</v>
          </cell>
          <cell r="AQ71" t="str">
            <v>-</v>
          </cell>
          <cell r="AR71">
            <v>1578</v>
          </cell>
          <cell r="AS71">
            <v>3.2</v>
          </cell>
          <cell r="AV71">
            <v>2.4438597106295799</v>
          </cell>
          <cell r="BS71">
            <v>2.577</v>
          </cell>
        </row>
        <row r="72">
          <cell r="A72">
            <v>70</v>
          </cell>
          <cell r="B72">
            <v>40224</v>
          </cell>
          <cell r="D72">
            <v>1501</v>
          </cell>
          <cell r="E72">
            <v>1427</v>
          </cell>
          <cell r="G72" t="str">
            <v>Parcheo elaboración de fallos en vías urbanas y rurales del municipio de Medellín; Obra las Palmas. Estyma S.A.; Magma.</v>
          </cell>
          <cell r="H72" t="str">
            <v>2/2</v>
          </cell>
          <cell r="I72">
            <v>0</v>
          </cell>
          <cell r="J72">
            <v>156.4</v>
          </cell>
          <cell r="K72">
            <v>179</v>
          </cell>
          <cell r="L72">
            <v>314.60000000000002</v>
          </cell>
          <cell r="M72">
            <v>298.3</v>
          </cell>
          <cell r="N72">
            <v>240.6</v>
          </cell>
          <cell r="O72">
            <v>88.8</v>
          </cell>
          <cell r="P72">
            <v>63.5</v>
          </cell>
          <cell r="Q72">
            <v>85.8</v>
          </cell>
          <cell r="S72">
            <v>25</v>
          </cell>
          <cell r="T72" t="str">
            <v>1</v>
          </cell>
          <cell r="U72">
            <v>1236.7</v>
          </cell>
          <cell r="V72">
            <v>1237.3</v>
          </cell>
          <cell r="W72">
            <v>737.5</v>
          </cell>
          <cell r="Y72">
            <v>3.1</v>
          </cell>
          <cell r="Z72">
            <v>1233.0999999999999</v>
          </cell>
          <cell r="AA72">
            <v>1234.4000000000001</v>
          </cell>
          <cell r="AB72">
            <v>733.2</v>
          </cell>
          <cell r="AD72">
            <v>3</v>
          </cell>
          <cell r="AE72">
            <v>1232.5999999999999</v>
          </cell>
          <cell r="AF72">
            <v>1233.5999999999999</v>
          </cell>
          <cell r="AG72">
            <v>732.5</v>
          </cell>
          <cell r="AI72">
            <v>3.2</v>
          </cell>
          <cell r="AK72">
            <v>1648.8710700000001</v>
          </cell>
          <cell r="AM72">
            <v>1540.78181</v>
          </cell>
          <cell r="AO72">
            <v>1483.6780500000002</v>
          </cell>
          <cell r="AP72" t="str">
            <v>Muestra tomada en la volqueta</v>
          </cell>
          <cell r="AQ72" t="str">
            <v>-</v>
          </cell>
          <cell r="AR72">
            <v>1638</v>
          </cell>
          <cell r="AS72">
            <v>3.1</v>
          </cell>
          <cell r="AV72">
            <v>2.4576148925183725</v>
          </cell>
          <cell r="BS72">
            <v>2.577</v>
          </cell>
        </row>
        <row r="73">
          <cell r="A73">
            <v>71</v>
          </cell>
          <cell r="B73">
            <v>40225</v>
          </cell>
          <cell r="D73">
            <v>1501.1</v>
          </cell>
          <cell r="E73">
            <v>1425.2</v>
          </cell>
          <cell r="G73" t="str">
            <v>Parcheo elaboración de fallos en vías urbanas y rurales del municipio de Medellín; Obra las Palmas. Estyma S.A.; Magma.</v>
          </cell>
          <cell r="H73" t="str">
            <v>1/2</v>
          </cell>
          <cell r="I73">
            <v>0</v>
          </cell>
          <cell r="J73">
            <v>172.1</v>
          </cell>
          <cell r="K73">
            <v>213.7</v>
          </cell>
          <cell r="L73">
            <v>282.2</v>
          </cell>
          <cell r="M73">
            <v>280.2</v>
          </cell>
          <cell r="N73">
            <v>237.2</v>
          </cell>
          <cell r="O73">
            <v>79.5</v>
          </cell>
          <cell r="P73">
            <v>73.8</v>
          </cell>
          <cell r="Q73">
            <v>86.5</v>
          </cell>
          <cell r="S73">
            <v>25</v>
          </cell>
          <cell r="T73" t="str">
            <v>1</v>
          </cell>
          <cell r="U73">
            <v>1230.7</v>
          </cell>
          <cell r="V73">
            <v>1232.2</v>
          </cell>
          <cell r="W73">
            <v>733.9</v>
          </cell>
          <cell r="Y73">
            <v>3</v>
          </cell>
          <cell r="Z73">
            <v>1227.5999999999999</v>
          </cell>
          <cell r="AA73">
            <v>1228.9000000000001</v>
          </cell>
          <cell r="AB73">
            <v>733</v>
          </cell>
          <cell r="AD73">
            <v>3.4</v>
          </cell>
          <cell r="AE73">
            <v>1229.7</v>
          </cell>
          <cell r="AF73">
            <v>1231.0999999999999</v>
          </cell>
          <cell r="AG73">
            <v>730.2</v>
          </cell>
          <cell r="AI73">
            <v>3.4</v>
          </cell>
          <cell r="AK73">
            <v>1663.1470099999999</v>
          </cell>
          <cell r="AM73">
            <v>1792.6501799999999</v>
          </cell>
          <cell r="AO73">
            <v>1460.2247200000002</v>
          </cell>
          <cell r="AP73" t="str">
            <v>Muestra tomada en el elevador</v>
          </cell>
          <cell r="AQ73" t="str">
            <v>-</v>
          </cell>
          <cell r="AR73">
            <v>1737</v>
          </cell>
          <cell r="AS73">
            <v>3.3</v>
          </cell>
          <cell r="AV73">
            <v>2.4595438753498668</v>
          </cell>
          <cell r="BS73">
            <v>2.5737999999999999</v>
          </cell>
        </row>
        <row r="74">
          <cell r="A74">
            <v>72</v>
          </cell>
          <cell r="B74">
            <v>40225</v>
          </cell>
          <cell r="D74">
            <v>1501.3</v>
          </cell>
          <cell r="E74">
            <v>1426.8</v>
          </cell>
          <cell r="G74" t="str">
            <v>Parcheo elaboración de fallos en vías urbanas y rurales del municipio de Medellín; Obra las Palmas. Estyma S.A.; Magma.</v>
          </cell>
          <cell r="H74" t="str">
            <v>2/2</v>
          </cell>
          <cell r="I74">
            <v>0</v>
          </cell>
          <cell r="J74">
            <v>205.2</v>
          </cell>
          <cell r="K74">
            <v>160.30000000000001</v>
          </cell>
          <cell r="L74">
            <v>308.60000000000002</v>
          </cell>
          <cell r="M74">
            <v>285.8</v>
          </cell>
          <cell r="N74">
            <v>224.4</v>
          </cell>
          <cell r="O74">
            <v>79.7</v>
          </cell>
          <cell r="P74">
            <v>70.7</v>
          </cell>
          <cell r="Q74">
            <v>92.1</v>
          </cell>
          <cell r="S74">
            <v>25</v>
          </cell>
          <cell r="T74" t="str">
            <v>1</v>
          </cell>
          <cell r="U74">
            <v>1234.9000000000001</v>
          </cell>
          <cell r="V74">
            <v>1235.5</v>
          </cell>
          <cell r="W74">
            <v>739</v>
          </cell>
          <cell r="Y74">
            <v>3.1</v>
          </cell>
          <cell r="Z74">
            <v>1235</v>
          </cell>
          <cell r="AA74">
            <v>1235.8</v>
          </cell>
          <cell r="AB74">
            <v>734.5</v>
          </cell>
          <cell r="AD74">
            <v>3.1</v>
          </cell>
          <cell r="AE74">
            <v>1236.5999999999999</v>
          </cell>
          <cell r="AF74">
            <v>1237.8</v>
          </cell>
          <cell r="AG74">
            <v>738.4</v>
          </cell>
          <cell r="AI74">
            <v>3.1</v>
          </cell>
          <cell r="AK74">
            <v>1794.6896000000002</v>
          </cell>
          <cell r="AM74">
            <v>1422.4954499999999</v>
          </cell>
          <cell r="AO74">
            <v>1789.5910500000002</v>
          </cell>
          <cell r="AP74" t="str">
            <v>Muestra tomada en la volqueta</v>
          </cell>
          <cell r="AQ74" t="str">
            <v>-</v>
          </cell>
          <cell r="AR74">
            <v>1765</v>
          </cell>
          <cell r="AS74">
            <v>3.1</v>
          </cell>
          <cell r="AV74">
            <v>2.4684175421803816</v>
          </cell>
          <cell r="BS74">
            <v>2.5785999999999998</v>
          </cell>
        </row>
        <row r="75">
          <cell r="A75">
            <v>73</v>
          </cell>
          <cell r="B75">
            <v>40226</v>
          </cell>
          <cell r="D75">
            <v>1501.1</v>
          </cell>
          <cell r="E75">
            <v>1429.5</v>
          </cell>
          <cell r="G75" t="str">
            <v>Parcheo elaboración de fallos en vías urbanas y rurales del municipio de Medellín; Obra las Palmas. Estyma S.A.</v>
          </cell>
          <cell r="H75" t="str">
            <v>1/2</v>
          </cell>
          <cell r="I75">
            <v>0</v>
          </cell>
          <cell r="J75">
            <v>218.8</v>
          </cell>
          <cell r="K75">
            <v>196.1</v>
          </cell>
          <cell r="L75">
            <v>297.60000000000002</v>
          </cell>
          <cell r="M75">
            <v>269</v>
          </cell>
          <cell r="N75">
            <v>216.7</v>
          </cell>
          <cell r="O75">
            <v>78.599999999999994</v>
          </cell>
          <cell r="P75">
            <v>68</v>
          </cell>
          <cell r="Q75">
            <v>84.7</v>
          </cell>
          <cell r="S75">
            <v>25</v>
          </cell>
          <cell r="T75" t="str">
            <v>1</v>
          </cell>
          <cell r="U75">
            <v>1234.5</v>
          </cell>
          <cell r="V75">
            <v>1235.0999999999999</v>
          </cell>
          <cell r="W75">
            <v>734.4</v>
          </cell>
          <cell r="Y75">
            <v>3.2</v>
          </cell>
          <cell r="Z75">
            <v>1237.3</v>
          </cell>
          <cell r="AA75">
            <v>1238.0999999999999</v>
          </cell>
          <cell r="AB75">
            <v>734.2</v>
          </cell>
          <cell r="AD75">
            <v>3.1</v>
          </cell>
          <cell r="AE75">
            <v>1232.4000000000001</v>
          </cell>
          <cell r="AF75">
            <v>1234.5</v>
          </cell>
          <cell r="AG75">
            <v>729.7</v>
          </cell>
          <cell r="AI75">
            <v>3</v>
          </cell>
          <cell r="AK75">
            <v>1880.3452400000001</v>
          </cell>
          <cell r="AM75">
            <v>1643.7725200000002</v>
          </cell>
          <cell r="AO75">
            <v>1560.1563000000001</v>
          </cell>
          <cell r="AP75" t="str">
            <v>Muestra tomada en el elevador</v>
          </cell>
          <cell r="AQ75" t="str">
            <v>-</v>
          </cell>
          <cell r="AR75">
            <v>1768</v>
          </cell>
          <cell r="AS75">
            <v>3.1</v>
          </cell>
          <cell r="AV75">
            <v>2.4469412529443235</v>
          </cell>
          <cell r="BS75">
            <v>2.5720000000000001</v>
          </cell>
        </row>
        <row r="76">
          <cell r="A76">
            <v>74</v>
          </cell>
          <cell r="B76">
            <v>40226</v>
          </cell>
          <cell r="D76">
            <v>1502.9</v>
          </cell>
          <cell r="E76">
            <v>1432.5</v>
          </cell>
          <cell r="G76" t="str">
            <v>Parcheo elaboración de fallos en vías urbanas y rurales del municipio de Medellín; Obra las Palmas. Estyma S.A.</v>
          </cell>
          <cell r="H76" t="str">
            <v>2/2</v>
          </cell>
          <cell r="I76">
            <v>0</v>
          </cell>
          <cell r="J76">
            <v>146.19999999999999</v>
          </cell>
          <cell r="K76">
            <v>199.6</v>
          </cell>
          <cell r="L76">
            <v>356.2</v>
          </cell>
          <cell r="M76">
            <v>278.5</v>
          </cell>
          <cell r="N76">
            <v>214.6</v>
          </cell>
          <cell r="O76">
            <v>84.8</v>
          </cell>
          <cell r="P76">
            <v>66.3</v>
          </cell>
          <cell r="Q76">
            <v>86.3</v>
          </cell>
          <cell r="S76">
            <v>25</v>
          </cell>
          <cell r="T76" t="str">
            <v>1</v>
          </cell>
          <cell r="U76">
            <v>1233.8</v>
          </cell>
          <cell r="V76">
            <v>1235.2</v>
          </cell>
          <cell r="W76">
            <v>733.9</v>
          </cell>
          <cell r="Y76">
            <v>3.3</v>
          </cell>
          <cell r="Z76">
            <v>1235.8</v>
          </cell>
          <cell r="AA76">
            <v>1237.5</v>
          </cell>
          <cell r="AB76">
            <v>731.2</v>
          </cell>
          <cell r="AD76">
            <v>3</v>
          </cell>
          <cell r="AE76">
            <v>1229.2</v>
          </cell>
          <cell r="AF76">
            <v>1231.5</v>
          </cell>
          <cell r="AG76">
            <v>730</v>
          </cell>
          <cell r="AI76">
            <v>3.6</v>
          </cell>
          <cell r="AK76">
            <v>1865.0495900000001</v>
          </cell>
          <cell r="AM76">
            <v>1605.0235400000001</v>
          </cell>
          <cell r="AO76">
            <v>1687.6200500000002</v>
          </cell>
          <cell r="AP76" t="str">
            <v>Muestra tomada en la volqueta</v>
          </cell>
          <cell r="AQ76" t="str">
            <v>-</v>
          </cell>
          <cell r="AR76">
            <v>1794</v>
          </cell>
          <cell r="AS76">
            <v>3.3</v>
          </cell>
          <cell r="AV76">
            <v>2.4438617628238011</v>
          </cell>
          <cell r="BS76">
            <v>2.5720000000000001</v>
          </cell>
        </row>
        <row r="77">
          <cell r="A77">
            <v>75</v>
          </cell>
          <cell r="B77">
            <v>40227</v>
          </cell>
          <cell r="D77">
            <v>1501</v>
          </cell>
          <cell r="E77">
            <v>1422.3</v>
          </cell>
          <cell r="G77" t="str">
            <v>Parcheo elaboración de fallos en vías urbanas y rurales del municipio de Medellín; Obra las Palmas. Estyma S.A.; Magma.</v>
          </cell>
          <cell r="H77" t="str">
            <v>1/2</v>
          </cell>
          <cell r="I77">
            <v>0</v>
          </cell>
          <cell r="J77">
            <v>153.1</v>
          </cell>
          <cell r="K77">
            <v>219.1</v>
          </cell>
          <cell r="L77">
            <v>263.60000000000002</v>
          </cell>
          <cell r="M77">
            <v>298.5</v>
          </cell>
          <cell r="N77">
            <v>248.2</v>
          </cell>
          <cell r="O77">
            <v>86.9</v>
          </cell>
          <cell r="P77">
            <v>65</v>
          </cell>
          <cell r="Q77">
            <v>87.9</v>
          </cell>
          <cell r="S77">
            <v>25</v>
          </cell>
          <cell r="T77" t="str">
            <v>1</v>
          </cell>
          <cell r="U77">
            <v>1232.9000000000001</v>
          </cell>
          <cell r="V77">
            <v>1235.3</v>
          </cell>
          <cell r="W77">
            <v>733.4</v>
          </cell>
          <cell r="Y77">
            <v>3</v>
          </cell>
          <cell r="Z77">
            <v>1230.3</v>
          </cell>
          <cell r="AA77">
            <v>1233.8</v>
          </cell>
          <cell r="AB77">
            <v>730.9</v>
          </cell>
          <cell r="AD77">
            <v>3.7</v>
          </cell>
          <cell r="AE77">
            <v>1229.0999999999999</v>
          </cell>
          <cell r="AF77">
            <v>1230.8</v>
          </cell>
          <cell r="AG77">
            <v>729.7</v>
          </cell>
          <cell r="AI77">
            <v>3.5</v>
          </cell>
          <cell r="AK77">
            <v>1711.0733800000003</v>
          </cell>
          <cell r="AM77">
            <v>1480.6189200000001</v>
          </cell>
          <cell r="AO77">
            <v>1501.0131200000001</v>
          </cell>
          <cell r="AP77" t="str">
            <v>Muestra tomada en el elevador</v>
          </cell>
          <cell r="AQ77" t="str">
            <v>-</v>
          </cell>
          <cell r="AR77">
            <v>1638</v>
          </cell>
          <cell r="AS77">
            <v>3.4</v>
          </cell>
          <cell r="AV77">
            <v>2.4447215719855691</v>
          </cell>
          <cell r="BS77">
            <v>2.581</v>
          </cell>
        </row>
        <row r="78">
          <cell r="A78">
            <v>76</v>
          </cell>
          <cell r="B78">
            <v>40227</v>
          </cell>
          <cell r="D78">
            <v>1500.8</v>
          </cell>
          <cell r="E78">
            <v>1430</v>
          </cell>
          <cell r="G78" t="str">
            <v>Parcheo elaboración de fallos en vías urbanas y rurales del municipio de Medellín; Obra las Palmas. Estyma S.A.; Magma.</v>
          </cell>
          <cell r="H78" t="str">
            <v>2/2</v>
          </cell>
          <cell r="I78">
            <v>0</v>
          </cell>
          <cell r="J78">
            <v>173.6</v>
          </cell>
          <cell r="K78">
            <v>230.5</v>
          </cell>
          <cell r="L78">
            <v>297</v>
          </cell>
          <cell r="M78">
            <v>244.8</v>
          </cell>
          <cell r="N78">
            <v>237</v>
          </cell>
          <cell r="O78">
            <v>87.3</v>
          </cell>
          <cell r="P78">
            <v>69.5</v>
          </cell>
          <cell r="Q78">
            <v>90.3</v>
          </cell>
          <cell r="S78">
            <v>25</v>
          </cell>
          <cell r="T78" t="str">
            <v>1</v>
          </cell>
          <cell r="U78">
            <v>1237</v>
          </cell>
          <cell r="V78">
            <v>1237.7</v>
          </cell>
          <cell r="W78">
            <v>735.3</v>
          </cell>
          <cell r="Y78">
            <v>3.2</v>
          </cell>
          <cell r="Z78">
            <v>1233.5999999999999</v>
          </cell>
          <cell r="AA78">
            <v>1235.2</v>
          </cell>
          <cell r="AB78">
            <v>735.8</v>
          </cell>
          <cell r="AD78">
            <v>3.6</v>
          </cell>
          <cell r="AE78">
            <v>1235.0999999999999</v>
          </cell>
          <cell r="AF78">
            <v>1236.2</v>
          </cell>
          <cell r="AG78">
            <v>738.9</v>
          </cell>
          <cell r="AI78">
            <v>3.5</v>
          </cell>
          <cell r="AK78">
            <v>1890.54234</v>
          </cell>
          <cell r="AM78">
            <v>1753.9012</v>
          </cell>
          <cell r="AO78">
            <v>1956.8234900000002</v>
          </cell>
          <cell r="AP78" t="str">
            <v>Muestra tomada en la volqueta</v>
          </cell>
          <cell r="AQ78" t="str">
            <v>-</v>
          </cell>
          <cell r="AR78">
            <v>1969</v>
          </cell>
          <cell r="AS78">
            <v>3.4</v>
          </cell>
          <cell r="AV78">
            <v>2.464755184306306</v>
          </cell>
          <cell r="BS78">
            <v>2.581</v>
          </cell>
        </row>
        <row r="79">
          <cell r="A79">
            <v>77</v>
          </cell>
          <cell r="B79">
            <v>40228</v>
          </cell>
          <cell r="D79">
            <v>1500.6</v>
          </cell>
          <cell r="E79">
            <v>1426.6</v>
          </cell>
          <cell r="G79" t="str">
            <v>Parcheo elaboración de fallos en vías urbanas y rurales del municipio de Medellín; Obra las Palmas. Estyma S.A.</v>
          </cell>
          <cell r="H79" t="str">
            <v>1/2</v>
          </cell>
          <cell r="I79">
            <v>0</v>
          </cell>
          <cell r="J79">
            <v>172.6</v>
          </cell>
          <cell r="K79">
            <v>193.8</v>
          </cell>
          <cell r="L79">
            <v>312</v>
          </cell>
          <cell r="M79">
            <v>279.8</v>
          </cell>
          <cell r="N79">
            <v>227.1</v>
          </cell>
          <cell r="O79">
            <v>78.400000000000006</v>
          </cell>
          <cell r="P79">
            <v>73.7</v>
          </cell>
          <cell r="Q79">
            <v>89.2</v>
          </cell>
          <cell r="S79">
            <v>25</v>
          </cell>
          <cell r="T79" t="str">
            <v>1</v>
          </cell>
          <cell r="U79">
            <v>1234.7</v>
          </cell>
          <cell r="V79">
            <v>1235.5</v>
          </cell>
          <cell r="W79">
            <v>735.6</v>
          </cell>
          <cell r="Y79">
            <v>3.6</v>
          </cell>
          <cell r="Z79">
            <v>1232.0999999999999</v>
          </cell>
          <cell r="AA79">
            <v>1233.2</v>
          </cell>
          <cell r="AB79">
            <v>733.1</v>
          </cell>
          <cell r="AD79">
            <v>3.5</v>
          </cell>
          <cell r="AE79">
            <v>1228.5999999999999</v>
          </cell>
          <cell r="AF79">
            <v>1229.5999999999999</v>
          </cell>
          <cell r="AG79">
            <v>731</v>
          </cell>
          <cell r="AI79">
            <v>3.4</v>
          </cell>
          <cell r="AK79">
            <v>1625.4177400000001</v>
          </cell>
          <cell r="AM79">
            <v>1487.7568900000001</v>
          </cell>
          <cell r="AO79">
            <v>1738.6055500000002</v>
          </cell>
          <cell r="AP79" t="str">
            <v>Muestra tomada en el elevador</v>
          </cell>
          <cell r="AQ79" t="str">
            <v>-</v>
          </cell>
          <cell r="AR79">
            <v>1707</v>
          </cell>
          <cell r="AS79">
            <v>3.5</v>
          </cell>
          <cell r="AV79">
            <v>2.458687480430001</v>
          </cell>
          <cell r="BS79">
            <v>2.5760000000000001</v>
          </cell>
        </row>
        <row r="80">
          <cell r="A80">
            <v>78</v>
          </cell>
          <cell r="B80">
            <v>40228</v>
          </cell>
          <cell r="D80">
            <v>1500.8</v>
          </cell>
          <cell r="E80">
            <v>1427.9</v>
          </cell>
          <cell r="G80" t="str">
            <v>Parcheo elaboración de fallos en vías urbanas y rurales del municipio de Medellín; Obra las Palmas. Estyma S.A.</v>
          </cell>
          <cell r="H80" t="str">
            <v>2/2</v>
          </cell>
          <cell r="I80">
            <v>0</v>
          </cell>
          <cell r="J80">
            <v>213.9</v>
          </cell>
          <cell r="K80">
            <v>195.8</v>
          </cell>
          <cell r="L80">
            <v>250.1</v>
          </cell>
          <cell r="M80">
            <v>284.2</v>
          </cell>
          <cell r="N80">
            <v>245.3</v>
          </cell>
          <cell r="O80">
            <v>85</v>
          </cell>
          <cell r="P80">
            <v>63.8</v>
          </cell>
          <cell r="Q80">
            <v>89.8</v>
          </cell>
          <cell r="S80">
            <v>25</v>
          </cell>
          <cell r="T80" t="str">
            <v>1</v>
          </cell>
          <cell r="U80">
            <v>1232.7</v>
          </cell>
          <cell r="V80">
            <v>1233</v>
          </cell>
          <cell r="W80">
            <v>735.2</v>
          </cell>
          <cell r="Y80">
            <v>3.1</v>
          </cell>
          <cell r="Z80">
            <v>1338.3</v>
          </cell>
          <cell r="AA80">
            <v>1328.9</v>
          </cell>
          <cell r="AB80">
            <v>782.66</v>
          </cell>
          <cell r="AD80">
            <v>3.5</v>
          </cell>
          <cell r="AE80">
            <v>1233</v>
          </cell>
          <cell r="AF80">
            <v>1233.5999999999999</v>
          </cell>
          <cell r="AG80">
            <v>733.3</v>
          </cell>
          <cell r="AI80">
            <v>3.5</v>
          </cell>
          <cell r="AK80">
            <v>1629.49658</v>
          </cell>
          <cell r="AM80">
            <v>1939.4884200000001</v>
          </cell>
          <cell r="AO80">
            <v>1718.2113500000003</v>
          </cell>
          <cell r="AP80" t="str">
            <v>Muestra tomada en la volqueta</v>
          </cell>
          <cell r="AQ80" t="str">
            <v>-</v>
          </cell>
          <cell r="AR80">
            <v>1768</v>
          </cell>
          <cell r="AS80">
            <v>3.4</v>
          </cell>
          <cell r="AV80">
            <v>2.4564069175765693</v>
          </cell>
          <cell r="BS80">
            <v>2.5760000000000001</v>
          </cell>
        </row>
        <row r="81">
          <cell r="A81">
            <v>79</v>
          </cell>
          <cell r="B81">
            <v>40229</v>
          </cell>
          <cell r="D81">
            <v>1501.1</v>
          </cell>
          <cell r="E81">
            <v>1422.3</v>
          </cell>
          <cell r="G81" t="str">
            <v>Parcheo elaboración de fallos en vías urbanas y rurales del municipio de Medellín; Obra las Palmas. Estyma S.A.</v>
          </cell>
          <cell r="H81" t="str">
            <v>1/2</v>
          </cell>
          <cell r="I81">
            <v>0</v>
          </cell>
          <cell r="J81">
            <v>154.4</v>
          </cell>
          <cell r="K81">
            <v>175.6</v>
          </cell>
          <cell r="L81">
            <v>267.7</v>
          </cell>
          <cell r="M81">
            <v>333.3</v>
          </cell>
          <cell r="N81">
            <v>242.1</v>
          </cell>
          <cell r="O81">
            <v>82.7</v>
          </cell>
          <cell r="P81">
            <v>78.900000000000006</v>
          </cell>
          <cell r="Q81">
            <v>87.6</v>
          </cell>
          <cell r="S81">
            <v>25</v>
          </cell>
          <cell r="T81" t="str">
            <v>1</v>
          </cell>
          <cell r="U81">
            <v>1235.5</v>
          </cell>
          <cell r="V81">
            <v>1239.4000000000001</v>
          </cell>
          <cell r="W81">
            <v>738.7</v>
          </cell>
          <cell r="Y81">
            <v>3.2</v>
          </cell>
          <cell r="Z81">
            <v>1237.2</v>
          </cell>
          <cell r="AA81">
            <v>1238.4000000000001</v>
          </cell>
          <cell r="AB81">
            <v>737.5</v>
          </cell>
          <cell r="AD81">
            <v>3.1</v>
          </cell>
          <cell r="AE81">
            <v>1234.7</v>
          </cell>
          <cell r="AF81">
            <v>1236.0999999999999</v>
          </cell>
          <cell r="AG81">
            <v>734.7</v>
          </cell>
          <cell r="AI81">
            <v>3.2</v>
          </cell>
          <cell r="AK81">
            <v>1853.83278</v>
          </cell>
          <cell r="AM81">
            <v>1723.3099</v>
          </cell>
          <cell r="AO81">
            <v>1700.87628</v>
          </cell>
          <cell r="AP81" t="str">
            <v>Muestra tomada en el elevador</v>
          </cell>
          <cell r="AQ81" t="str">
            <v>-</v>
          </cell>
          <cell r="AR81">
            <v>1848</v>
          </cell>
          <cell r="AS81">
            <v>3.2</v>
          </cell>
          <cell r="AV81">
            <v>2.4594531639673392</v>
          </cell>
          <cell r="BS81">
            <v>2.573</v>
          </cell>
        </row>
        <row r="82">
          <cell r="A82">
            <v>80</v>
          </cell>
          <cell r="B82">
            <v>40229</v>
          </cell>
          <cell r="D82">
            <v>1501</v>
          </cell>
          <cell r="E82">
            <v>1424.2</v>
          </cell>
          <cell r="G82" t="str">
            <v>Parcheo elaboración de fallos en vías urbanas y rurales del municipio de Medellín; Obra las Palmas. Estyma S.A.</v>
          </cell>
          <cell r="H82" t="str">
            <v>2/2</v>
          </cell>
          <cell r="I82">
            <v>0</v>
          </cell>
          <cell r="J82">
            <v>174.1</v>
          </cell>
          <cell r="K82">
            <v>197.4</v>
          </cell>
          <cell r="L82">
            <v>258.39999999999998</v>
          </cell>
          <cell r="M82">
            <v>324</v>
          </cell>
          <cell r="N82">
            <v>241.7</v>
          </cell>
          <cell r="O82">
            <v>82.3</v>
          </cell>
          <cell r="P82">
            <v>63.2</v>
          </cell>
          <cell r="Q82">
            <v>83.1</v>
          </cell>
          <cell r="S82">
            <v>25</v>
          </cell>
          <cell r="T82" t="str">
            <v>1</v>
          </cell>
          <cell r="U82">
            <v>1234.0999999999999</v>
          </cell>
          <cell r="V82">
            <v>1235.2</v>
          </cell>
          <cell r="W82">
            <v>729.2</v>
          </cell>
          <cell r="Y82">
            <v>3.5</v>
          </cell>
          <cell r="Z82">
            <v>1234.2</v>
          </cell>
          <cell r="AA82">
            <v>1235.5999999999999</v>
          </cell>
          <cell r="AB82">
            <v>729.7</v>
          </cell>
          <cell r="AD82">
            <v>3.4</v>
          </cell>
          <cell r="AE82">
            <v>1230</v>
          </cell>
          <cell r="AF82">
            <v>1232.5999999999999</v>
          </cell>
          <cell r="AG82">
            <v>723.7</v>
          </cell>
          <cell r="AI82">
            <v>3.5</v>
          </cell>
          <cell r="AK82">
            <v>1636.6345500000002</v>
          </cell>
          <cell r="AM82">
            <v>1673.34411</v>
          </cell>
          <cell r="AO82">
            <v>1462.26414</v>
          </cell>
          <cell r="AP82" t="str">
            <v>Muestra tomada en la volqueta</v>
          </cell>
          <cell r="AQ82" t="str">
            <v>-</v>
          </cell>
          <cell r="AR82">
            <v>1639</v>
          </cell>
          <cell r="AS82">
            <v>3.5</v>
          </cell>
          <cell r="AV82">
            <v>2.4247279226471856</v>
          </cell>
          <cell r="BS82">
            <v>2.573</v>
          </cell>
        </row>
        <row r="83">
          <cell r="A83">
            <v>81</v>
          </cell>
          <cell r="B83">
            <v>40230</v>
          </cell>
          <cell r="D83">
            <v>1501.1</v>
          </cell>
          <cell r="E83">
            <v>1423.3</v>
          </cell>
          <cell r="G83" t="str">
            <v>Parcheo elaboración de fallos en vías urbanas y rurales del municipio de Medellín.</v>
          </cell>
          <cell r="H83" t="str">
            <v>1/1</v>
          </cell>
          <cell r="I83">
            <v>0</v>
          </cell>
          <cell r="J83">
            <v>168.6</v>
          </cell>
          <cell r="K83">
            <v>157.4</v>
          </cell>
          <cell r="L83">
            <v>301.89999999999998</v>
          </cell>
          <cell r="M83">
            <v>317.7</v>
          </cell>
          <cell r="N83">
            <v>234.1</v>
          </cell>
          <cell r="O83">
            <v>74.900000000000006</v>
          </cell>
          <cell r="P83">
            <v>74.599999999999994</v>
          </cell>
          <cell r="Q83">
            <v>94.1</v>
          </cell>
          <cell r="S83">
            <v>25</v>
          </cell>
          <cell r="T83" t="str">
            <v>1</v>
          </cell>
          <cell r="U83">
            <v>1233.5</v>
          </cell>
          <cell r="V83">
            <v>1235.5</v>
          </cell>
          <cell r="W83">
            <v>733.9</v>
          </cell>
          <cell r="Y83">
            <v>3.4</v>
          </cell>
          <cell r="Z83">
            <v>1236.5999999999999</v>
          </cell>
          <cell r="AA83">
            <v>1237.3</v>
          </cell>
          <cell r="AB83">
            <v>735.2</v>
          </cell>
          <cell r="AD83">
            <v>3.5</v>
          </cell>
          <cell r="AE83">
            <v>1233.7</v>
          </cell>
          <cell r="AF83">
            <v>1234.5999999999999</v>
          </cell>
          <cell r="AG83">
            <v>734.1</v>
          </cell>
          <cell r="AI83">
            <v>3.4</v>
          </cell>
          <cell r="AK83">
            <v>1763.0785900000001</v>
          </cell>
          <cell r="AM83">
            <v>1863.01017</v>
          </cell>
          <cell r="AO83">
            <v>1953.7643600000001</v>
          </cell>
          <cell r="AP83" t="str">
            <v>Muestra tomada en el elevador</v>
          </cell>
          <cell r="AQ83" t="str">
            <v>-</v>
          </cell>
          <cell r="AR83">
            <v>1951</v>
          </cell>
          <cell r="AS83">
            <v>3.4</v>
          </cell>
          <cell r="AV83">
            <v>2.4551050349331298</v>
          </cell>
          <cell r="BS83">
            <v>2.569</v>
          </cell>
        </row>
        <row r="84">
          <cell r="A84">
            <v>82</v>
          </cell>
          <cell r="B84">
            <v>40231</v>
          </cell>
          <cell r="D84">
            <v>1500.3</v>
          </cell>
          <cell r="E84">
            <v>1420.1</v>
          </cell>
          <cell r="G84" t="str">
            <v>Parcheo elaboración de fallos en vías urbanas y rurales del municipio de Medellín.</v>
          </cell>
          <cell r="H84" t="str">
            <v>1/2</v>
          </cell>
          <cell r="I84">
            <v>0</v>
          </cell>
          <cell r="J84">
            <v>172.4</v>
          </cell>
          <cell r="K84">
            <v>182.1</v>
          </cell>
          <cell r="L84">
            <v>250.9</v>
          </cell>
          <cell r="M84">
            <v>303</v>
          </cell>
          <cell r="N84">
            <v>253.5</v>
          </cell>
          <cell r="O84">
            <v>91.7</v>
          </cell>
          <cell r="P84">
            <v>76.599999999999994</v>
          </cell>
          <cell r="Q84">
            <v>89.9</v>
          </cell>
          <cell r="S84">
            <v>25</v>
          </cell>
          <cell r="T84" t="str">
            <v>1</v>
          </cell>
          <cell r="U84">
            <v>1234.8</v>
          </cell>
          <cell r="V84">
            <v>1235.5999999999999</v>
          </cell>
          <cell r="W84">
            <v>735.5</v>
          </cell>
          <cell r="Y84">
            <v>3.2</v>
          </cell>
          <cell r="Z84">
            <v>1235.0999999999999</v>
          </cell>
          <cell r="AA84">
            <v>1236.3</v>
          </cell>
          <cell r="AB84">
            <v>733.5</v>
          </cell>
          <cell r="AD84">
            <v>3.5</v>
          </cell>
          <cell r="AE84">
            <v>1233.5999999999999</v>
          </cell>
          <cell r="AF84">
            <v>1235.0999999999999</v>
          </cell>
          <cell r="AG84">
            <v>733</v>
          </cell>
          <cell r="AI84">
            <v>3.4</v>
          </cell>
          <cell r="AK84">
            <v>1802.84728</v>
          </cell>
          <cell r="AM84">
            <v>1926.2321900000002</v>
          </cell>
          <cell r="AO84">
            <v>1879.3255300000001</v>
          </cell>
          <cell r="AP84" t="str">
            <v>Muestra tomada en el elevador</v>
          </cell>
          <cell r="AQ84" t="str">
            <v>-</v>
          </cell>
          <cell r="AR84">
            <v>1959</v>
          </cell>
          <cell r="AS84">
            <v>3.4</v>
          </cell>
          <cell r="AV84">
            <v>2.4536125269969067</v>
          </cell>
          <cell r="BS84">
            <v>2.5640000000000001</v>
          </cell>
        </row>
        <row r="85">
          <cell r="A85">
            <v>83</v>
          </cell>
          <cell r="B85">
            <v>40231</v>
          </cell>
          <cell r="D85">
            <v>1497.7</v>
          </cell>
          <cell r="E85">
            <v>1419.5</v>
          </cell>
          <cell r="G85" t="str">
            <v>Parcheo elaboración de fallos en vías urbanas y rurales del municipio de Medellín.</v>
          </cell>
          <cell r="H85" t="str">
            <v>2/2</v>
          </cell>
          <cell r="I85">
            <v>0</v>
          </cell>
          <cell r="J85">
            <v>173.4</v>
          </cell>
          <cell r="K85">
            <v>191</v>
          </cell>
          <cell r="L85">
            <v>254.1</v>
          </cell>
          <cell r="M85">
            <v>312.89999999999998</v>
          </cell>
          <cell r="N85">
            <v>237.7</v>
          </cell>
          <cell r="O85">
            <v>87.1</v>
          </cell>
          <cell r="P85">
            <v>73.2</v>
          </cell>
          <cell r="Q85">
            <v>90.1</v>
          </cell>
          <cell r="S85">
            <v>25</v>
          </cell>
          <cell r="T85" t="str">
            <v>1</v>
          </cell>
          <cell r="U85">
            <v>1233.0999999999999</v>
          </cell>
          <cell r="V85">
            <v>1235.8</v>
          </cell>
          <cell r="W85">
            <v>732.3</v>
          </cell>
          <cell r="Y85">
            <v>3.2</v>
          </cell>
          <cell r="Z85">
            <v>1234.4000000000001</v>
          </cell>
          <cell r="AA85">
            <v>1235.5</v>
          </cell>
          <cell r="AB85">
            <v>735.6</v>
          </cell>
          <cell r="AD85">
            <v>3.5</v>
          </cell>
          <cell r="AE85">
            <v>1235.4000000000001</v>
          </cell>
          <cell r="AF85">
            <v>1236.7</v>
          </cell>
          <cell r="AG85">
            <v>734.6</v>
          </cell>
          <cell r="AI85">
            <v>3.6</v>
          </cell>
          <cell r="AK85">
            <v>1515.2890600000001</v>
          </cell>
          <cell r="AM85">
            <v>1752.8814900000002</v>
          </cell>
          <cell r="AO85">
            <v>1723.3099</v>
          </cell>
          <cell r="AP85" t="str">
            <v>Muestra tomada en la volqueta</v>
          </cell>
          <cell r="AQ85" t="str">
            <v>-</v>
          </cell>
          <cell r="AR85">
            <v>1743</v>
          </cell>
          <cell r="AS85">
            <v>3.4</v>
          </cell>
          <cell r="AV85">
            <v>2.4524111556295733</v>
          </cell>
          <cell r="BS85">
            <v>2.5640000000000001</v>
          </cell>
        </row>
        <row r="86">
          <cell r="A86">
            <v>84</v>
          </cell>
          <cell r="B86">
            <v>40232</v>
          </cell>
          <cell r="D86">
            <v>1500.8</v>
          </cell>
          <cell r="E86">
            <v>1430.3</v>
          </cell>
          <cell r="G86" t="str">
            <v>Parcheo elaboración de fallos en vías urbanas y rurales del municipio de Medellín; Estyma S.A.</v>
          </cell>
          <cell r="H86" t="str">
            <v>1/2</v>
          </cell>
          <cell r="I86">
            <v>0</v>
          </cell>
          <cell r="J86">
            <v>198</v>
          </cell>
          <cell r="K86">
            <v>176</v>
          </cell>
          <cell r="L86">
            <v>304.89999999999998</v>
          </cell>
          <cell r="M86">
            <v>290.10000000000002</v>
          </cell>
          <cell r="N86">
            <v>222.3</v>
          </cell>
          <cell r="O86">
            <v>79.7</v>
          </cell>
          <cell r="P86">
            <v>70</v>
          </cell>
          <cell r="Q86">
            <v>89.3</v>
          </cell>
          <cell r="S86">
            <v>25</v>
          </cell>
          <cell r="T86" t="str">
            <v>1</v>
          </cell>
          <cell r="U86">
            <v>1236.8</v>
          </cell>
          <cell r="V86">
            <v>1237.9000000000001</v>
          </cell>
          <cell r="W86">
            <v>740.1</v>
          </cell>
          <cell r="Y86">
            <v>3.2</v>
          </cell>
          <cell r="Z86">
            <v>1231.5</v>
          </cell>
          <cell r="AA86">
            <v>1233.7</v>
          </cell>
          <cell r="AB86">
            <v>734.1</v>
          </cell>
          <cell r="AD86">
            <v>3.1</v>
          </cell>
          <cell r="AE86">
            <v>1232.5999999999999</v>
          </cell>
          <cell r="AF86">
            <v>1233.9000000000001</v>
          </cell>
          <cell r="AG86">
            <v>735.9</v>
          </cell>
          <cell r="AI86">
            <v>3.5</v>
          </cell>
          <cell r="AK86">
            <v>1838.5371300000002</v>
          </cell>
          <cell r="AM86">
            <v>1492.85544</v>
          </cell>
          <cell r="AO86">
            <v>1662.1273000000001</v>
          </cell>
          <cell r="AP86" t="str">
            <v>Muestra tomada en el elevador</v>
          </cell>
          <cell r="AQ86" t="str">
            <v>-</v>
          </cell>
          <cell r="AR86">
            <v>1763</v>
          </cell>
          <cell r="AS86">
            <v>3.3</v>
          </cell>
          <cell r="AV86">
            <v>2.4676291173638862</v>
          </cell>
          <cell r="BS86">
            <v>2.589</v>
          </cell>
        </row>
        <row r="87">
          <cell r="A87">
            <v>85</v>
          </cell>
          <cell r="B87">
            <v>40232</v>
          </cell>
          <cell r="D87">
            <v>1497.3</v>
          </cell>
          <cell r="E87">
            <v>1419.4</v>
          </cell>
          <cell r="G87" t="str">
            <v>Parcheo elaboración de fallos en vías urbanas y rurales del municipio de Medellín; Estyma S.A.</v>
          </cell>
          <cell r="H87" t="str">
            <v>2/2</v>
          </cell>
          <cell r="I87">
            <v>0</v>
          </cell>
          <cell r="J87">
            <v>178.7</v>
          </cell>
          <cell r="K87">
            <v>135.30000000000001</v>
          </cell>
          <cell r="L87">
            <v>292.89999999999998</v>
          </cell>
          <cell r="M87">
            <v>328.7</v>
          </cell>
          <cell r="N87">
            <v>235.5</v>
          </cell>
          <cell r="O87">
            <v>90.5</v>
          </cell>
          <cell r="P87">
            <v>66.7</v>
          </cell>
          <cell r="Q87">
            <v>91.1</v>
          </cell>
          <cell r="S87">
            <v>25</v>
          </cell>
          <cell r="T87" t="str">
            <v>1</v>
          </cell>
          <cell r="U87">
            <v>1236.5</v>
          </cell>
          <cell r="V87">
            <v>1237.7</v>
          </cell>
          <cell r="W87">
            <v>737.7</v>
          </cell>
          <cell r="Y87">
            <v>3.4</v>
          </cell>
          <cell r="Z87">
            <v>1231.8</v>
          </cell>
          <cell r="AA87">
            <v>1233</v>
          </cell>
          <cell r="AB87">
            <v>732.4</v>
          </cell>
          <cell r="AD87">
            <v>3.3</v>
          </cell>
          <cell r="AE87">
            <v>1234.4000000000001</v>
          </cell>
          <cell r="AF87">
            <v>1236.0999999999999</v>
          </cell>
          <cell r="AG87">
            <v>733.1</v>
          </cell>
          <cell r="AI87">
            <v>3.3</v>
          </cell>
          <cell r="AK87">
            <v>1539.7620999999999</v>
          </cell>
          <cell r="AM87">
            <v>1543.84094</v>
          </cell>
          <cell r="AO87">
            <v>1453.0867499999999</v>
          </cell>
          <cell r="AP87" t="str">
            <v>Muestra tomada en la volqueta</v>
          </cell>
          <cell r="AQ87" t="str">
            <v>-</v>
          </cell>
          <cell r="AR87">
            <v>1587</v>
          </cell>
          <cell r="AS87">
            <v>3.3</v>
          </cell>
          <cell r="AV87">
            <v>2.455371226983095</v>
          </cell>
          <cell r="BS87">
            <v>2.589</v>
          </cell>
        </row>
        <row r="88">
          <cell r="A88">
            <v>86</v>
          </cell>
          <cell r="B88">
            <v>40233</v>
          </cell>
          <cell r="D88">
            <v>1500.7</v>
          </cell>
          <cell r="E88">
            <v>1424</v>
          </cell>
          <cell r="G88" t="str">
            <v>Parcheo elaboración de fallos en vías urbanas y rurales del municipio de Medellín; Estyma S.A.; Union Temporal Medellín.</v>
          </cell>
          <cell r="H88" t="str">
            <v>1/2</v>
          </cell>
          <cell r="I88">
            <v>0</v>
          </cell>
          <cell r="J88">
            <v>170.7</v>
          </cell>
          <cell r="K88">
            <v>163.4</v>
          </cell>
          <cell r="L88">
            <v>290</v>
          </cell>
          <cell r="M88">
            <v>312.5</v>
          </cell>
          <cell r="N88">
            <v>242.2</v>
          </cell>
          <cell r="O88">
            <v>78</v>
          </cell>
          <cell r="P88">
            <v>76.900000000000006</v>
          </cell>
          <cell r="Q88">
            <v>90.3</v>
          </cell>
          <cell r="S88">
            <v>25</v>
          </cell>
          <cell r="T88" t="str">
            <v>1</v>
          </cell>
          <cell r="U88">
            <v>1235</v>
          </cell>
          <cell r="V88">
            <v>1237.3</v>
          </cell>
          <cell r="W88">
            <v>736.7</v>
          </cell>
          <cell r="Y88">
            <v>3.2</v>
          </cell>
          <cell r="Z88">
            <v>1235.9000000000001</v>
          </cell>
          <cell r="AA88">
            <v>1236.9000000000001</v>
          </cell>
          <cell r="AB88">
            <v>738.9</v>
          </cell>
          <cell r="AD88">
            <v>3.4</v>
          </cell>
          <cell r="AE88">
            <v>1237.7</v>
          </cell>
          <cell r="AF88">
            <v>1238.5999999999999</v>
          </cell>
          <cell r="AG88">
            <v>740.7</v>
          </cell>
          <cell r="AI88">
            <v>3.3</v>
          </cell>
          <cell r="AK88">
            <v>1299.1105400000001</v>
          </cell>
          <cell r="AM88">
            <v>1636.6345500000002</v>
          </cell>
          <cell r="AO88">
            <v>1709.0339600000002</v>
          </cell>
          <cell r="AP88" t="str">
            <v>Muestra tomada en la volqueta</v>
          </cell>
          <cell r="AQ88" t="str">
            <v>-</v>
          </cell>
          <cell r="AR88">
            <v>1638</v>
          </cell>
          <cell r="AS88">
            <v>3.3</v>
          </cell>
          <cell r="AV88">
            <v>2.4709535883158429</v>
          </cell>
          <cell r="BS88">
            <v>2.5870000000000002</v>
          </cell>
        </row>
        <row r="89">
          <cell r="A89">
            <v>87</v>
          </cell>
          <cell r="B89">
            <v>40233</v>
          </cell>
          <cell r="D89">
            <v>1500.3</v>
          </cell>
          <cell r="E89">
            <v>1423.5</v>
          </cell>
          <cell r="G89" t="str">
            <v>Parcheo elaboración de fallos en vías urbanas y rurales del municipio de Medellín; Estyma S.A.; Union Temporal Medellín.</v>
          </cell>
          <cell r="H89" t="str">
            <v>2/2</v>
          </cell>
          <cell r="I89">
            <v>0</v>
          </cell>
          <cell r="J89">
            <v>174.9</v>
          </cell>
          <cell r="K89">
            <v>146.1</v>
          </cell>
          <cell r="L89">
            <v>321.8</v>
          </cell>
          <cell r="M89">
            <v>324.60000000000002</v>
          </cell>
          <cell r="N89">
            <v>220.3</v>
          </cell>
          <cell r="O89">
            <v>81.099999999999994</v>
          </cell>
          <cell r="P89">
            <v>64</v>
          </cell>
          <cell r="Q89">
            <v>90.7</v>
          </cell>
          <cell r="S89">
            <v>25</v>
          </cell>
          <cell r="T89" t="str">
            <v>1</v>
          </cell>
          <cell r="U89">
            <v>1237.5999999999999</v>
          </cell>
          <cell r="V89">
            <v>1238.7</v>
          </cell>
          <cell r="W89">
            <v>740.5</v>
          </cell>
          <cell r="Y89">
            <v>3.4</v>
          </cell>
          <cell r="Z89">
            <v>1237.9000000000001</v>
          </cell>
          <cell r="AA89">
            <v>1240.5</v>
          </cell>
          <cell r="AB89">
            <v>741.1</v>
          </cell>
          <cell r="AD89">
            <v>3.5</v>
          </cell>
          <cell r="AE89">
            <v>1232.9000000000001</v>
          </cell>
          <cell r="AF89">
            <v>1235.3</v>
          </cell>
          <cell r="AG89">
            <v>738.3</v>
          </cell>
          <cell r="AI89">
            <v>3.3</v>
          </cell>
          <cell r="AK89">
            <v>1620.3191900000002</v>
          </cell>
          <cell r="AM89">
            <v>1618.2797699999999</v>
          </cell>
          <cell r="AO89">
            <v>1689.6594700000001</v>
          </cell>
          <cell r="AP89" t="str">
            <v>Muestra tomada en el elevador</v>
          </cell>
          <cell r="AQ89" t="str">
            <v>-</v>
          </cell>
          <cell r="AR89">
            <v>1741</v>
          </cell>
          <cell r="AS89">
            <v>3.4</v>
          </cell>
          <cell r="AV89">
            <v>2.4739430046752457</v>
          </cell>
          <cell r="BS89">
            <v>2.5870000000000002</v>
          </cell>
        </row>
        <row r="90">
          <cell r="A90">
            <v>88</v>
          </cell>
          <cell r="B90">
            <v>40234</v>
          </cell>
          <cell r="D90">
            <v>1500.3</v>
          </cell>
          <cell r="E90">
            <v>1427.5</v>
          </cell>
          <cell r="G90" t="str">
            <v>Parcheo elaboración de fallos en vías urbanas y rurales del municipio de Medellín; Estyma S.A.; Union Temporal Medellín.</v>
          </cell>
          <cell r="H90" t="str">
            <v>1/2</v>
          </cell>
          <cell r="I90">
            <v>0</v>
          </cell>
          <cell r="J90">
            <v>196.6</v>
          </cell>
          <cell r="K90">
            <v>157.19999999999999</v>
          </cell>
          <cell r="L90">
            <v>317.7</v>
          </cell>
          <cell r="M90">
            <v>281.89999999999998</v>
          </cell>
          <cell r="N90">
            <v>232.1</v>
          </cell>
          <cell r="O90">
            <v>78.3</v>
          </cell>
          <cell r="P90">
            <v>75.8</v>
          </cell>
          <cell r="Q90">
            <v>87.9</v>
          </cell>
          <cell r="S90">
            <v>25</v>
          </cell>
          <cell r="T90" t="str">
            <v>1</v>
          </cell>
          <cell r="U90">
            <v>1235.5</v>
          </cell>
          <cell r="V90">
            <v>1236.5</v>
          </cell>
          <cell r="W90">
            <v>739.6</v>
          </cell>
          <cell r="Y90">
            <v>3.4</v>
          </cell>
          <cell r="Z90">
            <v>1234.2</v>
          </cell>
          <cell r="AA90">
            <v>1235.8</v>
          </cell>
          <cell r="AB90">
            <v>735.2</v>
          </cell>
          <cell r="AD90">
            <v>3.1</v>
          </cell>
          <cell r="AE90">
            <v>1230.0999999999999</v>
          </cell>
          <cell r="AF90">
            <v>1231.5999999999999</v>
          </cell>
          <cell r="AG90">
            <v>732.4</v>
          </cell>
          <cell r="AI90">
            <v>2.9</v>
          </cell>
          <cell r="AK90">
            <v>1758.9997499999999</v>
          </cell>
          <cell r="AM90">
            <v>1635.61484</v>
          </cell>
          <cell r="AO90">
            <v>1511.2102200000002</v>
          </cell>
          <cell r="AP90" t="str">
            <v>Muestra tomada en la volqueta</v>
          </cell>
          <cell r="AQ90" t="str">
            <v>-</v>
          </cell>
          <cell r="AR90">
            <v>1730</v>
          </cell>
          <cell r="AS90">
            <v>3.1</v>
          </cell>
          <cell r="AV90">
            <v>2.4647693588750919</v>
          </cell>
          <cell r="BS90">
            <v>2.5910000000000002</v>
          </cell>
        </row>
        <row r="91">
          <cell r="A91">
            <v>89</v>
          </cell>
          <cell r="B91">
            <v>40234</v>
          </cell>
          <cell r="D91">
            <v>1500.4</v>
          </cell>
          <cell r="E91">
            <v>1426.9</v>
          </cell>
          <cell r="G91" t="str">
            <v>Parcheo elaboración de fallos en vías urbanas y rurales del municipio de Medellín; Estyma S.A.; Union Temporal Medellín.</v>
          </cell>
          <cell r="H91" t="str">
            <v>2/2</v>
          </cell>
          <cell r="I91">
            <v>0</v>
          </cell>
          <cell r="J91">
            <v>218.3</v>
          </cell>
          <cell r="K91">
            <v>170.8</v>
          </cell>
          <cell r="L91">
            <v>269.10000000000002</v>
          </cell>
          <cell r="M91">
            <v>297.60000000000002</v>
          </cell>
          <cell r="N91">
            <v>231.9</v>
          </cell>
          <cell r="O91">
            <v>76.400000000000006</v>
          </cell>
          <cell r="P91">
            <v>74</v>
          </cell>
          <cell r="Q91">
            <v>88.8</v>
          </cell>
          <cell r="S91">
            <v>25</v>
          </cell>
          <cell r="T91" t="str">
            <v>1</v>
          </cell>
          <cell r="U91">
            <v>1330.6</v>
          </cell>
          <cell r="V91">
            <v>1331.3</v>
          </cell>
          <cell r="W91">
            <v>793.5</v>
          </cell>
          <cell r="Y91">
            <v>3.4</v>
          </cell>
          <cell r="Z91">
            <v>1236.3</v>
          </cell>
          <cell r="AA91">
            <v>1237.0999999999999</v>
          </cell>
          <cell r="AB91">
            <v>738.5</v>
          </cell>
          <cell r="AD91">
            <v>3.4</v>
          </cell>
          <cell r="AE91">
            <v>1235.7</v>
          </cell>
          <cell r="AF91">
            <v>1238.0999999999999</v>
          </cell>
          <cell r="AG91">
            <v>738.3</v>
          </cell>
          <cell r="AI91">
            <v>3.3</v>
          </cell>
          <cell r="AK91">
            <v>2039.42</v>
          </cell>
          <cell r="AM91">
            <v>1618.2797699999999</v>
          </cell>
          <cell r="AO91">
            <v>1735.5464200000001</v>
          </cell>
          <cell r="AP91" t="str">
            <v>Muestra tomada en el elevador</v>
          </cell>
          <cell r="AQ91" t="str">
            <v>-</v>
          </cell>
          <cell r="AR91">
            <v>1816</v>
          </cell>
          <cell r="AS91">
            <v>3.4</v>
          </cell>
          <cell r="AV91">
            <v>2.4681214450975499</v>
          </cell>
          <cell r="BS91">
            <v>2.5910000000000002</v>
          </cell>
        </row>
        <row r="92">
          <cell r="A92">
            <v>90</v>
          </cell>
          <cell r="B92">
            <v>40235</v>
          </cell>
          <cell r="D92">
            <v>1500.8</v>
          </cell>
          <cell r="E92">
            <v>1428.8</v>
          </cell>
          <cell r="G92" t="str">
            <v>Parcheo elaboración de fallos en vías urbanas y rurales del municipio de Medellín; Estyma S.A.</v>
          </cell>
          <cell r="H92" t="str">
            <v>1/2</v>
          </cell>
          <cell r="I92">
            <v>0</v>
          </cell>
          <cell r="J92">
            <v>137.9</v>
          </cell>
          <cell r="K92">
            <v>175.3</v>
          </cell>
          <cell r="L92">
            <v>359.8</v>
          </cell>
          <cell r="M92">
            <v>302.39999999999998</v>
          </cell>
          <cell r="N92">
            <v>228.2</v>
          </cell>
          <cell r="O92">
            <v>74.5</v>
          </cell>
          <cell r="P92">
            <v>69</v>
          </cell>
          <cell r="Q92">
            <v>81.7</v>
          </cell>
          <cell r="S92">
            <v>25</v>
          </cell>
          <cell r="T92" t="str">
            <v>1</v>
          </cell>
          <cell r="U92">
            <v>1237.4000000000001</v>
          </cell>
          <cell r="V92">
            <v>1238.8</v>
          </cell>
          <cell r="W92">
            <v>733.1</v>
          </cell>
          <cell r="Y92">
            <v>3.2</v>
          </cell>
          <cell r="Z92">
            <v>1235.9000000000001</v>
          </cell>
          <cell r="AA92">
            <v>1237.8</v>
          </cell>
          <cell r="AB92">
            <v>733.6</v>
          </cell>
          <cell r="AD92">
            <v>3.35</v>
          </cell>
          <cell r="AE92">
            <v>1234.2</v>
          </cell>
          <cell r="AF92">
            <v>1237.5999999999999</v>
          </cell>
          <cell r="AG92">
            <v>731.7</v>
          </cell>
          <cell r="AI92">
            <v>3.5</v>
          </cell>
          <cell r="AK92">
            <v>1569.3336900000002</v>
          </cell>
          <cell r="AM92">
            <v>1447.9882</v>
          </cell>
          <cell r="AO92">
            <v>1568.3139800000001</v>
          </cell>
          <cell r="AP92" t="str">
            <v>Muestra tomada en la volqueta</v>
          </cell>
          <cell r="AQ92" t="str">
            <v>-</v>
          </cell>
          <cell r="AR92">
            <v>1583</v>
          </cell>
          <cell r="AS92">
            <v>3.4</v>
          </cell>
          <cell r="AV92">
            <v>2.4387549451136459</v>
          </cell>
          <cell r="BS92">
            <v>2.5920000000000001</v>
          </cell>
        </row>
        <row r="93">
          <cell r="A93">
            <v>91</v>
          </cell>
          <cell r="B93">
            <v>40235</v>
          </cell>
          <cell r="D93">
            <v>1500.8</v>
          </cell>
          <cell r="E93">
            <v>1428.5</v>
          </cell>
          <cell r="G93" t="str">
            <v>Parcheo elaboración de fallos en vías urbanas y rurales del municipio de Medellín; Estyma S.A.</v>
          </cell>
          <cell r="H93" t="str">
            <v>2/2</v>
          </cell>
          <cell r="I93">
            <v>0</v>
          </cell>
          <cell r="J93">
            <v>143.19999999999999</v>
          </cell>
          <cell r="K93">
            <v>210.4</v>
          </cell>
          <cell r="L93">
            <v>355.5</v>
          </cell>
          <cell r="M93">
            <v>270.3</v>
          </cell>
          <cell r="N93">
            <v>225.6</v>
          </cell>
          <cell r="O93">
            <v>70.8</v>
          </cell>
          <cell r="P93">
            <v>68.400000000000006</v>
          </cell>
          <cell r="Q93">
            <v>84.3</v>
          </cell>
          <cell r="S93">
            <v>25</v>
          </cell>
          <cell r="T93" t="str">
            <v>1</v>
          </cell>
          <cell r="U93">
            <v>1236.7</v>
          </cell>
          <cell r="V93">
            <v>1237.8</v>
          </cell>
          <cell r="W93">
            <v>738.5</v>
          </cell>
          <cell r="Y93">
            <v>2.9</v>
          </cell>
          <cell r="Z93">
            <v>1235.7</v>
          </cell>
          <cell r="AA93">
            <v>1237</v>
          </cell>
          <cell r="AB93">
            <v>737.3</v>
          </cell>
          <cell r="AD93">
            <v>3.2</v>
          </cell>
          <cell r="AE93">
            <v>1230.7</v>
          </cell>
          <cell r="AF93">
            <v>1232.9000000000001</v>
          </cell>
          <cell r="AG93">
            <v>729.6</v>
          </cell>
          <cell r="AI93">
            <v>3.3</v>
          </cell>
          <cell r="AK93">
            <v>1659.06817</v>
          </cell>
          <cell r="AM93">
            <v>1652.94991</v>
          </cell>
          <cell r="AO93">
            <v>1499.99341</v>
          </cell>
          <cell r="AP93" t="str">
            <v>Muestra tomada en el elevador</v>
          </cell>
          <cell r="AQ93" t="str">
            <v>-</v>
          </cell>
          <cell r="AR93">
            <v>1686</v>
          </cell>
          <cell r="AS93">
            <v>3.1</v>
          </cell>
          <cell r="AV93">
            <v>2.4577940695216434</v>
          </cell>
          <cell r="BS93">
            <v>2.5920000000000001</v>
          </cell>
        </row>
        <row r="94">
          <cell r="A94">
            <v>92</v>
          </cell>
          <cell r="B94">
            <v>40236</v>
          </cell>
          <cell r="D94">
            <v>1500.8</v>
          </cell>
          <cell r="E94">
            <v>1425.8</v>
          </cell>
          <cell r="G94" t="str">
            <v>Parcheo elaboración de fallos en vías urbanas y rurales del municipio de Medellín; Estyma S.A.</v>
          </cell>
          <cell r="H94" t="str">
            <v>1/1</v>
          </cell>
          <cell r="I94">
            <v>0</v>
          </cell>
          <cell r="J94">
            <v>184</v>
          </cell>
          <cell r="K94">
            <v>159.19999999999999</v>
          </cell>
          <cell r="L94">
            <v>270.7</v>
          </cell>
          <cell r="M94">
            <v>336.8</v>
          </cell>
          <cell r="N94">
            <v>237.3</v>
          </cell>
          <cell r="O94">
            <v>76.5</v>
          </cell>
          <cell r="P94">
            <v>71.3</v>
          </cell>
          <cell r="Q94">
            <v>90</v>
          </cell>
          <cell r="S94">
            <v>25</v>
          </cell>
          <cell r="T94" t="str">
            <v>1</v>
          </cell>
          <cell r="U94">
            <v>1235.0999999999999</v>
          </cell>
          <cell r="V94">
            <v>1236.4000000000001</v>
          </cell>
          <cell r="W94">
            <v>734.1</v>
          </cell>
          <cell r="Y94">
            <v>3.5</v>
          </cell>
          <cell r="Z94">
            <v>1236.5999999999999</v>
          </cell>
          <cell r="AA94">
            <v>1238.0999999999999</v>
          </cell>
          <cell r="AB94">
            <v>733</v>
          </cell>
          <cell r="AD94">
            <v>3.4</v>
          </cell>
          <cell r="AE94">
            <v>1234.7</v>
          </cell>
          <cell r="AF94">
            <v>1236.8</v>
          </cell>
          <cell r="AG94">
            <v>730.9</v>
          </cell>
          <cell r="AI94">
            <v>3.3</v>
          </cell>
          <cell r="AK94">
            <v>1569.3336900000002</v>
          </cell>
          <cell r="AM94">
            <v>1456.14588</v>
          </cell>
          <cell r="AO94">
            <v>1371.5099499999999</v>
          </cell>
          <cell r="AP94" t="str">
            <v>Muestra tomada en el elevador</v>
          </cell>
          <cell r="AQ94" t="str">
            <v>-</v>
          </cell>
          <cell r="AR94">
            <v>1523</v>
          </cell>
          <cell r="AS94">
            <v>3.4</v>
          </cell>
          <cell r="AV94">
            <v>2.4420753391969652</v>
          </cell>
          <cell r="BS94">
            <v>2.5870000000000002</v>
          </cell>
        </row>
        <row r="95">
          <cell r="A95">
            <v>93</v>
          </cell>
          <cell r="B95">
            <v>40237</v>
          </cell>
          <cell r="D95">
            <v>1500.1</v>
          </cell>
          <cell r="E95">
            <v>1425.1</v>
          </cell>
          <cell r="G95" t="str">
            <v>Parcheo elaboración de fallos en vías urbanas y rurales del municipio de Medellín.</v>
          </cell>
          <cell r="H95" t="str">
            <v>1/1</v>
          </cell>
          <cell r="I95">
            <v>0</v>
          </cell>
          <cell r="J95">
            <v>129.1</v>
          </cell>
          <cell r="K95">
            <v>210.3</v>
          </cell>
          <cell r="L95">
            <v>303.2</v>
          </cell>
          <cell r="M95">
            <v>301.3</v>
          </cell>
          <cell r="N95">
            <v>238</v>
          </cell>
          <cell r="O95">
            <v>83.5</v>
          </cell>
          <cell r="P95">
            <v>66.5</v>
          </cell>
          <cell r="Q95">
            <v>93.2</v>
          </cell>
          <cell r="S95">
            <v>25</v>
          </cell>
          <cell r="T95" t="str">
            <v>1</v>
          </cell>
          <cell r="U95">
            <v>1235.9000000000001</v>
          </cell>
          <cell r="V95">
            <v>1236.5</v>
          </cell>
          <cell r="W95">
            <v>734.4</v>
          </cell>
          <cell r="Y95">
            <v>2.8</v>
          </cell>
          <cell r="Z95">
            <v>1234.2</v>
          </cell>
          <cell r="AA95">
            <v>1236.5</v>
          </cell>
          <cell r="AB95">
            <v>732.7</v>
          </cell>
          <cell r="AD95">
            <v>2.7</v>
          </cell>
          <cell r="AE95">
            <v>1236.9000000000001</v>
          </cell>
          <cell r="AF95">
            <v>1238.2</v>
          </cell>
          <cell r="AG95">
            <v>734.1</v>
          </cell>
          <cell r="AI95">
            <v>3.6</v>
          </cell>
          <cell r="AK95">
            <v>1453.0867499999999</v>
          </cell>
          <cell r="AM95">
            <v>1370.4902400000001</v>
          </cell>
          <cell r="AO95">
            <v>1466.3429800000001</v>
          </cell>
          <cell r="AP95" t="str">
            <v>Muestra tomada en el elevador</v>
          </cell>
          <cell r="AQ95" t="str">
            <v>-</v>
          </cell>
          <cell r="AR95">
            <v>1490</v>
          </cell>
          <cell r="AS95">
            <v>3</v>
          </cell>
          <cell r="AV95">
            <v>2.4477936480743923</v>
          </cell>
          <cell r="BS95">
            <v>2.585</v>
          </cell>
        </row>
        <row r="96">
          <cell r="A96">
            <v>94</v>
          </cell>
          <cell r="B96">
            <v>40238</v>
          </cell>
          <cell r="D96">
            <v>1501.3</v>
          </cell>
          <cell r="E96">
            <v>1428.8</v>
          </cell>
          <cell r="G96" t="str">
            <v>Parcheo elaboración de fallos en vías urbanas y rurales del municipio de Medellín; Estyma S.A.</v>
          </cell>
          <cell r="H96" t="str">
            <v>1/2</v>
          </cell>
          <cell r="I96">
            <v>0</v>
          </cell>
          <cell r="J96">
            <v>225.7</v>
          </cell>
          <cell r="K96">
            <v>187.2</v>
          </cell>
          <cell r="L96">
            <v>268.39999999999998</v>
          </cell>
          <cell r="M96">
            <v>274.10000000000002</v>
          </cell>
          <cell r="N96">
            <v>233.5</v>
          </cell>
          <cell r="O96">
            <v>86</v>
          </cell>
          <cell r="P96">
            <v>66.3</v>
          </cell>
          <cell r="Q96">
            <v>87.6</v>
          </cell>
          <cell r="S96">
            <v>25</v>
          </cell>
          <cell r="T96" t="str">
            <v>1</v>
          </cell>
          <cell r="U96">
            <v>1233.9000000000001</v>
          </cell>
          <cell r="V96">
            <v>1235.4000000000001</v>
          </cell>
          <cell r="W96">
            <v>733.4</v>
          </cell>
          <cell r="Y96">
            <v>3.1</v>
          </cell>
          <cell r="Z96">
            <v>1233.2</v>
          </cell>
          <cell r="AA96">
            <v>1234.5</v>
          </cell>
          <cell r="AB96">
            <v>732.9</v>
          </cell>
          <cell r="AD96">
            <v>3.6</v>
          </cell>
          <cell r="AE96">
            <v>1232.2</v>
          </cell>
          <cell r="AF96">
            <v>1233.4000000000001</v>
          </cell>
          <cell r="AG96">
            <v>733.3</v>
          </cell>
          <cell r="AI96">
            <v>3.1</v>
          </cell>
          <cell r="AK96">
            <v>1573.4125300000001</v>
          </cell>
          <cell r="AM96">
            <v>1675.3835300000001</v>
          </cell>
          <cell r="AO96">
            <v>1511.2102200000002</v>
          </cell>
          <cell r="AP96" t="str">
            <v>Muestra tomada en el elevador</v>
          </cell>
          <cell r="AQ96" t="str">
            <v>-</v>
          </cell>
          <cell r="AR96">
            <v>1665</v>
          </cell>
          <cell r="AS96">
            <v>3.3</v>
          </cell>
          <cell r="AV96">
            <v>2.4529401159666575</v>
          </cell>
          <cell r="BS96">
            <v>2.5790000000000002</v>
          </cell>
        </row>
        <row r="97">
          <cell r="A97">
            <v>95</v>
          </cell>
          <cell r="B97">
            <v>40238</v>
          </cell>
          <cell r="D97">
            <v>1500.9</v>
          </cell>
          <cell r="E97">
            <v>1427.4</v>
          </cell>
          <cell r="G97" t="str">
            <v>Parcheo elaboración de fallos en vías urbanas y rurales del municipio de Medellín; Estyma S.A.</v>
          </cell>
          <cell r="H97" t="str">
            <v>2/2</v>
          </cell>
          <cell r="I97">
            <v>0</v>
          </cell>
          <cell r="J97">
            <v>217.2</v>
          </cell>
          <cell r="K97">
            <v>183.5</v>
          </cell>
          <cell r="L97">
            <v>276.89999999999998</v>
          </cell>
          <cell r="M97">
            <v>301</v>
          </cell>
          <cell r="N97">
            <v>216.2</v>
          </cell>
          <cell r="O97">
            <v>72.2</v>
          </cell>
          <cell r="P97">
            <v>70.900000000000006</v>
          </cell>
          <cell r="Q97">
            <v>89.5</v>
          </cell>
          <cell r="S97">
            <v>25</v>
          </cell>
          <cell r="T97" t="str">
            <v>1</v>
          </cell>
          <cell r="U97">
            <v>1235</v>
          </cell>
          <cell r="V97">
            <v>1236.4000000000001</v>
          </cell>
          <cell r="W97">
            <v>736.5</v>
          </cell>
          <cell r="Y97">
            <v>3.4</v>
          </cell>
          <cell r="Z97">
            <v>1233.3</v>
          </cell>
          <cell r="AA97">
            <v>1235.2</v>
          </cell>
          <cell r="AB97">
            <v>735.2</v>
          </cell>
          <cell r="AD97">
            <v>3.3</v>
          </cell>
          <cell r="AE97">
            <v>1233.5999999999999</v>
          </cell>
          <cell r="AF97">
            <v>1235.4000000000001</v>
          </cell>
          <cell r="AG97">
            <v>736.1</v>
          </cell>
          <cell r="AI97">
            <v>2.9</v>
          </cell>
          <cell r="AK97">
            <v>1689.6594700000001</v>
          </cell>
          <cell r="AM97">
            <v>1691.6988900000001</v>
          </cell>
          <cell r="AO97">
            <v>1530.5847100000001</v>
          </cell>
          <cell r="AP97" t="str">
            <v>Muestra tomada en la volqueta</v>
          </cell>
          <cell r="AQ97" t="str">
            <v>-</v>
          </cell>
          <cell r="AR97">
            <v>1727</v>
          </cell>
          <cell r="AS97">
            <v>3.2</v>
          </cell>
          <cell r="AV97">
            <v>2.4620284479079722</v>
          </cell>
          <cell r="BS97">
            <v>2.5790000000000002</v>
          </cell>
        </row>
        <row r="98">
          <cell r="A98">
            <v>96</v>
          </cell>
          <cell r="B98">
            <v>40239</v>
          </cell>
          <cell r="D98">
            <v>1500.4</v>
          </cell>
          <cell r="E98">
            <v>1422.4</v>
          </cell>
          <cell r="G98" t="str">
            <v>Parcheo elaboración de fallos en vías urbanas y rurales del municipio de Medellín; Estyma S.A.</v>
          </cell>
          <cell r="H98" t="str">
            <v>1/2</v>
          </cell>
          <cell r="I98">
            <v>0</v>
          </cell>
          <cell r="J98">
            <v>183.5</v>
          </cell>
          <cell r="K98">
            <v>166.6</v>
          </cell>
          <cell r="L98">
            <v>273.60000000000002</v>
          </cell>
          <cell r="M98">
            <v>305.3</v>
          </cell>
          <cell r="N98">
            <v>243.5</v>
          </cell>
          <cell r="O98">
            <v>84.4</v>
          </cell>
          <cell r="P98">
            <v>75.099999999999994</v>
          </cell>
          <cell r="Q98">
            <v>90.4</v>
          </cell>
          <cell r="S98">
            <v>25</v>
          </cell>
          <cell r="T98" t="str">
            <v>1</v>
          </cell>
          <cell r="U98">
            <v>1236.2</v>
          </cell>
          <cell r="V98">
            <v>1237.8</v>
          </cell>
          <cell r="W98">
            <v>735.8</v>
          </cell>
          <cell r="Y98">
            <v>3.6</v>
          </cell>
          <cell r="Z98">
            <v>1235.2</v>
          </cell>
          <cell r="AA98">
            <v>1236.2</v>
          </cell>
          <cell r="AB98">
            <v>737.4</v>
          </cell>
          <cell r="AD98">
            <v>3.3</v>
          </cell>
          <cell r="AE98">
            <v>1235.0999999999999</v>
          </cell>
          <cell r="AF98">
            <v>1236.5</v>
          </cell>
          <cell r="AG98">
            <v>737.5</v>
          </cell>
          <cell r="AI98">
            <v>3.1</v>
          </cell>
          <cell r="AK98">
            <v>1582.5899200000001</v>
          </cell>
          <cell r="AM98">
            <v>1585.6490500000002</v>
          </cell>
          <cell r="AO98">
            <v>1492.85544</v>
          </cell>
          <cell r="AP98" t="str">
            <v>Muestra tomada en el elevador</v>
          </cell>
          <cell r="AQ98" t="str">
            <v>-</v>
          </cell>
          <cell r="AR98">
            <v>1637</v>
          </cell>
          <cell r="AS98">
            <v>3.3</v>
          </cell>
          <cell r="AV98">
            <v>2.4641190828029882</v>
          </cell>
          <cell r="BS98">
            <v>2.5790000000000002</v>
          </cell>
        </row>
        <row r="99">
          <cell r="A99">
            <v>97</v>
          </cell>
          <cell r="B99">
            <v>40239</v>
          </cell>
          <cell r="D99">
            <v>1500.5</v>
          </cell>
          <cell r="E99">
            <v>1427.1</v>
          </cell>
          <cell r="G99" t="str">
            <v>Parcheo elaboración de fallos en vías urbanas y rurales del municipio de Medellín; Estyma S.A.</v>
          </cell>
          <cell r="H99" t="str">
            <v>2/2</v>
          </cell>
          <cell r="I99">
            <v>0</v>
          </cell>
          <cell r="J99">
            <v>200</v>
          </cell>
          <cell r="K99">
            <v>206.5</v>
          </cell>
          <cell r="L99">
            <v>274.60000000000002</v>
          </cell>
          <cell r="M99">
            <v>268.8</v>
          </cell>
          <cell r="N99">
            <v>256.60000000000002</v>
          </cell>
          <cell r="O99">
            <v>81.400000000000006</v>
          </cell>
          <cell r="P99">
            <v>62.7</v>
          </cell>
          <cell r="Q99">
            <v>76.5</v>
          </cell>
          <cell r="S99">
            <v>25</v>
          </cell>
          <cell r="T99" t="str">
            <v>1</v>
          </cell>
          <cell r="U99">
            <v>1231</v>
          </cell>
          <cell r="V99">
            <v>1231.9000000000001</v>
          </cell>
          <cell r="W99">
            <v>731.6</v>
          </cell>
          <cell r="Y99">
            <v>3.4</v>
          </cell>
          <cell r="Z99">
            <v>1234</v>
          </cell>
          <cell r="AA99">
            <v>1234.5999999999999</v>
          </cell>
          <cell r="AB99">
            <v>734.4</v>
          </cell>
          <cell r="AD99">
            <v>3.1</v>
          </cell>
          <cell r="AE99">
            <v>1234.7</v>
          </cell>
          <cell r="AF99">
            <v>1235.9000000000001</v>
          </cell>
          <cell r="AG99">
            <v>730.6</v>
          </cell>
          <cell r="AI99">
            <v>3.4</v>
          </cell>
          <cell r="AK99">
            <v>1513.24964</v>
          </cell>
          <cell r="AM99">
            <v>1540.78181</v>
          </cell>
          <cell r="AO99">
            <v>1495.9145700000001</v>
          </cell>
          <cell r="AP99" t="str">
            <v>Muestra tomada en la volqueta</v>
          </cell>
          <cell r="AQ99" t="str">
            <v>-</v>
          </cell>
          <cell r="AR99">
            <v>1588</v>
          </cell>
          <cell r="AS99">
            <v>3.3</v>
          </cell>
          <cell r="AV99">
            <v>2.449825170785533</v>
          </cell>
          <cell r="BS99">
            <v>2.5790000000000002</v>
          </cell>
        </row>
        <row r="100">
          <cell r="A100">
            <v>98</v>
          </cell>
          <cell r="B100">
            <v>40240</v>
          </cell>
          <cell r="D100">
            <v>1500.4</v>
          </cell>
          <cell r="E100">
            <v>1424.9</v>
          </cell>
          <cell r="G100" t="str">
            <v>Parcheo elaboración de fallos en vías urbanas y rurales del municipio de Medellín; Estyma S.A.</v>
          </cell>
          <cell r="H100" t="str">
            <v>1/2</v>
          </cell>
          <cell r="I100">
            <v>0</v>
          </cell>
          <cell r="J100">
            <v>165.8</v>
          </cell>
          <cell r="K100">
            <v>144.69999999999999</v>
          </cell>
          <cell r="L100">
            <v>320.8</v>
          </cell>
          <cell r="M100">
            <v>341.3</v>
          </cell>
          <cell r="N100">
            <v>224.2</v>
          </cell>
          <cell r="O100">
            <v>71.3</v>
          </cell>
          <cell r="P100">
            <v>68.900000000000006</v>
          </cell>
          <cell r="Q100">
            <v>87.9</v>
          </cell>
          <cell r="S100">
            <v>25</v>
          </cell>
          <cell r="T100" t="str">
            <v>1</v>
          </cell>
          <cell r="U100">
            <v>1233.9000000000001</v>
          </cell>
          <cell r="V100">
            <v>1236.3</v>
          </cell>
          <cell r="W100">
            <v>732.2</v>
          </cell>
          <cell r="Y100">
            <v>3.3</v>
          </cell>
          <cell r="Z100">
            <v>1234.8</v>
          </cell>
          <cell r="AA100">
            <v>1236.0999999999999</v>
          </cell>
          <cell r="AB100">
            <v>731.2</v>
          </cell>
          <cell r="AD100">
            <v>3.6</v>
          </cell>
          <cell r="AE100">
            <v>1236.4000000000001</v>
          </cell>
          <cell r="AF100">
            <v>1238.5999999999999</v>
          </cell>
          <cell r="AG100">
            <v>732.3</v>
          </cell>
          <cell r="AI100">
            <v>3.1</v>
          </cell>
          <cell r="AK100">
            <v>1455.12617</v>
          </cell>
          <cell r="AM100">
            <v>1450.0276200000001</v>
          </cell>
          <cell r="AO100">
            <v>1510.1905100000001</v>
          </cell>
          <cell r="AP100" t="str">
            <v>Muestra tomada en el elevador</v>
          </cell>
          <cell r="AQ100" t="str">
            <v>-</v>
          </cell>
          <cell r="AR100">
            <v>1525</v>
          </cell>
          <cell r="AS100">
            <v>3.3</v>
          </cell>
          <cell r="AV100">
            <v>2.4379786064873206</v>
          </cell>
          <cell r="BS100">
            <v>2.5739999999999998</v>
          </cell>
        </row>
        <row r="101">
          <cell r="A101">
            <v>99</v>
          </cell>
          <cell r="B101">
            <v>40240</v>
          </cell>
          <cell r="D101">
            <v>1500.6</v>
          </cell>
          <cell r="E101">
            <v>1426.1</v>
          </cell>
          <cell r="G101" t="str">
            <v>Parcheo elaboración de fallos en vías urbanas y rurales del municipio de Medellín; Estyma S.A.</v>
          </cell>
          <cell r="H101" t="str">
            <v>2/2</v>
          </cell>
          <cell r="I101">
            <v>0</v>
          </cell>
          <cell r="J101">
            <v>146.1</v>
          </cell>
          <cell r="K101">
            <v>167</v>
          </cell>
          <cell r="L101">
            <v>324</v>
          </cell>
          <cell r="M101">
            <v>336.3</v>
          </cell>
          <cell r="N101">
            <v>224.9</v>
          </cell>
          <cell r="O101">
            <v>79.8</v>
          </cell>
          <cell r="P101">
            <v>62.2</v>
          </cell>
          <cell r="Q101">
            <v>85.8</v>
          </cell>
          <cell r="S101">
            <v>25</v>
          </cell>
          <cell r="T101" t="str">
            <v>1</v>
          </cell>
          <cell r="U101">
            <v>1233.5</v>
          </cell>
          <cell r="V101">
            <v>1234.5999999999999</v>
          </cell>
          <cell r="W101">
            <v>732</v>
          </cell>
          <cell r="Y101">
            <v>3.1</v>
          </cell>
          <cell r="Z101">
            <v>1234.9000000000001</v>
          </cell>
          <cell r="AA101">
            <v>1236.4000000000001</v>
          </cell>
          <cell r="AB101">
            <v>730.5</v>
          </cell>
          <cell r="AD101">
            <v>3.3</v>
          </cell>
          <cell r="AE101">
            <v>1234</v>
          </cell>
          <cell r="AF101">
            <v>1236.4000000000001</v>
          </cell>
          <cell r="AG101">
            <v>730.5</v>
          </cell>
          <cell r="AI101">
            <v>3.3</v>
          </cell>
          <cell r="AK101">
            <v>1481.6386299999999</v>
          </cell>
          <cell r="AM101">
            <v>1455.12617</v>
          </cell>
          <cell r="AO101">
            <v>1444.9290700000001</v>
          </cell>
          <cell r="AP101" t="str">
            <v>Muestra tomada en la volqueta</v>
          </cell>
          <cell r="AQ101" t="str">
            <v>-</v>
          </cell>
          <cell r="AR101">
            <v>1515</v>
          </cell>
          <cell r="AS101">
            <v>3.2</v>
          </cell>
          <cell r="AV101">
            <v>2.4376660576824323</v>
          </cell>
          <cell r="BS101">
            <v>2.5739999999999998</v>
          </cell>
        </row>
        <row r="102">
          <cell r="A102">
            <v>100</v>
          </cell>
          <cell r="B102">
            <v>40241</v>
          </cell>
          <cell r="D102">
            <v>1500.8</v>
          </cell>
          <cell r="E102">
            <v>1427</v>
          </cell>
          <cell r="G102" t="str">
            <v>Parcheo elaboración de fallos en vías urbanas y rurales del municipio de Medellín; Estyma S.A.; Consorcio Vial Santa Elena (Parque Arví)</v>
          </cell>
          <cell r="H102" t="str">
            <v>1/2</v>
          </cell>
          <cell r="I102">
            <v>0</v>
          </cell>
          <cell r="J102">
            <v>202.5</v>
          </cell>
          <cell r="K102">
            <v>212.6</v>
          </cell>
          <cell r="L102">
            <v>263.5</v>
          </cell>
          <cell r="M102">
            <v>297.60000000000002</v>
          </cell>
          <cell r="N102">
            <v>219.4</v>
          </cell>
          <cell r="O102">
            <v>73.5</v>
          </cell>
          <cell r="P102">
            <v>71.3</v>
          </cell>
          <cell r="Q102">
            <v>86.6</v>
          </cell>
          <cell r="S102">
            <v>25</v>
          </cell>
          <cell r="T102" t="str">
            <v>1</v>
          </cell>
          <cell r="U102">
            <v>1236.3</v>
          </cell>
          <cell r="V102">
            <v>1237.3</v>
          </cell>
          <cell r="W102">
            <v>736.8</v>
          </cell>
          <cell r="Y102">
            <v>3.2</v>
          </cell>
          <cell r="Z102">
            <v>1233.5999999999999</v>
          </cell>
          <cell r="AA102">
            <v>1234.5999999999999</v>
          </cell>
          <cell r="AB102">
            <v>735.4</v>
          </cell>
          <cell r="AD102">
            <v>3.3</v>
          </cell>
          <cell r="AE102">
            <v>1235.5999999999999</v>
          </cell>
          <cell r="AF102">
            <v>1236.9000000000001</v>
          </cell>
          <cell r="AG102">
            <v>735.3</v>
          </cell>
          <cell r="AI102">
            <v>3.6</v>
          </cell>
          <cell r="AK102">
            <v>1513.24964</v>
          </cell>
          <cell r="AM102">
            <v>1556.07746</v>
          </cell>
          <cell r="AO102">
            <v>1720.2507700000001</v>
          </cell>
          <cell r="AP102" t="str">
            <v>Muestra tomada en el elevador</v>
          </cell>
          <cell r="AQ102" t="str">
            <v>-</v>
          </cell>
          <cell r="AR102">
            <v>1680</v>
          </cell>
          <cell r="AS102">
            <v>3.4</v>
          </cell>
          <cell r="AV102">
            <v>2.4609808808114395</v>
          </cell>
          <cell r="BS102">
            <v>2.57</v>
          </cell>
        </row>
        <row r="103">
          <cell r="A103">
            <v>101</v>
          </cell>
          <cell r="B103">
            <v>40241</v>
          </cell>
          <cell r="D103">
            <v>1500.5</v>
          </cell>
          <cell r="E103">
            <v>1425.4</v>
          </cell>
          <cell r="G103" t="str">
            <v>Parcheo elaboración de fallos en vías urbanas y rurales del municipio de Medellín; Estyma S.A.; Consorcio Vial Santa Elena (Parque Arví)</v>
          </cell>
          <cell r="H103" t="str">
            <v>2/2</v>
          </cell>
          <cell r="I103">
            <v>0</v>
          </cell>
          <cell r="J103">
            <v>156.6</v>
          </cell>
          <cell r="K103">
            <v>171.3</v>
          </cell>
          <cell r="L103">
            <v>318.89999999999998</v>
          </cell>
          <cell r="M103">
            <v>305.2</v>
          </cell>
          <cell r="N103">
            <v>229.8</v>
          </cell>
          <cell r="O103">
            <v>85.3</v>
          </cell>
          <cell r="P103">
            <v>66.7</v>
          </cell>
          <cell r="Q103">
            <v>91.6</v>
          </cell>
          <cell r="S103">
            <v>25</v>
          </cell>
          <cell r="T103" t="str">
            <v>1</v>
          </cell>
          <cell r="U103">
            <v>1232.5</v>
          </cell>
          <cell r="V103">
            <v>1233.5999999999999</v>
          </cell>
          <cell r="W103">
            <v>733.5</v>
          </cell>
          <cell r="Y103">
            <v>3.4</v>
          </cell>
          <cell r="Z103">
            <v>1235.2</v>
          </cell>
          <cell r="AA103">
            <v>1236.4000000000001</v>
          </cell>
          <cell r="AB103">
            <v>737.6</v>
          </cell>
          <cell r="AD103">
            <v>3.4</v>
          </cell>
          <cell r="AE103">
            <v>1235.5999999999999</v>
          </cell>
          <cell r="AF103">
            <v>1237.5</v>
          </cell>
          <cell r="AG103">
            <v>733.3</v>
          </cell>
          <cell r="AI103">
            <v>3.4</v>
          </cell>
          <cell r="AK103">
            <v>1596.8658600000001</v>
          </cell>
          <cell r="AM103">
            <v>1801.8275700000002</v>
          </cell>
          <cell r="AO103">
            <v>1575.4519499999999</v>
          </cell>
          <cell r="AP103" t="str">
            <v>Muestra tomada en la volqueta</v>
          </cell>
          <cell r="AQ103" t="str">
            <v>-</v>
          </cell>
          <cell r="AR103">
            <v>1742</v>
          </cell>
          <cell r="AS103">
            <v>3.4</v>
          </cell>
          <cell r="AV103">
            <v>2.4566150407045884</v>
          </cell>
          <cell r="BS103">
            <v>2.57</v>
          </cell>
        </row>
        <row r="104">
          <cell r="A104">
            <v>102</v>
          </cell>
          <cell r="B104">
            <v>40242</v>
          </cell>
          <cell r="D104">
            <v>1500.4</v>
          </cell>
          <cell r="E104">
            <v>1429.7</v>
          </cell>
          <cell r="G104" t="str">
            <v>Parcheo elaboración de fallos en vías urbanas y rurales del municipio de Medellín; Estyma S.A.; Consorcio Vial Santa Elena (Parque Arví)</v>
          </cell>
          <cell r="H104" t="str">
            <v>1/2</v>
          </cell>
          <cell r="I104">
            <v>0</v>
          </cell>
          <cell r="J104">
            <v>153.6</v>
          </cell>
          <cell r="K104">
            <v>183.4</v>
          </cell>
          <cell r="L104">
            <v>311.8</v>
          </cell>
          <cell r="M104">
            <v>328.6</v>
          </cell>
          <cell r="N104">
            <v>218.4</v>
          </cell>
          <cell r="O104">
            <v>79.900000000000006</v>
          </cell>
          <cell r="P104">
            <v>70.7</v>
          </cell>
          <cell r="Q104">
            <v>83.3</v>
          </cell>
          <cell r="S104">
            <v>25</v>
          </cell>
          <cell r="T104" t="str">
            <v>1</v>
          </cell>
          <cell r="U104">
            <v>1238.5</v>
          </cell>
          <cell r="V104">
            <v>1240.3</v>
          </cell>
          <cell r="W104">
            <v>735.1</v>
          </cell>
          <cell r="Y104">
            <v>3.2</v>
          </cell>
          <cell r="Z104">
            <v>1234.8</v>
          </cell>
          <cell r="AA104">
            <v>1236.0999999999999</v>
          </cell>
          <cell r="AB104">
            <v>730.4</v>
          </cell>
          <cell r="AD104">
            <v>2.9</v>
          </cell>
          <cell r="AE104">
            <v>1234.3</v>
          </cell>
          <cell r="AF104">
            <v>1236.2</v>
          </cell>
          <cell r="AG104">
            <v>731.4</v>
          </cell>
          <cell r="AI104">
            <v>3.1</v>
          </cell>
          <cell r="AK104">
            <v>1708.0142500000002</v>
          </cell>
          <cell r="AM104">
            <v>1673.34411</v>
          </cell>
          <cell r="AO104">
            <v>1486.7371800000001</v>
          </cell>
          <cell r="AP104" t="str">
            <v>Muestra tomada en el elevador</v>
          </cell>
          <cell r="AQ104" t="str">
            <v>-</v>
          </cell>
          <cell r="AR104">
            <v>1681</v>
          </cell>
          <cell r="AS104">
            <v>3.1</v>
          </cell>
          <cell r="AV104">
            <v>2.4389767412567247</v>
          </cell>
          <cell r="BS104">
            <v>2.5790000000000002</v>
          </cell>
        </row>
        <row r="105">
          <cell r="A105">
            <v>103</v>
          </cell>
          <cell r="B105">
            <v>40242</v>
          </cell>
          <cell r="D105">
            <v>1501.7</v>
          </cell>
          <cell r="E105">
            <v>1430.1</v>
          </cell>
          <cell r="G105" t="str">
            <v>Parcheo elaboración de fallos en vías urbanas y rurales del municipio de Medellín; Estyma S.A.; Consorcio Vial Santa Elena (Parque Arví)</v>
          </cell>
          <cell r="H105" t="str">
            <v>2/2</v>
          </cell>
          <cell r="I105">
            <v>0</v>
          </cell>
          <cell r="J105">
            <v>205.4</v>
          </cell>
          <cell r="K105">
            <v>200.6</v>
          </cell>
          <cell r="L105">
            <v>302.2</v>
          </cell>
          <cell r="M105">
            <v>266.3</v>
          </cell>
          <cell r="N105">
            <v>230.3</v>
          </cell>
          <cell r="O105">
            <v>78.8</v>
          </cell>
          <cell r="P105">
            <v>65.2</v>
          </cell>
          <cell r="Q105">
            <v>81.3</v>
          </cell>
          <cell r="S105">
            <v>25</v>
          </cell>
          <cell r="T105" t="str">
            <v>1</v>
          </cell>
          <cell r="U105">
            <v>1236.5999999999999</v>
          </cell>
          <cell r="V105">
            <v>1239.9000000000001</v>
          </cell>
          <cell r="W105">
            <v>734</v>
          </cell>
          <cell r="Y105">
            <v>3.4</v>
          </cell>
          <cell r="Z105">
            <v>1233.8</v>
          </cell>
          <cell r="AA105">
            <v>1236.2</v>
          </cell>
          <cell r="AB105">
            <v>733.1</v>
          </cell>
          <cell r="AD105">
            <v>3</v>
          </cell>
          <cell r="AE105">
            <v>1235.5</v>
          </cell>
          <cell r="AF105">
            <v>1239</v>
          </cell>
          <cell r="AG105">
            <v>732.5</v>
          </cell>
          <cell r="AI105">
            <v>3.5</v>
          </cell>
          <cell r="AK105">
            <v>1551.9986200000001</v>
          </cell>
          <cell r="AM105">
            <v>1781.43337</v>
          </cell>
          <cell r="AO105">
            <v>1662.1273000000001</v>
          </cell>
          <cell r="AP105" t="str">
            <v>Muestra tomada en la volqueta</v>
          </cell>
          <cell r="AQ105" t="str">
            <v>-</v>
          </cell>
          <cell r="AR105">
            <v>1726</v>
          </cell>
          <cell r="AS105">
            <v>3.3</v>
          </cell>
          <cell r="AV105">
            <v>2.4381943540967272</v>
          </cell>
          <cell r="BS105">
            <v>2.5790000000000002</v>
          </cell>
        </row>
        <row r="106">
          <cell r="A106">
            <v>104</v>
          </cell>
          <cell r="B106">
            <v>40243</v>
          </cell>
          <cell r="D106">
            <v>1500.6</v>
          </cell>
          <cell r="E106">
            <v>1423.7</v>
          </cell>
          <cell r="G106" t="str">
            <v>Parcheo elaboración de fallos en vías urbanas y rurales del municipio de Medellín. Consorcio Vial Santa Elena (Parque Arví)</v>
          </cell>
          <cell r="H106" t="str">
            <v>1/2</v>
          </cell>
          <cell r="I106">
            <v>0</v>
          </cell>
          <cell r="J106">
            <v>179.1</v>
          </cell>
          <cell r="K106">
            <v>212.8</v>
          </cell>
          <cell r="L106">
            <v>283</v>
          </cell>
          <cell r="M106">
            <v>302.5</v>
          </cell>
          <cell r="N106">
            <v>228.5</v>
          </cell>
          <cell r="O106">
            <v>69.599999999999994</v>
          </cell>
          <cell r="P106">
            <v>66.8</v>
          </cell>
          <cell r="Q106">
            <v>81.400000000000006</v>
          </cell>
          <cell r="S106">
            <v>25</v>
          </cell>
          <cell r="T106" t="str">
            <v>1</v>
          </cell>
          <cell r="U106">
            <v>1238.0999999999999</v>
          </cell>
          <cell r="V106">
            <v>1239.5999999999999</v>
          </cell>
          <cell r="W106">
            <v>732.6</v>
          </cell>
          <cell r="Y106">
            <v>3.6</v>
          </cell>
          <cell r="Z106">
            <v>1235.5999999999999</v>
          </cell>
          <cell r="AA106">
            <v>1237.5</v>
          </cell>
          <cell r="AB106">
            <v>730.2</v>
          </cell>
          <cell r="AD106">
            <v>3.4</v>
          </cell>
          <cell r="AE106">
            <v>1233.9000000000001</v>
          </cell>
          <cell r="AF106">
            <v>1236.0999999999999</v>
          </cell>
          <cell r="AG106">
            <v>731.8</v>
          </cell>
          <cell r="AI106">
            <v>3.4</v>
          </cell>
          <cell r="AK106">
            <v>1645.81194</v>
          </cell>
          <cell r="AM106">
            <v>1411.27864</v>
          </cell>
          <cell r="AO106">
            <v>1722.2901900000002</v>
          </cell>
          <cell r="AP106" t="str">
            <v>Muestra tomada en el elevador</v>
          </cell>
          <cell r="AQ106" t="str">
            <v>-</v>
          </cell>
          <cell r="AR106">
            <v>1645</v>
          </cell>
          <cell r="AS106">
            <v>3.5</v>
          </cell>
          <cell r="AV106">
            <v>2.4343284933511629</v>
          </cell>
          <cell r="BS106">
            <v>2.585</v>
          </cell>
        </row>
        <row r="107">
          <cell r="A107">
            <v>105</v>
          </cell>
          <cell r="B107">
            <v>40243</v>
          </cell>
          <cell r="D107">
            <v>1500.6</v>
          </cell>
          <cell r="E107">
            <v>1429.3</v>
          </cell>
          <cell r="G107" t="str">
            <v>Parcheo elaboración de fallos en vías urbanas y rurales del municipio de Medellín. Consorcio Vial Santa Elena (Parque Arví)</v>
          </cell>
          <cell r="H107" t="str">
            <v>2/2</v>
          </cell>
          <cell r="I107">
            <v>0</v>
          </cell>
          <cell r="J107">
            <v>166</v>
          </cell>
          <cell r="K107">
            <v>186.3</v>
          </cell>
          <cell r="L107">
            <v>330.5</v>
          </cell>
          <cell r="M107">
            <v>300.3</v>
          </cell>
          <cell r="N107">
            <v>202.9</v>
          </cell>
          <cell r="O107">
            <v>84.8</v>
          </cell>
          <cell r="P107">
            <v>67.8</v>
          </cell>
          <cell r="Q107">
            <v>90.7</v>
          </cell>
          <cell r="S107">
            <v>25</v>
          </cell>
          <cell r="T107" t="str">
            <v>1</v>
          </cell>
          <cell r="U107">
            <v>1234.2</v>
          </cell>
          <cell r="V107">
            <v>1237.9000000000001</v>
          </cell>
          <cell r="W107">
            <v>731.7</v>
          </cell>
          <cell r="Y107">
            <v>3.5</v>
          </cell>
          <cell r="Z107">
            <v>1232.7</v>
          </cell>
          <cell r="AA107">
            <v>1235.5999999999999</v>
          </cell>
          <cell r="AB107">
            <v>730.6</v>
          </cell>
          <cell r="AD107">
            <v>3.4</v>
          </cell>
          <cell r="AE107">
            <v>1236.9000000000001</v>
          </cell>
          <cell r="AF107">
            <v>1240.5999999999999</v>
          </cell>
          <cell r="AG107">
            <v>736.1</v>
          </cell>
          <cell r="AI107">
            <v>3.3</v>
          </cell>
          <cell r="AK107">
            <v>1609.10238</v>
          </cell>
          <cell r="AM107">
            <v>1501.0131200000001</v>
          </cell>
          <cell r="AO107">
            <v>1587.6884700000001</v>
          </cell>
          <cell r="AP107" t="str">
            <v>Muestra tomada en la volqueta</v>
          </cell>
          <cell r="AQ107" t="str">
            <v>-</v>
          </cell>
          <cell r="AR107">
            <v>1622</v>
          </cell>
          <cell r="AS107">
            <v>3.4</v>
          </cell>
          <cell r="AV107">
            <v>2.436482788395979</v>
          </cell>
          <cell r="BS107">
            <v>2.585</v>
          </cell>
        </row>
        <row r="108">
          <cell r="A108">
            <v>106</v>
          </cell>
          <cell r="B108">
            <v>40245</v>
          </cell>
          <cell r="D108">
            <v>1501.4</v>
          </cell>
          <cell r="E108">
            <v>1423.6</v>
          </cell>
          <cell r="G108" t="str">
            <v>Parcheo elaboración de fallos en vías urbanas y rurales del municipio de Medellín; Estyma S.A.; Consorcio Vial Santa Elena</v>
          </cell>
          <cell r="H108" t="str">
            <v>1/2</v>
          </cell>
          <cell r="I108">
            <v>0</v>
          </cell>
          <cell r="J108">
            <v>148.69999999999999</v>
          </cell>
          <cell r="K108">
            <v>176.4</v>
          </cell>
          <cell r="L108">
            <v>321.5</v>
          </cell>
          <cell r="M108">
            <v>300.5</v>
          </cell>
          <cell r="N108">
            <v>227.9</v>
          </cell>
          <cell r="O108">
            <v>79</v>
          </cell>
          <cell r="P108">
            <v>75</v>
          </cell>
          <cell r="Q108">
            <v>94.6</v>
          </cell>
          <cell r="S108">
            <v>25</v>
          </cell>
          <cell r="T108" t="str">
            <v>1</v>
          </cell>
          <cell r="U108">
            <v>1234.8</v>
          </cell>
          <cell r="V108">
            <v>1236.4000000000001</v>
          </cell>
          <cell r="W108">
            <v>732.3</v>
          </cell>
          <cell r="Y108">
            <v>3.5</v>
          </cell>
          <cell r="Z108">
            <v>1237.0999999999999</v>
          </cell>
          <cell r="AA108">
            <v>1239.2</v>
          </cell>
          <cell r="AB108">
            <v>732.5</v>
          </cell>
          <cell r="AD108">
            <v>3.4</v>
          </cell>
          <cell r="AE108">
            <v>1236.2</v>
          </cell>
          <cell r="AF108">
            <v>1238.3</v>
          </cell>
          <cell r="AG108">
            <v>733.3</v>
          </cell>
          <cell r="AI108">
            <v>3.1</v>
          </cell>
          <cell r="AK108">
            <v>1554.0380400000001</v>
          </cell>
          <cell r="AM108">
            <v>1408.2195100000001</v>
          </cell>
          <cell r="AO108">
            <v>1460.2247200000002</v>
          </cell>
          <cell r="AP108" t="str">
            <v>Muestra tomada en el elevador</v>
          </cell>
          <cell r="AQ108" t="str">
            <v>-</v>
          </cell>
          <cell r="AR108">
            <v>1527</v>
          </cell>
          <cell r="AS108">
            <v>3.3</v>
          </cell>
          <cell r="AV108">
            <v>2.4391508508442667</v>
          </cell>
          <cell r="BS108">
            <v>2.5640000000000001</v>
          </cell>
        </row>
        <row r="109">
          <cell r="A109">
            <v>107</v>
          </cell>
          <cell r="B109">
            <v>40245</v>
          </cell>
          <cell r="D109">
            <v>1500.7</v>
          </cell>
          <cell r="E109">
            <v>1428.6</v>
          </cell>
          <cell r="G109" t="str">
            <v>Parcheo elaboración de fallos en vías urbanas y rurales del municipio de Medellín; Estyma S.A.; Consorcio Vial Santa Elena (Parque Arví)</v>
          </cell>
          <cell r="H109" t="str">
            <v>2/2</v>
          </cell>
          <cell r="I109">
            <v>0</v>
          </cell>
          <cell r="J109">
            <v>163.69999999999999</v>
          </cell>
          <cell r="K109">
            <v>183.9</v>
          </cell>
          <cell r="L109">
            <v>326.8</v>
          </cell>
          <cell r="M109">
            <v>296.8</v>
          </cell>
          <cell r="N109">
            <v>210.3</v>
          </cell>
          <cell r="O109">
            <v>84.9</v>
          </cell>
          <cell r="P109">
            <v>76.2</v>
          </cell>
          <cell r="Q109">
            <v>86</v>
          </cell>
          <cell r="S109">
            <v>25</v>
          </cell>
          <cell r="T109" t="str">
            <v>1</v>
          </cell>
          <cell r="U109">
            <v>1235.9000000000001</v>
          </cell>
          <cell r="V109">
            <v>1238.2</v>
          </cell>
          <cell r="W109">
            <v>732.8</v>
          </cell>
          <cell r="Y109">
            <v>3.2</v>
          </cell>
          <cell r="Z109">
            <v>1236.2</v>
          </cell>
          <cell r="AA109">
            <v>1238.3</v>
          </cell>
          <cell r="AB109">
            <v>734.9</v>
          </cell>
          <cell r="AD109">
            <v>3.5</v>
          </cell>
          <cell r="AE109">
            <v>1236.9000000000001</v>
          </cell>
          <cell r="AF109">
            <v>1239.3</v>
          </cell>
          <cell r="AG109">
            <v>733.4</v>
          </cell>
          <cell r="AI109">
            <v>3.34</v>
          </cell>
          <cell r="AK109">
            <v>1415.3574800000001</v>
          </cell>
          <cell r="AM109">
            <v>1594.82644</v>
          </cell>
          <cell r="AO109">
            <v>1358.2537200000002</v>
          </cell>
          <cell r="AP109" t="str">
            <v>Muestra tomada en la volqueta</v>
          </cell>
          <cell r="AQ109" t="str">
            <v>-</v>
          </cell>
          <cell r="AR109">
            <v>1510</v>
          </cell>
          <cell r="AS109">
            <v>3.3</v>
          </cell>
          <cell r="AV109">
            <v>2.441517815955967</v>
          </cell>
          <cell r="BS109">
            <v>2.5640000000000001</v>
          </cell>
        </row>
        <row r="110">
          <cell r="A110">
            <v>108</v>
          </cell>
          <cell r="B110">
            <v>40246</v>
          </cell>
          <cell r="D110">
            <v>1500.9</v>
          </cell>
          <cell r="E110">
            <v>1426.2</v>
          </cell>
          <cell r="G110" t="str">
            <v>Parcheo elaboración de fallos en vías urbanas y rurales del municipio de Medellín; Estyma S.A.; Consorcio Vial Santa Elena (Parque Arví)</v>
          </cell>
          <cell r="H110" t="str">
            <v>1/2</v>
          </cell>
          <cell r="I110">
            <v>0</v>
          </cell>
          <cell r="J110">
            <v>154.19999999999999</v>
          </cell>
          <cell r="K110">
            <v>151.9</v>
          </cell>
          <cell r="L110">
            <v>322.10000000000002</v>
          </cell>
          <cell r="M110">
            <v>323.5</v>
          </cell>
          <cell r="N110">
            <v>233.4</v>
          </cell>
          <cell r="O110">
            <v>78.900000000000006</v>
          </cell>
          <cell r="P110">
            <v>77.7</v>
          </cell>
          <cell r="Q110">
            <v>84.5</v>
          </cell>
          <cell r="S110">
            <v>25</v>
          </cell>
          <cell r="T110" t="str">
            <v>1</v>
          </cell>
          <cell r="U110">
            <v>1237.4000000000001</v>
          </cell>
          <cell r="V110">
            <v>1238.4000000000001</v>
          </cell>
          <cell r="W110">
            <v>735.1</v>
          </cell>
          <cell r="Y110">
            <v>3.2</v>
          </cell>
          <cell r="Z110">
            <v>1234.5</v>
          </cell>
          <cell r="AA110">
            <v>1237</v>
          </cell>
          <cell r="AB110">
            <v>726.9</v>
          </cell>
          <cell r="AD110">
            <v>3.3</v>
          </cell>
          <cell r="AE110">
            <v>1233.7</v>
          </cell>
          <cell r="AF110">
            <v>1235.7</v>
          </cell>
          <cell r="AG110">
            <v>728</v>
          </cell>
          <cell r="AI110">
            <v>3.6</v>
          </cell>
          <cell r="AK110">
            <v>1469.40211</v>
          </cell>
          <cell r="AM110">
            <v>1250.16446</v>
          </cell>
          <cell r="AO110">
            <v>1433.71226</v>
          </cell>
          <cell r="AP110" t="str">
            <v>Muestra tomada en el elevador</v>
          </cell>
          <cell r="AQ110" t="str">
            <v>-</v>
          </cell>
          <cell r="AR110">
            <v>1427</v>
          </cell>
          <cell r="AS110">
            <v>3.4</v>
          </cell>
          <cell r="AV110">
            <v>2.4290958686223396</v>
          </cell>
          <cell r="BS110">
            <v>2.5819999999999999</v>
          </cell>
        </row>
        <row r="111">
          <cell r="A111">
            <v>109</v>
          </cell>
          <cell r="B111">
            <v>40246</v>
          </cell>
          <cell r="D111">
            <v>1500.3</v>
          </cell>
          <cell r="E111">
            <v>1421.7</v>
          </cell>
          <cell r="G111" t="str">
            <v>Parcheo elaboración de fallos en vías urbanas y rurales del municipio de Medellín.</v>
          </cell>
          <cell r="H111" t="str">
            <v>2/2</v>
          </cell>
          <cell r="I111">
            <v>0</v>
          </cell>
          <cell r="J111">
            <v>185.6</v>
          </cell>
          <cell r="K111">
            <v>188.4</v>
          </cell>
          <cell r="L111">
            <v>291.5</v>
          </cell>
          <cell r="M111">
            <v>279.5</v>
          </cell>
          <cell r="N111">
            <v>226.4</v>
          </cell>
          <cell r="O111">
            <v>83.8</v>
          </cell>
          <cell r="P111">
            <v>76.5</v>
          </cell>
          <cell r="Q111">
            <v>90</v>
          </cell>
          <cell r="S111">
            <v>25</v>
          </cell>
          <cell r="T111" t="str">
            <v>1</v>
          </cell>
          <cell r="U111">
            <v>1234.8</v>
          </cell>
          <cell r="V111">
            <v>1235.5</v>
          </cell>
          <cell r="W111">
            <v>738.5</v>
          </cell>
          <cell r="Y111">
            <v>3.4</v>
          </cell>
          <cell r="Z111">
            <v>1233.5</v>
          </cell>
          <cell r="AA111">
            <v>1235</v>
          </cell>
          <cell r="AB111">
            <v>734</v>
          </cell>
          <cell r="AD111">
            <v>3.5</v>
          </cell>
          <cell r="AE111">
            <v>1231.8</v>
          </cell>
          <cell r="AF111">
            <v>1233.8</v>
          </cell>
          <cell r="AG111">
            <v>733.3</v>
          </cell>
          <cell r="AI111">
            <v>3.4</v>
          </cell>
          <cell r="AK111">
            <v>1753.9012</v>
          </cell>
          <cell r="AM111">
            <v>1493.8751500000001</v>
          </cell>
          <cell r="AO111">
            <v>1444.9290700000001</v>
          </cell>
          <cell r="AP111" t="str">
            <v>Muestra tomada en la volqueta</v>
          </cell>
          <cell r="AQ111" t="str">
            <v>-</v>
          </cell>
          <cell r="AR111">
            <v>1652</v>
          </cell>
          <cell r="AS111">
            <v>3.4</v>
          </cell>
          <cell r="AV111">
            <v>2.4620180551906889</v>
          </cell>
          <cell r="BS111">
            <v>2.5819999999999999</v>
          </cell>
        </row>
        <row r="112">
          <cell r="A112">
            <v>110</v>
          </cell>
          <cell r="B112">
            <v>40247</v>
          </cell>
          <cell r="D112">
            <v>1500.6</v>
          </cell>
          <cell r="E112">
            <v>1428.6</v>
          </cell>
          <cell r="G112" t="str">
            <v>Parcheo elaboración de fallos en vías urbanas y rurales del municipio de Medellín; Estyma S.A.; Consorcio Vial Santa Elena (Parque Arví), Magma</v>
          </cell>
          <cell r="H112" t="str">
            <v>1/2</v>
          </cell>
          <cell r="I112">
            <v>0</v>
          </cell>
          <cell r="J112">
            <v>182.6</v>
          </cell>
          <cell r="K112">
            <v>224.6</v>
          </cell>
          <cell r="L112">
            <v>282.60000000000002</v>
          </cell>
          <cell r="M112">
            <v>273.60000000000002</v>
          </cell>
          <cell r="N112">
            <v>222.3</v>
          </cell>
          <cell r="O112">
            <v>82.5</v>
          </cell>
          <cell r="P112">
            <v>78.900000000000006</v>
          </cell>
          <cell r="Q112">
            <v>81.5</v>
          </cell>
          <cell r="S112">
            <v>25</v>
          </cell>
          <cell r="T112" t="str">
            <v>1</v>
          </cell>
          <cell r="U112">
            <v>1235.2</v>
          </cell>
          <cell r="V112">
            <v>1238.5</v>
          </cell>
          <cell r="W112">
            <v>729.5</v>
          </cell>
          <cell r="Y112">
            <v>3.5</v>
          </cell>
          <cell r="Z112">
            <v>1236.4000000000001</v>
          </cell>
          <cell r="AA112">
            <v>1239.0999999999999</v>
          </cell>
          <cell r="AB112">
            <v>730.4</v>
          </cell>
          <cell r="AD112">
            <v>3.3</v>
          </cell>
          <cell r="AE112">
            <v>1236.5</v>
          </cell>
          <cell r="AF112">
            <v>1239.5999999999999</v>
          </cell>
          <cell r="AG112">
            <v>732.4</v>
          </cell>
          <cell r="AI112">
            <v>3.1</v>
          </cell>
          <cell r="AK112">
            <v>1317.46532</v>
          </cell>
          <cell r="AM112">
            <v>1494.8948600000001</v>
          </cell>
          <cell r="AO112">
            <v>1452.0670400000001</v>
          </cell>
          <cell r="AP112" t="str">
            <v>Muestra tomada en el elevador</v>
          </cell>
          <cell r="AQ112" t="str">
            <v>-</v>
          </cell>
          <cell r="AR112">
            <v>1458</v>
          </cell>
          <cell r="AS112">
            <v>3.3</v>
          </cell>
          <cell r="AV112">
            <v>2.4245947621061488</v>
          </cell>
          <cell r="BS112">
            <v>2.5819999999999999</v>
          </cell>
        </row>
        <row r="113">
          <cell r="A113">
            <v>111</v>
          </cell>
          <cell r="B113">
            <v>40247</v>
          </cell>
          <cell r="D113">
            <v>1501.1</v>
          </cell>
          <cell r="E113">
            <v>1427.9</v>
          </cell>
          <cell r="G113" t="str">
            <v>Parcheo elaboración de fallos en vías urbanas y rurales del municipio de Medellín; Estyma S.A.; Consorcio Vial Santa Elena (Parque Arví), Magma</v>
          </cell>
          <cell r="H113" t="str">
            <v>2/2</v>
          </cell>
          <cell r="I113">
            <v>0</v>
          </cell>
          <cell r="J113">
            <v>125.7</v>
          </cell>
          <cell r="K113">
            <v>204.2</v>
          </cell>
          <cell r="L113">
            <v>321.3</v>
          </cell>
          <cell r="M113">
            <v>301</v>
          </cell>
          <cell r="N113">
            <v>229.8</v>
          </cell>
          <cell r="O113">
            <v>78.400000000000006</v>
          </cell>
          <cell r="P113">
            <v>79.7</v>
          </cell>
          <cell r="Q113">
            <v>87.8</v>
          </cell>
          <cell r="S113">
            <v>25</v>
          </cell>
          <cell r="T113" t="str">
            <v>1</v>
          </cell>
          <cell r="U113">
            <v>1235.7</v>
          </cell>
          <cell r="V113">
            <v>1236.9000000000001</v>
          </cell>
          <cell r="W113">
            <v>732.9</v>
          </cell>
          <cell r="Y113">
            <v>3.3</v>
          </cell>
          <cell r="Z113">
            <v>1235.8</v>
          </cell>
          <cell r="AA113">
            <v>1237.0999999999999</v>
          </cell>
          <cell r="AB113">
            <v>731.5</v>
          </cell>
          <cell r="AD113">
            <v>3.1</v>
          </cell>
          <cell r="AE113">
            <v>1234</v>
          </cell>
          <cell r="AF113">
            <v>1235.5999999999999</v>
          </cell>
          <cell r="AG113">
            <v>737.3</v>
          </cell>
          <cell r="AI113">
            <v>3.2</v>
          </cell>
          <cell r="AK113">
            <v>1515.2890600000001</v>
          </cell>
          <cell r="AM113">
            <v>1440.8502300000002</v>
          </cell>
          <cell r="AO113">
            <v>1367.43111</v>
          </cell>
          <cell r="AP113" t="str">
            <v>Muestra tomada en la volqueta</v>
          </cell>
          <cell r="AQ113" t="str">
            <v>-</v>
          </cell>
          <cell r="AR113">
            <v>1505</v>
          </cell>
          <cell r="AS113">
            <v>3.2</v>
          </cell>
          <cell r="AV113">
            <v>2.4502886222781286</v>
          </cell>
          <cell r="BS113">
            <v>2.5819999999999999</v>
          </cell>
        </row>
        <row r="114">
          <cell r="A114">
            <v>112</v>
          </cell>
          <cell r="B114">
            <v>40248</v>
          </cell>
          <cell r="D114">
            <v>1500.5</v>
          </cell>
          <cell r="E114">
            <v>1426.3</v>
          </cell>
          <cell r="G114" t="str">
            <v>Parcheo elaboración de fallos en vías urbanas y rurales del municipio de Medellín; Estyma S.A.; Consorcio Vial Santa Elena, Magma</v>
          </cell>
          <cell r="H114" t="str">
            <v>1/2</v>
          </cell>
          <cell r="I114">
            <v>0</v>
          </cell>
          <cell r="J114">
            <v>150.1</v>
          </cell>
          <cell r="K114">
            <v>167.1</v>
          </cell>
          <cell r="L114">
            <v>357.9</v>
          </cell>
          <cell r="M114">
            <v>301.3</v>
          </cell>
          <cell r="N114">
            <v>213.6</v>
          </cell>
          <cell r="O114">
            <v>89.8</v>
          </cell>
          <cell r="P114">
            <v>69.2</v>
          </cell>
          <cell r="Q114">
            <v>77.3</v>
          </cell>
          <cell r="S114">
            <v>25</v>
          </cell>
          <cell r="T114" t="str">
            <v>1</v>
          </cell>
          <cell r="U114">
            <v>1235.2</v>
          </cell>
          <cell r="V114">
            <v>1238.5</v>
          </cell>
          <cell r="W114">
            <v>729.5</v>
          </cell>
          <cell r="Y114">
            <v>3.5</v>
          </cell>
          <cell r="Z114">
            <v>1236.4000000000001</v>
          </cell>
          <cell r="AA114">
            <v>1239.0999999999999</v>
          </cell>
          <cell r="AB114">
            <v>730.4</v>
          </cell>
          <cell r="AD114">
            <v>3.3</v>
          </cell>
          <cell r="AE114">
            <v>1236.5</v>
          </cell>
          <cell r="AF114">
            <v>1239.5999999999999</v>
          </cell>
          <cell r="AG114">
            <v>732.4</v>
          </cell>
          <cell r="AI114">
            <v>3.1</v>
          </cell>
          <cell r="AK114">
            <v>1317.46532</v>
          </cell>
          <cell r="AM114">
            <v>1494.8948600000001</v>
          </cell>
          <cell r="AO114">
            <v>1452.0670400000001</v>
          </cell>
          <cell r="AP114" t="str">
            <v>Muestra tomada en el elevador</v>
          </cell>
          <cell r="AQ114" t="str">
            <v>-</v>
          </cell>
          <cell r="AR114">
            <v>1458</v>
          </cell>
          <cell r="AS114">
            <v>3.3</v>
          </cell>
          <cell r="AV114">
            <v>2.4245947621061488</v>
          </cell>
          <cell r="BS114">
            <v>2.569</v>
          </cell>
        </row>
        <row r="115">
          <cell r="A115">
            <v>113</v>
          </cell>
          <cell r="B115">
            <v>40248</v>
          </cell>
          <cell r="D115">
            <v>1500.3</v>
          </cell>
          <cell r="E115">
            <v>1420.3</v>
          </cell>
          <cell r="G115" t="str">
            <v>Parcheo elaboración de fallos en vías urbanas y rurales del municipio de Medellín; Estyma S.A.; Consorcio Vial Santa Elena, Magma</v>
          </cell>
          <cell r="H115" t="str">
            <v>2/2</v>
          </cell>
          <cell r="I115">
            <v>0</v>
          </cell>
          <cell r="J115">
            <v>181.1</v>
          </cell>
          <cell r="K115">
            <v>128.5</v>
          </cell>
          <cell r="L115">
            <v>304.8</v>
          </cell>
          <cell r="M115">
            <v>307.39999999999998</v>
          </cell>
          <cell r="N115">
            <v>245.1</v>
          </cell>
          <cell r="O115">
            <v>80</v>
          </cell>
          <cell r="P115">
            <v>82.2</v>
          </cell>
          <cell r="Q115">
            <v>91.2</v>
          </cell>
          <cell r="S115">
            <v>25</v>
          </cell>
          <cell r="T115" t="str">
            <v>1</v>
          </cell>
          <cell r="U115">
            <v>1235.7</v>
          </cell>
          <cell r="V115">
            <v>1236.7</v>
          </cell>
          <cell r="W115">
            <v>732.9</v>
          </cell>
          <cell r="Y115">
            <v>3.3</v>
          </cell>
          <cell r="Z115">
            <v>1235.8</v>
          </cell>
          <cell r="AA115">
            <v>1237.0999999999999</v>
          </cell>
          <cell r="AB115">
            <v>731.5</v>
          </cell>
          <cell r="AD115">
            <v>3.1</v>
          </cell>
          <cell r="AE115">
            <v>1234</v>
          </cell>
          <cell r="AF115">
            <v>1235.5999999999999</v>
          </cell>
          <cell r="AG115">
            <v>727.3</v>
          </cell>
          <cell r="AI115">
            <v>3.2</v>
          </cell>
          <cell r="AK115">
            <v>1617.2600600000001</v>
          </cell>
          <cell r="AM115">
            <v>1437.7910999999999</v>
          </cell>
          <cell r="AO115">
            <v>1367.43111</v>
          </cell>
          <cell r="AP115" t="str">
            <v>Muestra tomada en la volqueta</v>
          </cell>
          <cell r="AQ115" t="str">
            <v>-</v>
          </cell>
          <cell r="AR115">
            <v>1524</v>
          </cell>
          <cell r="AS115">
            <v>3.2</v>
          </cell>
          <cell r="AV115">
            <v>2.4344197305275812</v>
          </cell>
          <cell r="BS115">
            <v>2.569</v>
          </cell>
        </row>
        <row r="116">
          <cell r="A116">
            <v>114</v>
          </cell>
          <cell r="B116">
            <v>40249</v>
          </cell>
          <cell r="D116">
            <v>1500.5</v>
          </cell>
          <cell r="E116">
            <v>1425.1</v>
          </cell>
          <cell r="G116" t="str">
            <v>Parcheo elaboración de fallos en vías urbanas y rurales del municipio de Medellín; Estyma S.A.; Consorcio Vial Santa Elena, Magma</v>
          </cell>
          <cell r="H116" t="str">
            <v>1/2</v>
          </cell>
          <cell r="I116">
            <v>0</v>
          </cell>
          <cell r="J116">
            <v>135</v>
          </cell>
          <cell r="K116">
            <v>178.7</v>
          </cell>
          <cell r="L116">
            <v>359.5</v>
          </cell>
          <cell r="M116">
            <v>306.2</v>
          </cell>
          <cell r="N116">
            <v>213</v>
          </cell>
          <cell r="O116">
            <v>70.400000000000006</v>
          </cell>
          <cell r="P116">
            <v>71.400000000000006</v>
          </cell>
          <cell r="Q116">
            <v>90.9</v>
          </cell>
          <cell r="S116">
            <v>25</v>
          </cell>
          <cell r="T116" t="str">
            <v>1</v>
          </cell>
          <cell r="U116">
            <v>1238.0999999999999</v>
          </cell>
          <cell r="V116">
            <v>1239</v>
          </cell>
          <cell r="W116">
            <v>733.8</v>
          </cell>
          <cell r="Y116">
            <v>3.1</v>
          </cell>
          <cell r="Z116">
            <v>1233.8</v>
          </cell>
          <cell r="AA116">
            <v>1235.2</v>
          </cell>
          <cell r="AB116">
            <v>730.3</v>
          </cell>
          <cell r="AD116">
            <v>3.3</v>
          </cell>
          <cell r="AE116">
            <v>1234.3</v>
          </cell>
          <cell r="AF116">
            <v>1235.9000000000001</v>
          </cell>
          <cell r="AG116">
            <v>729.8</v>
          </cell>
          <cell r="AI116">
            <v>3.5</v>
          </cell>
          <cell r="AK116">
            <v>1499.99341</v>
          </cell>
          <cell r="AM116">
            <v>1471.4415300000001</v>
          </cell>
          <cell r="AO116">
            <v>1316.44561</v>
          </cell>
          <cell r="AP116" t="str">
            <v>Muestra tomada en el elevador</v>
          </cell>
          <cell r="AQ116" t="str">
            <v>-</v>
          </cell>
          <cell r="AR116">
            <v>1480</v>
          </cell>
          <cell r="AS116">
            <v>3.3</v>
          </cell>
          <cell r="AV116">
            <v>2.437253744490584</v>
          </cell>
          <cell r="BS116">
            <v>2.5739999999999998</v>
          </cell>
        </row>
        <row r="117">
          <cell r="A117">
            <v>115</v>
          </cell>
          <cell r="B117">
            <v>40249</v>
          </cell>
          <cell r="D117">
            <v>1500.5</v>
          </cell>
          <cell r="E117">
            <v>1423.8</v>
          </cell>
          <cell r="G117" t="str">
            <v>Parcheo elaboración de fallos en vías urbanas y rurales del municipio de Medellín; Estyma S.A.; Consorcio Vial Santa Elena, Magma</v>
          </cell>
          <cell r="H117" t="str">
            <v>2/2</v>
          </cell>
          <cell r="I117">
            <v>0</v>
          </cell>
          <cell r="J117">
            <v>141.30000000000001</v>
          </cell>
          <cell r="K117">
            <v>244.8</v>
          </cell>
          <cell r="L117">
            <v>268</v>
          </cell>
          <cell r="M117">
            <v>296.60000000000002</v>
          </cell>
          <cell r="N117">
            <v>237.5</v>
          </cell>
          <cell r="O117">
            <v>82.3</v>
          </cell>
          <cell r="P117">
            <v>65.3</v>
          </cell>
          <cell r="Q117">
            <v>88</v>
          </cell>
          <cell r="S117">
            <v>25</v>
          </cell>
          <cell r="T117" t="str">
            <v>1</v>
          </cell>
          <cell r="U117">
            <v>1236.0999999999999</v>
          </cell>
          <cell r="V117">
            <v>1237.9000000000001</v>
          </cell>
          <cell r="W117">
            <v>733.1</v>
          </cell>
          <cell r="Y117">
            <v>3</v>
          </cell>
          <cell r="Z117">
            <v>1233.8</v>
          </cell>
          <cell r="AA117">
            <v>1235.8</v>
          </cell>
          <cell r="AB117">
            <v>732</v>
          </cell>
          <cell r="AD117">
            <v>3.2</v>
          </cell>
          <cell r="AE117">
            <v>1234</v>
          </cell>
          <cell r="AF117">
            <v>1235.7</v>
          </cell>
          <cell r="AG117">
            <v>731.3</v>
          </cell>
          <cell r="AI117">
            <v>3.5</v>
          </cell>
          <cell r="AK117">
            <v>1490.81602</v>
          </cell>
          <cell r="AM117">
            <v>1434.73197</v>
          </cell>
          <cell r="AO117">
            <v>1502.0328300000001</v>
          </cell>
          <cell r="AP117" t="str">
            <v>Muestra tomada en la volqueta</v>
          </cell>
          <cell r="AQ117" t="str">
            <v>-</v>
          </cell>
          <cell r="AR117">
            <v>1533</v>
          </cell>
          <cell r="AS117">
            <v>3.2</v>
          </cell>
          <cell r="AV117">
            <v>2.4408898857338079</v>
          </cell>
          <cell r="BS117">
            <v>2.5739999999999998</v>
          </cell>
        </row>
        <row r="118">
          <cell r="A118">
            <v>116</v>
          </cell>
          <cell r="B118">
            <v>40252</v>
          </cell>
          <cell r="D118">
            <v>1500.6</v>
          </cell>
          <cell r="E118">
            <v>1424.4</v>
          </cell>
          <cell r="G118" t="str">
            <v>Parcheo elaboración de fallos en vías urbanas y rurales del municipio de Medellín; Consorcio Vial Santa Elena.</v>
          </cell>
          <cell r="H118" t="str">
            <v>1/3</v>
          </cell>
          <cell r="I118">
            <v>0</v>
          </cell>
          <cell r="J118">
            <v>158.69999999999999</v>
          </cell>
          <cell r="K118">
            <v>234</v>
          </cell>
          <cell r="L118">
            <v>264.8</v>
          </cell>
          <cell r="M118">
            <v>304.7</v>
          </cell>
          <cell r="N118">
            <v>236.7</v>
          </cell>
          <cell r="O118">
            <v>70.900000000000006</v>
          </cell>
          <cell r="P118">
            <v>72.3</v>
          </cell>
          <cell r="Q118">
            <v>82.3</v>
          </cell>
          <cell r="S118">
            <v>25</v>
          </cell>
          <cell r="T118" t="str">
            <v>1</v>
          </cell>
          <cell r="U118">
            <v>1235.7</v>
          </cell>
          <cell r="V118">
            <v>1236.8</v>
          </cell>
          <cell r="W118">
            <v>733.3</v>
          </cell>
          <cell r="Y118">
            <v>3.4</v>
          </cell>
          <cell r="Z118">
            <v>1237.4000000000001</v>
          </cell>
          <cell r="AA118">
            <v>1239.9000000000001</v>
          </cell>
          <cell r="AB118">
            <v>731</v>
          </cell>
          <cell r="AD118">
            <v>2.92</v>
          </cell>
          <cell r="AE118">
            <v>1231.5999999999999</v>
          </cell>
          <cell r="AF118">
            <v>1233.0999999999999</v>
          </cell>
          <cell r="AG118">
            <v>725.5</v>
          </cell>
          <cell r="AI118">
            <v>3.5</v>
          </cell>
          <cell r="AK118">
            <v>1599.92499</v>
          </cell>
          <cell r="AM118">
            <v>1217.5337400000001</v>
          </cell>
          <cell r="AO118">
            <v>1361.31285</v>
          </cell>
          <cell r="AP118" t="str">
            <v>Muestra tomada en el elevador</v>
          </cell>
          <cell r="AQ118" t="str">
            <v>-</v>
          </cell>
          <cell r="AR118">
            <v>1437</v>
          </cell>
          <cell r="AS118">
            <v>3.3</v>
          </cell>
          <cell r="AV118">
            <v>2.4302238608705724</v>
          </cell>
          <cell r="BS118">
            <v>2.5680000000000001</v>
          </cell>
        </row>
        <row r="119">
          <cell r="A119">
            <v>117</v>
          </cell>
          <cell r="B119">
            <v>40252</v>
          </cell>
          <cell r="D119">
            <v>1500.5</v>
          </cell>
          <cell r="E119">
            <v>1426.9</v>
          </cell>
          <cell r="G119" t="str">
            <v>Parcheo elaboración de fallos en vías urbanas y rurales del municipio de Medellín; Consorcio Vial Santa Elena.</v>
          </cell>
          <cell r="H119" t="str">
            <v>2/3</v>
          </cell>
          <cell r="I119">
            <v>0</v>
          </cell>
          <cell r="J119">
            <v>176.4</v>
          </cell>
          <cell r="K119">
            <v>239.4</v>
          </cell>
          <cell r="L119">
            <v>265.8</v>
          </cell>
          <cell r="M119">
            <v>288.5</v>
          </cell>
          <cell r="N119">
            <v>224</v>
          </cell>
          <cell r="O119">
            <v>79.7</v>
          </cell>
          <cell r="P119">
            <v>65</v>
          </cell>
          <cell r="Q119">
            <v>88.1</v>
          </cell>
          <cell r="S119">
            <v>25</v>
          </cell>
          <cell r="T119" t="str">
            <v>1</v>
          </cell>
          <cell r="U119">
            <v>1237.2</v>
          </cell>
          <cell r="V119">
            <v>1238.5</v>
          </cell>
          <cell r="W119">
            <v>737.2</v>
          </cell>
          <cell r="Y119">
            <v>3.3</v>
          </cell>
          <cell r="Z119">
            <v>1234.4000000000001</v>
          </cell>
          <cell r="AA119">
            <v>1236.4000000000001</v>
          </cell>
          <cell r="AB119">
            <v>734.8</v>
          </cell>
          <cell r="AD119">
            <v>3.4</v>
          </cell>
          <cell r="AE119">
            <v>1234.3</v>
          </cell>
          <cell r="AF119">
            <v>1236.3</v>
          </cell>
          <cell r="AG119">
            <v>734.6</v>
          </cell>
          <cell r="AI119">
            <v>3.6</v>
          </cell>
          <cell r="AK119">
            <v>1511.2102200000002</v>
          </cell>
          <cell r="AM119">
            <v>1369.4705300000001</v>
          </cell>
          <cell r="AO119">
            <v>1677.4229499999999</v>
          </cell>
          <cell r="AP119" t="str">
            <v>Muestra tomada en la volqueta</v>
          </cell>
          <cell r="AQ119" t="str">
            <v>-</v>
          </cell>
          <cell r="AR119">
            <v>1593</v>
          </cell>
          <cell r="AS119">
            <v>3.4</v>
          </cell>
          <cell r="AV119">
            <v>2.4558434130226865</v>
          </cell>
          <cell r="BS119">
            <v>2.5680000000000001</v>
          </cell>
        </row>
        <row r="120">
          <cell r="A120">
            <v>118</v>
          </cell>
          <cell r="B120">
            <v>40252</v>
          </cell>
          <cell r="D120">
            <v>1500.3</v>
          </cell>
          <cell r="E120">
            <v>1426.3</v>
          </cell>
          <cell r="G120" t="str">
            <v>Parcheo elaboración de fallos en vías urbanas y rurales del municipio de Medellín.</v>
          </cell>
          <cell r="H120" t="str">
            <v>3/3</v>
          </cell>
          <cell r="I120">
            <v>0</v>
          </cell>
          <cell r="J120">
            <v>180.5</v>
          </cell>
          <cell r="K120">
            <v>195.3</v>
          </cell>
          <cell r="L120">
            <v>285.10000000000002</v>
          </cell>
          <cell r="M120">
            <v>306.39999999999998</v>
          </cell>
          <cell r="N120">
            <v>221.7</v>
          </cell>
          <cell r="O120">
            <v>75.400000000000006</v>
          </cell>
          <cell r="P120">
            <v>75.400000000000006</v>
          </cell>
          <cell r="Q120">
            <v>86.5</v>
          </cell>
          <cell r="S120">
            <v>25</v>
          </cell>
          <cell r="T120" t="str">
            <v>1</v>
          </cell>
          <cell r="AK120">
            <v>0</v>
          </cell>
          <cell r="AM120">
            <v>0</v>
          </cell>
          <cell r="AO120">
            <v>0</v>
          </cell>
          <cell r="AP120" t="str">
            <v>Muestra tomada en el obra en cojunto con el Laboratorio de AIM</v>
          </cell>
          <cell r="AQ120" t="str">
            <v>Cra. 43G con calle 25A</v>
          </cell>
          <cell r="AR120">
            <v>0</v>
          </cell>
          <cell r="AS120">
            <v>0</v>
          </cell>
          <cell r="AV120">
            <v>0</v>
          </cell>
          <cell r="BS120">
            <v>2.5680000000000001</v>
          </cell>
        </row>
        <row r="121">
          <cell r="A121">
            <v>119</v>
          </cell>
          <cell r="B121">
            <v>40253</v>
          </cell>
          <cell r="D121">
            <v>1500.3</v>
          </cell>
          <cell r="E121">
            <v>1424.4</v>
          </cell>
          <cell r="G121" t="str">
            <v>Parcheo elaboración de fallos en vías urbanas y rurales del municipio de Medellín; Consorcio Vial Santa Elena.</v>
          </cell>
          <cell r="H121" t="str">
            <v>1/3</v>
          </cell>
          <cell r="I121">
            <v>0</v>
          </cell>
          <cell r="J121">
            <v>159.30000000000001</v>
          </cell>
          <cell r="K121">
            <v>175.7</v>
          </cell>
          <cell r="L121">
            <v>293</v>
          </cell>
          <cell r="M121">
            <v>333.2</v>
          </cell>
          <cell r="N121">
            <v>230</v>
          </cell>
          <cell r="O121">
            <v>73.7</v>
          </cell>
          <cell r="P121">
            <v>74.400000000000006</v>
          </cell>
          <cell r="Q121">
            <v>85.1</v>
          </cell>
          <cell r="S121">
            <v>25</v>
          </cell>
          <cell r="T121" t="str">
            <v>1</v>
          </cell>
          <cell r="U121">
            <v>1244.5999999999999</v>
          </cell>
          <cell r="V121">
            <v>1236.7</v>
          </cell>
          <cell r="W121">
            <v>729.2</v>
          </cell>
          <cell r="Y121">
            <v>3</v>
          </cell>
          <cell r="Z121">
            <v>1234.3</v>
          </cell>
          <cell r="AA121">
            <v>1236.7</v>
          </cell>
          <cell r="AB121">
            <v>728.1</v>
          </cell>
          <cell r="AD121">
            <v>3.2</v>
          </cell>
          <cell r="AE121">
            <v>1235.8</v>
          </cell>
          <cell r="AF121">
            <v>1238.5999999999999</v>
          </cell>
          <cell r="AG121">
            <v>729.5</v>
          </cell>
          <cell r="AI121">
            <v>3.4</v>
          </cell>
          <cell r="AK121">
            <v>1428.6137100000001</v>
          </cell>
          <cell r="AM121">
            <v>1356.2143000000001</v>
          </cell>
          <cell r="AO121">
            <v>1371.5099499999999</v>
          </cell>
          <cell r="AP121" t="str">
            <v>Muestra tomada en el elevador</v>
          </cell>
          <cell r="AQ121" t="str">
            <v>-</v>
          </cell>
          <cell r="AR121">
            <v>1420</v>
          </cell>
          <cell r="AS121">
            <v>3.2</v>
          </cell>
          <cell r="AV121">
            <v>2.4284402324450793</v>
          </cell>
          <cell r="BS121">
            <v>2.58</v>
          </cell>
        </row>
        <row r="122">
          <cell r="A122">
            <v>120</v>
          </cell>
          <cell r="B122">
            <v>40253</v>
          </cell>
          <cell r="D122">
            <v>1502.4</v>
          </cell>
          <cell r="E122">
            <v>1431.6</v>
          </cell>
          <cell r="G122" t="str">
            <v>Parcheo elaboración de fallos en vías urbanas y rurales del municipio de Medellín; Consorcio Vial Santa Elena.</v>
          </cell>
          <cell r="H122" t="str">
            <v>2/3</v>
          </cell>
          <cell r="I122">
            <v>0</v>
          </cell>
          <cell r="J122">
            <v>204.5</v>
          </cell>
          <cell r="K122">
            <v>199.6</v>
          </cell>
          <cell r="L122">
            <v>293.3</v>
          </cell>
          <cell r="M122">
            <v>258.3</v>
          </cell>
          <cell r="N122">
            <v>241.6</v>
          </cell>
          <cell r="O122">
            <v>79.900000000000006</v>
          </cell>
          <cell r="P122">
            <v>65.599999999999994</v>
          </cell>
          <cell r="Q122">
            <v>88.8</v>
          </cell>
          <cell r="S122">
            <v>25</v>
          </cell>
          <cell r="T122" t="str">
            <v>1</v>
          </cell>
          <cell r="U122">
            <v>1239.8</v>
          </cell>
          <cell r="V122">
            <v>1241.7</v>
          </cell>
          <cell r="W122">
            <v>736</v>
          </cell>
          <cell r="Y122">
            <v>3.2</v>
          </cell>
          <cell r="Z122">
            <v>1237</v>
          </cell>
          <cell r="AA122">
            <v>1239.4000000000001</v>
          </cell>
          <cell r="AB122">
            <v>734.8</v>
          </cell>
          <cell r="AD122">
            <v>3.4</v>
          </cell>
          <cell r="AE122">
            <v>1235.7</v>
          </cell>
          <cell r="AF122">
            <v>1236.5999999999999</v>
          </cell>
          <cell r="AG122">
            <v>734.6</v>
          </cell>
          <cell r="AI122">
            <v>3.4</v>
          </cell>
          <cell r="AK122">
            <v>1397.0027</v>
          </cell>
          <cell r="AM122">
            <v>1415.3574800000001</v>
          </cell>
          <cell r="AO122">
            <v>1594.82644</v>
          </cell>
          <cell r="AP122" t="str">
            <v>Muestra tomada en la volqueta</v>
          </cell>
          <cell r="AQ122" t="str">
            <v>-</v>
          </cell>
          <cell r="AR122">
            <v>1528</v>
          </cell>
          <cell r="AS122">
            <v>3.3</v>
          </cell>
          <cell r="AV122">
            <v>2.4477033486045174</v>
          </cell>
          <cell r="BS122">
            <v>2.58</v>
          </cell>
        </row>
        <row r="123">
          <cell r="A123">
            <v>121</v>
          </cell>
          <cell r="B123">
            <v>40253</v>
          </cell>
          <cell r="D123">
            <v>1504.1</v>
          </cell>
          <cell r="E123">
            <v>1427.8</v>
          </cell>
          <cell r="G123" t="str">
            <v>Parcheo elaboración de fallos en vías urbanas y rurales del municipio de Medellín.</v>
          </cell>
          <cell r="H123" t="str">
            <v>3/3</v>
          </cell>
          <cell r="I123">
            <v>0</v>
          </cell>
          <cell r="J123">
            <v>156.80000000000001</v>
          </cell>
          <cell r="K123">
            <v>179.4</v>
          </cell>
          <cell r="L123">
            <v>292.7</v>
          </cell>
          <cell r="M123">
            <v>349.1</v>
          </cell>
          <cell r="N123">
            <v>226</v>
          </cell>
          <cell r="O123">
            <v>69.099999999999994</v>
          </cell>
          <cell r="P123">
            <v>69.7</v>
          </cell>
          <cell r="Q123">
            <v>85</v>
          </cell>
          <cell r="S123">
            <v>25</v>
          </cell>
          <cell r="T123" t="str">
            <v>1</v>
          </cell>
          <cell r="AK123">
            <v>0</v>
          </cell>
          <cell r="AM123">
            <v>0</v>
          </cell>
          <cell r="AO123">
            <v>0</v>
          </cell>
          <cell r="AP123" t="str">
            <v>Muestra tomada en el obra en cojunto con el Laboratorio de AIM</v>
          </cell>
          <cell r="AQ123" t="str">
            <v>Calle 10 Cra. 70A  (voqueta DIG 009)</v>
          </cell>
          <cell r="AR123">
            <v>0</v>
          </cell>
          <cell r="AS123">
            <v>0</v>
          </cell>
          <cell r="AV123">
            <v>0</v>
          </cell>
          <cell r="BS123">
            <v>2.58</v>
          </cell>
        </row>
        <row r="124">
          <cell r="A124">
            <v>122</v>
          </cell>
          <cell r="B124">
            <v>40254</v>
          </cell>
          <cell r="D124">
            <v>1500.3</v>
          </cell>
          <cell r="E124">
            <v>1427</v>
          </cell>
          <cell r="G124" t="str">
            <v>Parcheo elaboración de fallos en vías urbanas y rurales del municipio de Medellín; Consorcio Vial Santa Elena.</v>
          </cell>
          <cell r="H124" t="str">
            <v>1/3</v>
          </cell>
          <cell r="I124">
            <v>0</v>
          </cell>
          <cell r="J124">
            <v>200.3</v>
          </cell>
          <cell r="K124">
            <v>198</v>
          </cell>
          <cell r="L124">
            <v>274.8</v>
          </cell>
          <cell r="M124">
            <v>305.39999999999998</v>
          </cell>
          <cell r="N124">
            <v>222.7</v>
          </cell>
          <cell r="O124">
            <v>71.3</v>
          </cell>
          <cell r="P124">
            <v>67.3</v>
          </cell>
          <cell r="Q124">
            <v>87.2</v>
          </cell>
          <cell r="S124">
            <v>25</v>
          </cell>
          <cell r="T124" t="str">
            <v>1</v>
          </cell>
          <cell r="U124">
            <v>1237.4000000000001</v>
          </cell>
          <cell r="V124">
            <v>1238.2</v>
          </cell>
          <cell r="W124">
            <v>734.6</v>
          </cell>
          <cell r="Y124">
            <v>3.1</v>
          </cell>
          <cell r="Z124">
            <v>1237.5</v>
          </cell>
          <cell r="AA124">
            <v>1236.2</v>
          </cell>
          <cell r="AB124">
            <v>733.3</v>
          </cell>
          <cell r="AD124">
            <v>3.5</v>
          </cell>
          <cell r="AE124">
            <v>1233.3</v>
          </cell>
          <cell r="AF124">
            <v>1235.5999999999999</v>
          </cell>
          <cell r="AG124">
            <v>724.3</v>
          </cell>
          <cell r="AI124">
            <v>3.5</v>
          </cell>
          <cell r="AK124">
            <v>1577.4913700000002</v>
          </cell>
          <cell r="AM124">
            <v>1449.00791</v>
          </cell>
          <cell r="AO124">
            <v>1195.1001200000001</v>
          </cell>
          <cell r="AP124" t="str">
            <v>Muestra tomada en el elevador</v>
          </cell>
          <cell r="AQ124" t="str">
            <v>-</v>
          </cell>
          <cell r="AR124">
            <v>1456</v>
          </cell>
          <cell r="AS124">
            <v>3.4</v>
          </cell>
          <cell r="AV124">
            <v>2.4361611356118242</v>
          </cell>
          <cell r="BS124">
            <v>2.58</v>
          </cell>
        </row>
        <row r="125">
          <cell r="A125">
            <v>123</v>
          </cell>
          <cell r="B125">
            <v>40254</v>
          </cell>
          <cell r="D125">
            <v>1500.4</v>
          </cell>
          <cell r="E125">
            <v>1424.1</v>
          </cell>
          <cell r="G125" t="str">
            <v>Parcheo elaboración de fallos en vías urbanas y rurales del municipio de Medellín; Consorcio Vial Santa Elena.</v>
          </cell>
          <cell r="H125" t="str">
            <v>2/3</v>
          </cell>
          <cell r="I125">
            <v>0</v>
          </cell>
          <cell r="J125">
            <v>137.19999999999999</v>
          </cell>
          <cell r="K125">
            <v>172.7</v>
          </cell>
          <cell r="L125">
            <v>301.7</v>
          </cell>
          <cell r="M125">
            <v>324.89999999999998</v>
          </cell>
          <cell r="N125">
            <v>243.1</v>
          </cell>
          <cell r="O125">
            <v>85</v>
          </cell>
          <cell r="P125">
            <v>67.099999999999994</v>
          </cell>
          <cell r="Q125">
            <v>92.4</v>
          </cell>
          <cell r="S125">
            <v>25</v>
          </cell>
          <cell r="T125" t="str">
            <v>1</v>
          </cell>
          <cell r="U125">
            <v>1236.7</v>
          </cell>
          <cell r="V125">
            <v>1237.8</v>
          </cell>
          <cell r="W125">
            <v>735.5</v>
          </cell>
          <cell r="Y125">
            <v>3.1</v>
          </cell>
          <cell r="Z125">
            <v>1235.0999999999999</v>
          </cell>
          <cell r="AA125">
            <v>1235.8</v>
          </cell>
          <cell r="AB125">
            <v>733.4</v>
          </cell>
          <cell r="AD125">
            <v>2.9</v>
          </cell>
          <cell r="AE125">
            <v>1230.0999999999999</v>
          </cell>
          <cell r="AF125">
            <v>1230.8</v>
          </cell>
          <cell r="AG125">
            <v>728.9</v>
          </cell>
          <cell r="AI125">
            <v>3.1</v>
          </cell>
          <cell r="AK125">
            <v>1740.6449700000001</v>
          </cell>
          <cell r="AM125">
            <v>1498.9737</v>
          </cell>
          <cell r="AO125">
            <v>1401.0815400000001</v>
          </cell>
          <cell r="AP125" t="str">
            <v>Muestra tomada en la volqueta</v>
          </cell>
          <cell r="AQ125" t="str">
            <v>-</v>
          </cell>
          <cell r="AR125">
            <v>1618</v>
          </cell>
          <cell r="AS125">
            <v>3</v>
          </cell>
          <cell r="AV125">
            <v>2.449933179858462</v>
          </cell>
          <cell r="BS125">
            <v>2.58</v>
          </cell>
        </row>
        <row r="126">
          <cell r="A126">
            <v>124</v>
          </cell>
          <cell r="B126">
            <v>40254</v>
          </cell>
          <cell r="D126">
            <v>1501.9</v>
          </cell>
          <cell r="E126">
            <v>1421.9</v>
          </cell>
          <cell r="G126" t="str">
            <v>Parcheo elaboración de fallos en vías urbanas y rurales del municipio de Medellín.</v>
          </cell>
          <cell r="H126" t="str">
            <v>3/3</v>
          </cell>
          <cell r="I126">
            <v>0</v>
          </cell>
          <cell r="J126">
            <v>131.69999999999999</v>
          </cell>
          <cell r="K126">
            <v>187.3</v>
          </cell>
          <cell r="L126">
            <v>280.2</v>
          </cell>
          <cell r="M126">
            <v>328.5</v>
          </cell>
          <cell r="N126">
            <v>242.5</v>
          </cell>
          <cell r="O126">
            <v>88.1</v>
          </cell>
          <cell r="P126">
            <v>78.5</v>
          </cell>
          <cell r="Q126">
            <v>85.1</v>
          </cell>
          <cell r="S126">
            <v>25</v>
          </cell>
          <cell r="T126" t="str">
            <v>1</v>
          </cell>
          <cell r="AK126">
            <v>0</v>
          </cell>
          <cell r="AM126">
            <v>0</v>
          </cell>
          <cell r="AO126">
            <v>0</v>
          </cell>
          <cell r="AP126" t="str">
            <v>Muestra tomada en el obra en cojunto con el Laboratorio de AIM</v>
          </cell>
          <cell r="AQ126" t="str">
            <v>Cra. 43G con calle 25A  (Volqueta TMZ 201)</v>
          </cell>
          <cell r="AR126">
            <v>0</v>
          </cell>
          <cell r="AS126">
            <v>0</v>
          </cell>
          <cell r="AV126">
            <v>0</v>
          </cell>
          <cell r="BS126">
            <v>2.58</v>
          </cell>
        </row>
        <row r="127">
          <cell r="A127">
            <v>125</v>
          </cell>
          <cell r="B127">
            <v>40255</v>
          </cell>
          <cell r="D127">
            <v>1500.6</v>
          </cell>
          <cell r="E127">
            <v>1427</v>
          </cell>
          <cell r="G127" t="str">
            <v>Parcheo elaboración de fallos en vías urbanas y rurales del municipio de Medellín; Consorcio Vial Santa Elena.</v>
          </cell>
          <cell r="H127" t="str">
            <v>1/3</v>
          </cell>
          <cell r="I127">
            <v>0</v>
          </cell>
          <cell r="J127">
            <v>151.5</v>
          </cell>
          <cell r="K127">
            <v>184.9</v>
          </cell>
          <cell r="L127">
            <v>334</v>
          </cell>
          <cell r="M127">
            <v>310.39999999999998</v>
          </cell>
          <cell r="N127">
            <v>207.8</v>
          </cell>
          <cell r="O127">
            <v>85.3</v>
          </cell>
          <cell r="P127">
            <v>68.3</v>
          </cell>
          <cell r="Q127">
            <v>84.8</v>
          </cell>
          <cell r="S127">
            <v>25</v>
          </cell>
          <cell r="T127" t="str">
            <v>1</v>
          </cell>
          <cell r="U127">
            <v>1235.8</v>
          </cell>
          <cell r="V127">
            <v>1237.3</v>
          </cell>
          <cell r="W127">
            <v>731.7</v>
          </cell>
          <cell r="Y127">
            <v>3.1</v>
          </cell>
          <cell r="Z127">
            <v>1234.0999999999999</v>
          </cell>
          <cell r="AA127">
            <v>1235.9000000000001</v>
          </cell>
          <cell r="AB127">
            <v>725.7</v>
          </cell>
          <cell r="AD127">
            <v>3.5</v>
          </cell>
          <cell r="AE127">
            <v>1237.2</v>
          </cell>
          <cell r="AF127">
            <v>1239</v>
          </cell>
          <cell r="AG127">
            <v>730.3</v>
          </cell>
          <cell r="AI127">
            <v>3.3</v>
          </cell>
          <cell r="AK127">
            <v>1382.72676</v>
          </cell>
          <cell r="AM127">
            <v>1316.44561</v>
          </cell>
          <cell r="AO127">
            <v>1341.9383600000001</v>
          </cell>
          <cell r="AP127" t="str">
            <v>Muestra tomada en el elevador</v>
          </cell>
          <cell r="AQ127" t="str">
            <v>-</v>
          </cell>
          <cell r="AR127">
            <v>1382</v>
          </cell>
          <cell r="AS127">
            <v>3.3</v>
          </cell>
          <cell r="AV127">
            <v>2.4246078210558002</v>
          </cell>
          <cell r="BS127">
            <v>2.58</v>
          </cell>
        </row>
        <row r="128">
          <cell r="A128">
            <v>126</v>
          </cell>
          <cell r="B128">
            <v>40255</v>
          </cell>
          <cell r="D128">
            <v>1500.5</v>
          </cell>
          <cell r="E128">
            <v>1425.5</v>
          </cell>
          <cell r="G128" t="str">
            <v>Parcheo elaboración de fallos en vías urbanas y rurales del municipio de Medellín; Consorcio Vial Santa Elena.</v>
          </cell>
          <cell r="H128" t="str">
            <v>2/3</v>
          </cell>
          <cell r="I128">
            <v>0</v>
          </cell>
          <cell r="J128">
            <v>194.5</v>
          </cell>
          <cell r="K128">
            <v>176.7</v>
          </cell>
          <cell r="L128">
            <v>287.8</v>
          </cell>
          <cell r="M128">
            <v>320.3</v>
          </cell>
          <cell r="N128">
            <v>212.5</v>
          </cell>
          <cell r="O128">
            <v>69.599999999999994</v>
          </cell>
          <cell r="P128">
            <v>71.900000000000006</v>
          </cell>
          <cell r="Q128">
            <v>92.2</v>
          </cell>
          <cell r="S128">
            <v>25</v>
          </cell>
          <cell r="T128" t="str">
            <v>1</v>
          </cell>
          <cell r="U128">
            <v>1234.4000000000001</v>
          </cell>
          <cell r="V128">
            <v>1235.5</v>
          </cell>
          <cell r="W128">
            <v>737.1</v>
          </cell>
          <cell r="Y128">
            <v>2.9</v>
          </cell>
          <cell r="Z128">
            <v>1236.8</v>
          </cell>
          <cell r="AA128">
            <v>1238.2</v>
          </cell>
          <cell r="AB128">
            <v>734.8</v>
          </cell>
          <cell r="AD128">
            <v>3.2</v>
          </cell>
          <cell r="AE128">
            <v>1235.5</v>
          </cell>
          <cell r="AF128">
            <v>1237.4000000000001</v>
          </cell>
          <cell r="AG128">
            <v>733.1</v>
          </cell>
          <cell r="AI128">
            <v>3.5</v>
          </cell>
          <cell r="AK128">
            <v>1504.0722500000002</v>
          </cell>
          <cell r="AM128">
            <v>1626.4374499999999</v>
          </cell>
          <cell r="AO128">
            <v>1512.22993</v>
          </cell>
          <cell r="AP128" t="str">
            <v>Muestra tomada en la volqueta</v>
          </cell>
          <cell r="AQ128" t="str">
            <v>-</v>
          </cell>
          <cell r="AR128">
            <v>1620</v>
          </cell>
          <cell r="AS128">
            <v>3.2</v>
          </cell>
          <cell r="AV128">
            <v>2.4539841212440128</v>
          </cell>
          <cell r="BS128">
            <v>2.58</v>
          </cell>
        </row>
        <row r="129">
          <cell r="A129">
            <v>127</v>
          </cell>
          <cell r="B129">
            <v>40255</v>
          </cell>
          <cell r="D129">
            <v>1503.7</v>
          </cell>
          <cell r="E129">
            <v>1433.5</v>
          </cell>
          <cell r="G129" t="str">
            <v>Parcheo elaboración de fallos en vías urbanas y rurales del municipio de Medellín.</v>
          </cell>
          <cell r="H129" t="str">
            <v>3/3</v>
          </cell>
          <cell r="I129">
            <v>0</v>
          </cell>
          <cell r="J129">
            <v>143.30000000000001</v>
          </cell>
          <cell r="K129">
            <v>209.3</v>
          </cell>
          <cell r="L129">
            <v>307.2</v>
          </cell>
          <cell r="M129">
            <v>321.10000000000002</v>
          </cell>
          <cell r="N129">
            <v>223.1</v>
          </cell>
          <cell r="O129">
            <v>67.7</v>
          </cell>
          <cell r="P129">
            <v>68.5</v>
          </cell>
          <cell r="Q129">
            <v>93.3</v>
          </cell>
          <cell r="S129">
            <v>25</v>
          </cell>
          <cell r="T129" t="str">
            <v>1</v>
          </cell>
          <cell r="AK129">
            <v>0</v>
          </cell>
          <cell r="AM129">
            <v>0</v>
          </cell>
          <cell r="AO129">
            <v>0</v>
          </cell>
          <cell r="AP129" t="str">
            <v>Muestra tomada en el obra en cojunto con el Laboratorio de AIM</v>
          </cell>
          <cell r="AQ129" t="str">
            <v>Calle 10 Nº 70B - 69 (Volqueta GUE 294)</v>
          </cell>
          <cell r="AR129">
            <v>0</v>
          </cell>
          <cell r="AS129">
            <v>0</v>
          </cell>
          <cell r="AV129">
            <v>0</v>
          </cell>
          <cell r="BS129">
            <v>2.58</v>
          </cell>
        </row>
        <row r="130">
          <cell r="A130">
            <v>128</v>
          </cell>
          <cell r="B130">
            <v>40256</v>
          </cell>
          <cell r="D130">
            <v>1500.2</v>
          </cell>
          <cell r="E130">
            <v>1429.4</v>
          </cell>
          <cell r="G130" t="str">
            <v>Parcheo elaboración de fallos en vías urbanas y rurales del municipio de Medellín; Consorcio Vial Santa Elena.</v>
          </cell>
          <cell r="H130" t="str">
            <v>1/3</v>
          </cell>
          <cell r="I130">
            <v>0</v>
          </cell>
          <cell r="J130">
            <v>205.3</v>
          </cell>
          <cell r="K130">
            <v>157.69999999999999</v>
          </cell>
          <cell r="L130">
            <v>321.8</v>
          </cell>
          <cell r="M130">
            <v>279.5</v>
          </cell>
          <cell r="N130">
            <v>242.4</v>
          </cell>
          <cell r="O130">
            <v>72.400000000000006</v>
          </cell>
          <cell r="P130">
            <v>71.3</v>
          </cell>
          <cell r="Q130">
            <v>79</v>
          </cell>
          <cell r="S130">
            <v>25</v>
          </cell>
          <cell r="T130" t="str">
            <v>1</v>
          </cell>
          <cell r="U130">
            <v>1236.9000000000001</v>
          </cell>
          <cell r="V130">
            <v>1238.2</v>
          </cell>
          <cell r="W130">
            <v>737.2</v>
          </cell>
          <cell r="Y130">
            <v>3</v>
          </cell>
          <cell r="Z130">
            <v>1234.8</v>
          </cell>
          <cell r="AA130">
            <v>1237.3</v>
          </cell>
          <cell r="AB130">
            <v>734.5</v>
          </cell>
          <cell r="AD130">
            <v>3</v>
          </cell>
          <cell r="AE130">
            <v>1235.2</v>
          </cell>
          <cell r="AF130">
            <v>1237.5999999999999</v>
          </cell>
          <cell r="AG130">
            <v>735.1</v>
          </cell>
          <cell r="AI130">
            <v>3.2</v>
          </cell>
          <cell r="AK130">
            <v>1762.0588800000003</v>
          </cell>
          <cell r="AM130">
            <v>1366.4114000000002</v>
          </cell>
          <cell r="AO130">
            <v>1441.86994</v>
          </cell>
          <cell r="AP130" t="str">
            <v>Muestra tomada en el elevador</v>
          </cell>
          <cell r="AQ130" t="str">
            <v>-</v>
          </cell>
          <cell r="AR130">
            <v>1595</v>
          </cell>
          <cell r="AS130">
            <v>3.1</v>
          </cell>
          <cell r="AV130">
            <v>2.4537414126761501</v>
          </cell>
          <cell r="BS130">
            <v>2.6019999999999999</v>
          </cell>
        </row>
        <row r="131">
          <cell r="A131">
            <v>129</v>
          </cell>
          <cell r="B131">
            <v>40256</v>
          </cell>
          <cell r="D131">
            <v>1500.2</v>
          </cell>
          <cell r="E131">
            <v>1426.9</v>
          </cell>
          <cell r="G131" t="str">
            <v>Parcheo elaboración de fallos en vías urbanas y rurales del municipio de Medellín; Consorcio Vial Santa Elena.</v>
          </cell>
          <cell r="H131" t="str">
            <v>2/3</v>
          </cell>
          <cell r="I131">
            <v>0</v>
          </cell>
          <cell r="J131">
            <v>227</v>
          </cell>
          <cell r="K131">
            <v>152.4</v>
          </cell>
          <cell r="L131">
            <v>303.2</v>
          </cell>
          <cell r="M131">
            <v>293</v>
          </cell>
          <cell r="N131">
            <v>226.1</v>
          </cell>
          <cell r="O131">
            <v>68.8</v>
          </cell>
          <cell r="P131">
            <v>70.7</v>
          </cell>
          <cell r="Q131">
            <v>85.7</v>
          </cell>
          <cell r="S131">
            <v>25</v>
          </cell>
          <cell r="T131" t="str">
            <v>1</v>
          </cell>
          <cell r="U131">
            <v>1235.2</v>
          </cell>
          <cell r="V131">
            <v>1236.9000000000001</v>
          </cell>
          <cell r="W131">
            <v>733.5</v>
          </cell>
          <cell r="Y131">
            <v>3.1</v>
          </cell>
          <cell r="Z131">
            <v>1235.5999999999999</v>
          </cell>
          <cell r="AA131">
            <v>1237.2</v>
          </cell>
          <cell r="AB131">
            <v>734.8</v>
          </cell>
          <cell r="AD131">
            <v>3.1</v>
          </cell>
          <cell r="AE131">
            <v>1234.3</v>
          </cell>
          <cell r="AF131">
            <v>1235.3</v>
          </cell>
          <cell r="AG131">
            <v>736.7</v>
          </cell>
          <cell r="AI131">
            <v>3.5</v>
          </cell>
          <cell r="AK131">
            <v>1605.0235400000001</v>
          </cell>
          <cell r="AM131">
            <v>1580.5505000000001</v>
          </cell>
          <cell r="AO131">
            <v>1588.7081800000001</v>
          </cell>
          <cell r="AP131" t="str">
            <v>Muestra tomada en la volqueta</v>
          </cell>
          <cell r="AQ131" t="str">
            <v>-</v>
          </cell>
          <cell r="AR131">
            <v>1669</v>
          </cell>
          <cell r="AS131">
            <v>3.2</v>
          </cell>
          <cell r="AV131">
            <v>2.4556764523609256</v>
          </cell>
          <cell r="BS131">
            <v>2.6019999999999999</v>
          </cell>
        </row>
        <row r="132">
          <cell r="A132">
            <v>130</v>
          </cell>
          <cell r="B132">
            <v>40256</v>
          </cell>
          <cell r="D132">
            <v>1503.2</v>
          </cell>
          <cell r="E132">
            <v>1430.7</v>
          </cell>
          <cell r="G132" t="str">
            <v>Parcheo elaboración de fallos en vías urbanas y rurales del municipio de Medellín.</v>
          </cell>
          <cell r="H132" t="str">
            <v>3/3</v>
          </cell>
          <cell r="I132">
            <v>0</v>
          </cell>
          <cell r="J132">
            <v>206.5</v>
          </cell>
          <cell r="K132">
            <v>184.5</v>
          </cell>
          <cell r="L132">
            <v>276.60000000000002</v>
          </cell>
          <cell r="M132">
            <v>309.2</v>
          </cell>
          <cell r="N132">
            <v>216.9</v>
          </cell>
          <cell r="O132">
            <v>85.3</v>
          </cell>
          <cell r="P132">
            <v>81.7</v>
          </cell>
          <cell r="Q132">
            <v>70</v>
          </cell>
          <cell r="S132">
            <v>25</v>
          </cell>
          <cell r="T132" t="str">
            <v>1</v>
          </cell>
          <cell r="AK132">
            <v>0</v>
          </cell>
          <cell r="AM132">
            <v>0</v>
          </cell>
          <cell r="AO132">
            <v>0</v>
          </cell>
          <cell r="AP132" t="str">
            <v>Muestra tomada en el obra en cojunto con el Laboratorio de AIM</v>
          </cell>
          <cell r="AQ132" t="str">
            <v>Calle 19 nº 71-90  (voqueta CID 262)</v>
          </cell>
          <cell r="AR132">
            <v>0</v>
          </cell>
          <cell r="AS132">
            <v>0</v>
          </cell>
          <cell r="AV132">
            <v>0</v>
          </cell>
          <cell r="BS132">
            <v>2.6019999999999999</v>
          </cell>
        </row>
        <row r="133">
          <cell r="A133">
            <v>131</v>
          </cell>
          <cell r="B133">
            <v>40260</v>
          </cell>
          <cell r="D133">
            <v>1500.4</v>
          </cell>
          <cell r="E133">
            <v>1422.3</v>
          </cell>
          <cell r="G133" t="str">
            <v>Parcheo elaboración de fallos en vías urbanas y rurales del municipio de Medellín; Consorcio Vial Santa Elena.</v>
          </cell>
          <cell r="H133" t="str">
            <v>1/2</v>
          </cell>
          <cell r="I133">
            <v>0</v>
          </cell>
          <cell r="J133">
            <v>167.8</v>
          </cell>
          <cell r="K133">
            <v>146.1</v>
          </cell>
          <cell r="L133">
            <v>297.8</v>
          </cell>
          <cell r="M133">
            <v>321.8</v>
          </cell>
          <cell r="N133">
            <v>250.5</v>
          </cell>
          <cell r="O133">
            <v>74</v>
          </cell>
          <cell r="P133">
            <v>75.3</v>
          </cell>
          <cell r="Q133">
            <v>89</v>
          </cell>
          <cell r="S133">
            <v>25</v>
          </cell>
          <cell r="T133" t="str">
            <v>1</v>
          </cell>
          <cell r="U133">
            <v>1234.9000000000001</v>
          </cell>
          <cell r="V133">
            <v>1236.7</v>
          </cell>
          <cell r="W133">
            <v>734.4</v>
          </cell>
          <cell r="Y133">
            <v>3.4</v>
          </cell>
          <cell r="Z133">
            <v>1235.9000000000001</v>
          </cell>
          <cell r="AA133">
            <v>1240.5</v>
          </cell>
          <cell r="AB133">
            <v>732.6</v>
          </cell>
          <cell r="AD133">
            <v>3.5</v>
          </cell>
          <cell r="AE133">
            <v>1235</v>
          </cell>
          <cell r="AF133">
            <v>1236.5999999999999</v>
          </cell>
          <cell r="AG133">
            <v>732.2</v>
          </cell>
          <cell r="AI133">
            <v>3.5</v>
          </cell>
          <cell r="AK133">
            <v>1370.4902400000001</v>
          </cell>
          <cell r="AM133">
            <v>1322.5638700000002</v>
          </cell>
          <cell r="AO133">
            <v>1439.83052</v>
          </cell>
          <cell r="AP133" t="str">
            <v>Muestra tomada en el elevador</v>
          </cell>
          <cell r="AQ133" t="str">
            <v>-</v>
          </cell>
          <cell r="AR133">
            <v>1429</v>
          </cell>
          <cell r="AS133">
            <v>3.5</v>
          </cell>
          <cell r="AV133">
            <v>2.4396090672552142</v>
          </cell>
          <cell r="BS133">
            <v>2.569</v>
          </cell>
        </row>
        <row r="134">
          <cell r="A134">
            <v>132</v>
          </cell>
          <cell r="B134">
            <v>40260</v>
          </cell>
          <cell r="D134">
            <v>1500.4</v>
          </cell>
          <cell r="E134">
            <v>1421</v>
          </cell>
          <cell r="G134" t="str">
            <v>Parcheo elaboración de fallos en vías urbanas y rurales del municipio de Medellín; Consorcio Vial Santa Elena.</v>
          </cell>
          <cell r="H134" t="str">
            <v>2/2</v>
          </cell>
          <cell r="I134">
            <v>0</v>
          </cell>
          <cell r="J134">
            <v>191.2</v>
          </cell>
          <cell r="K134">
            <v>153.30000000000001</v>
          </cell>
          <cell r="L134">
            <v>256.7</v>
          </cell>
          <cell r="M134">
            <v>328</v>
          </cell>
          <cell r="N134">
            <v>252.1</v>
          </cell>
          <cell r="O134">
            <v>75.2</v>
          </cell>
          <cell r="P134">
            <v>77</v>
          </cell>
          <cell r="Q134">
            <v>87.5</v>
          </cell>
          <cell r="S134">
            <v>25</v>
          </cell>
          <cell r="T134" t="str">
            <v>1</v>
          </cell>
          <cell r="U134">
            <v>1234.2</v>
          </cell>
          <cell r="V134">
            <v>1234.7</v>
          </cell>
          <cell r="W134">
            <v>733.3</v>
          </cell>
          <cell r="Y134">
            <v>3.2</v>
          </cell>
          <cell r="Z134">
            <v>1234.5</v>
          </cell>
          <cell r="AA134">
            <v>1236</v>
          </cell>
          <cell r="AB134">
            <v>731.2</v>
          </cell>
          <cell r="AD134">
            <v>3.22</v>
          </cell>
          <cell r="AE134">
            <v>1235.4000000000001</v>
          </cell>
          <cell r="AF134">
            <v>1236.5</v>
          </cell>
          <cell r="AG134">
            <v>732</v>
          </cell>
          <cell r="AI134">
            <v>3.4</v>
          </cell>
          <cell r="AK134">
            <v>1424.5348700000002</v>
          </cell>
          <cell r="AM134">
            <v>1299.1105400000001</v>
          </cell>
          <cell r="AO134">
            <v>1358.2537200000002</v>
          </cell>
          <cell r="AP134" t="str">
            <v>Muestra tomada en la volqueta</v>
          </cell>
          <cell r="AQ134" t="str">
            <v>-</v>
          </cell>
          <cell r="AR134">
            <v>1417</v>
          </cell>
          <cell r="AS134">
            <v>3.3</v>
          </cell>
          <cell r="AV134">
            <v>2.4447587386477054</v>
          </cell>
          <cell r="BS134">
            <v>2.569</v>
          </cell>
        </row>
        <row r="135">
          <cell r="A135">
            <v>133</v>
          </cell>
          <cell r="B135">
            <v>40261</v>
          </cell>
          <cell r="D135">
            <v>1500.9</v>
          </cell>
          <cell r="E135">
            <v>1421.6</v>
          </cell>
          <cell r="G135" t="str">
            <v>Parcheo elaboración de fallos en vías urbanas y rurales del municipio de Medellín; Consorcio Vial Santa Elena.</v>
          </cell>
          <cell r="H135" t="str">
            <v>1/2</v>
          </cell>
          <cell r="I135">
            <v>0</v>
          </cell>
          <cell r="J135">
            <v>179.3</v>
          </cell>
          <cell r="K135">
            <v>168.6</v>
          </cell>
          <cell r="L135">
            <v>253.6</v>
          </cell>
          <cell r="M135">
            <v>322.7</v>
          </cell>
          <cell r="N135">
            <v>259.39999999999998</v>
          </cell>
          <cell r="O135">
            <v>75.7</v>
          </cell>
          <cell r="P135">
            <v>74.400000000000006</v>
          </cell>
          <cell r="Q135">
            <v>87.9</v>
          </cell>
          <cell r="S135">
            <v>25</v>
          </cell>
          <cell r="T135" t="str">
            <v>1</v>
          </cell>
          <cell r="U135">
            <v>1236.3</v>
          </cell>
          <cell r="V135">
            <v>1237.5999999999999</v>
          </cell>
          <cell r="W135">
            <v>738.7</v>
          </cell>
          <cell r="Y135">
            <v>3.4</v>
          </cell>
          <cell r="Z135">
            <v>1233.2</v>
          </cell>
          <cell r="AA135">
            <v>1235.7</v>
          </cell>
          <cell r="AB135">
            <v>733.2</v>
          </cell>
          <cell r="AD135">
            <v>3.1</v>
          </cell>
          <cell r="AE135">
            <v>1231.4000000000001</v>
          </cell>
          <cell r="AF135">
            <v>1234.0999999999999</v>
          </cell>
          <cell r="AG135">
            <v>732.3</v>
          </cell>
          <cell r="AI135">
            <v>3.2</v>
          </cell>
          <cell r="AK135">
            <v>1658.0484600000002</v>
          </cell>
          <cell r="AM135">
            <v>1334.8003900000001</v>
          </cell>
          <cell r="AO135">
            <v>1407.1998000000001</v>
          </cell>
          <cell r="AP135" t="str">
            <v>Muestra tomada en el elevador</v>
          </cell>
          <cell r="AQ135" t="str">
            <v>-</v>
          </cell>
          <cell r="AR135">
            <v>1541</v>
          </cell>
          <cell r="AS135">
            <v>3.2</v>
          </cell>
          <cell r="AV135">
            <v>2.4548474370126612</v>
          </cell>
          <cell r="BS135">
            <v>2.5819999999999999</v>
          </cell>
        </row>
        <row r="136">
          <cell r="A136">
            <v>134</v>
          </cell>
          <cell r="B136">
            <v>40261</v>
          </cell>
          <cell r="D136">
            <v>1500.6</v>
          </cell>
          <cell r="E136">
            <v>1425.4</v>
          </cell>
          <cell r="G136" t="str">
            <v>Parcheo elaboración de fallos en vías urbanas y rurales del municipio de Medellín; Consorcio Vial Santa Elena.</v>
          </cell>
          <cell r="H136" t="str">
            <v>2/2</v>
          </cell>
          <cell r="I136">
            <v>0</v>
          </cell>
          <cell r="J136">
            <v>170.2</v>
          </cell>
          <cell r="K136">
            <v>184.6</v>
          </cell>
          <cell r="L136">
            <v>308.60000000000002</v>
          </cell>
          <cell r="M136">
            <v>295.2</v>
          </cell>
          <cell r="N136">
            <v>229.7</v>
          </cell>
          <cell r="O136">
            <v>72.5</v>
          </cell>
          <cell r="P136">
            <v>73.7</v>
          </cell>
          <cell r="Q136">
            <v>90.9</v>
          </cell>
          <cell r="S136">
            <v>25</v>
          </cell>
          <cell r="T136" t="str">
            <v>1</v>
          </cell>
          <cell r="U136">
            <v>1234.2</v>
          </cell>
          <cell r="V136">
            <v>1235.3</v>
          </cell>
          <cell r="W136">
            <v>735.8</v>
          </cell>
          <cell r="Y136">
            <v>3.6</v>
          </cell>
          <cell r="Z136">
            <v>1234.4000000000001</v>
          </cell>
          <cell r="AA136">
            <v>1236.2</v>
          </cell>
          <cell r="AB136">
            <v>734.1</v>
          </cell>
          <cell r="AD136">
            <v>3.4</v>
          </cell>
          <cell r="AE136">
            <v>1233.5</v>
          </cell>
          <cell r="AF136">
            <v>1236.5</v>
          </cell>
          <cell r="AG136">
            <v>733.8</v>
          </cell>
          <cell r="AI136">
            <v>3.5</v>
          </cell>
          <cell r="AK136">
            <v>1676.4032400000001</v>
          </cell>
          <cell r="AM136">
            <v>1536.7029700000001</v>
          </cell>
          <cell r="AO136">
            <v>1489.7963099999999</v>
          </cell>
          <cell r="AP136" t="str">
            <v>Muestra tomada en la volqueta</v>
          </cell>
          <cell r="AQ136" t="str">
            <v>-</v>
          </cell>
          <cell r="AR136">
            <v>1644</v>
          </cell>
          <cell r="AS136">
            <v>3.5</v>
          </cell>
          <cell r="AV136">
            <v>2.4538331589134299</v>
          </cell>
          <cell r="BS136">
            <v>2.5819999999999999</v>
          </cell>
        </row>
        <row r="137">
          <cell r="A137">
            <v>135</v>
          </cell>
          <cell r="B137">
            <v>40262</v>
          </cell>
          <cell r="D137">
            <v>1500.6</v>
          </cell>
          <cell r="E137">
            <v>1427.1</v>
          </cell>
          <cell r="G137" t="str">
            <v>Parcheo elaboración de fallos en vías urbanas y rurales del municipio de Medellín; Consorcio Vial Santa Elena.</v>
          </cell>
          <cell r="H137" t="str">
            <v>1/3</v>
          </cell>
          <cell r="I137">
            <v>0</v>
          </cell>
          <cell r="J137">
            <v>208.3</v>
          </cell>
          <cell r="K137">
            <v>190.5</v>
          </cell>
          <cell r="L137">
            <v>268.3</v>
          </cell>
          <cell r="M137">
            <v>305.60000000000002</v>
          </cell>
          <cell r="N137">
            <v>227.9</v>
          </cell>
          <cell r="O137">
            <v>72.3</v>
          </cell>
          <cell r="P137">
            <v>72.5</v>
          </cell>
          <cell r="Q137">
            <v>81.7</v>
          </cell>
          <cell r="S137">
            <v>25</v>
          </cell>
          <cell r="T137" t="str">
            <v>1</v>
          </cell>
          <cell r="U137">
            <v>1236.3</v>
          </cell>
          <cell r="V137">
            <v>1240.2</v>
          </cell>
          <cell r="W137">
            <v>739.9</v>
          </cell>
          <cell r="Y137">
            <v>3.3</v>
          </cell>
          <cell r="Z137">
            <v>1237.5</v>
          </cell>
          <cell r="AA137">
            <v>1240.9000000000001</v>
          </cell>
          <cell r="AB137">
            <v>739.7</v>
          </cell>
          <cell r="AD137">
            <v>3.5</v>
          </cell>
          <cell r="AE137">
            <v>1237.3</v>
          </cell>
          <cell r="AF137">
            <v>1239.2</v>
          </cell>
          <cell r="AG137">
            <v>730.8</v>
          </cell>
          <cell r="AI137">
            <v>2.9</v>
          </cell>
          <cell r="AK137">
            <v>1560.1563000000001</v>
          </cell>
          <cell r="AM137">
            <v>1417.3969000000002</v>
          </cell>
          <cell r="AO137">
            <v>1578.51108</v>
          </cell>
          <cell r="AP137" t="str">
            <v>Muestra tomada en el elevador</v>
          </cell>
          <cell r="AQ137" t="str">
            <v>-</v>
          </cell>
          <cell r="AR137">
            <v>1583</v>
          </cell>
          <cell r="AS137">
            <v>3.2</v>
          </cell>
          <cell r="AV137">
            <v>2.4507788300660764</v>
          </cell>
          <cell r="BS137">
            <v>2.5939999999999999</v>
          </cell>
        </row>
        <row r="138">
          <cell r="A138">
            <v>136</v>
          </cell>
          <cell r="B138">
            <v>40262</v>
          </cell>
          <cell r="D138">
            <v>1500.4</v>
          </cell>
          <cell r="E138">
            <v>1420.7</v>
          </cell>
          <cell r="G138" t="str">
            <v>Parcheo elaboración de fallos en vías urbanas y rurales del municipio de Medellín; Consorcio Vial Santa Elena.</v>
          </cell>
          <cell r="H138" t="str">
            <v>2/3</v>
          </cell>
          <cell r="I138">
            <v>0</v>
          </cell>
          <cell r="J138">
            <v>169.9</v>
          </cell>
          <cell r="K138">
            <v>146.80000000000001</v>
          </cell>
          <cell r="L138">
            <v>286.2</v>
          </cell>
          <cell r="M138">
            <v>305.8</v>
          </cell>
          <cell r="N138">
            <v>270.10000000000002</v>
          </cell>
          <cell r="O138">
            <v>74.5</v>
          </cell>
          <cell r="P138">
            <v>77</v>
          </cell>
          <cell r="Q138">
            <v>90.4</v>
          </cell>
          <cell r="S138">
            <v>25</v>
          </cell>
          <cell r="T138" t="str">
            <v>1</v>
          </cell>
          <cell r="U138">
            <v>1234.5999999999999</v>
          </cell>
          <cell r="V138">
            <v>1235.5</v>
          </cell>
          <cell r="W138">
            <v>730.2</v>
          </cell>
          <cell r="Y138">
            <v>2.9</v>
          </cell>
          <cell r="Z138">
            <v>1238.4000000000001</v>
          </cell>
          <cell r="AA138">
            <v>1239.5999999999999</v>
          </cell>
          <cell r="AB138">
            <v>734.5</v>
          </cell>
          <cell r="AD138">
            <v>3.1</v>
          </cell>
          <cell r="AE138">
            <v>1234.9000000000001</v>
          </cell>
          <cell r="AF138">
            <v>1235.8</v>
          </cell>
          <cell r="AG138">
            <v>728.4</v>
          </cell>
          <cell r="AI138">
            <v>2.8</v>
          </cell>
          <cell r="AK138">
            <v>1362.3325600000001</v>
          </cell>
          <cell r="AM138">
            <v>1284.8345999999999</v>
          </cell>
          <cell r="AO138">
            <v>1247.1053300000001</v>
          </cell>
          <cell r="AP138" t="str">
            <v>Muestra tomada en la volqueta</v>
          </cell>
          <cell r="AQ138" t="str">
            <v>-</v>
          </cell>
          <cell r="AR138">
            <v>1342</v>
          </cell>
          <cell r="AS138">
            <v>2.9</v>
          </cell>
          <cell r="AV138">
            <v>2.435811945329394</v>
          </cell>
          <cell r="BS138">
            <v>2.5939999999999999</v>
          </cell>
        </row>
        <row r="139">
          <cell r="A139">
            <v>137</v>
          </cell>
          <cell r="B139">
            <v>40262</v>
          </cell>
          <cell r="D139">
            <v>1500.4</v>
          </cell>
          <cell r="E139">
            <v>1420.8</v>
          </cell>
          <cell r="G139" t="str">
            <v>Parcheo elaboración de fallos en vías urbanas y rurales del municipio de Medellín; Consorcio Vial Santa Elena.</v>
          </cell>
          <cell r="H139" t="str">
            <v>3/3</v>
          </cell>
          <cell r="I139">
            <v>0</v>
          </cell>
          <cell r="J139">
            <v>186.4</v>
          </cell>
          <cell r="K139">
            <v>168.9</v>
          </cell>
          <cell r="L139">
            <v>249.7</v>
          </cell>
          <cell r="M139">
            <v>309.8</v>
          </cell>
          <cell r="N139">
            <v>272.10000000000002</v>
          </cell>
          <cell r="O139">
            <v>72.099999999999994</v>
          </cell>
          <cell r="P139">
            <v>71.5</v>
          </cell>
          <cell r="Q139">
            <v>90.3</v>
          </cell>
          <cell r="S139">
            <v>25</v>
          </cell>
          <cell r="T139" t="str">
            <v>1</v>
          </cell>
          <cell r="U139">
            <v>1366.5</v>
          </cell>
          <cell r="V139">
            <v>1367</v>
          </cell>
          <cell r="W139">
            <v>816</v>
          </cell>
          <cell r="Y139">
            <v>3.5</v>
          </cell>
          <cell r="Z139">
            <v>1264.0999999999999</v>
          </cell>
          <cell r="AA139">
            <v>1264.4000000000001</v>
          </cell>
          <cell r="AB139">
            <v>755.9</v>
          </cell>
          <cell r="AD139">
            <v>3.4</v>
          </cell>
          <cell r="AE139">
            <v>1339.9</v>
          </cell>
          <cell r="AF139">
            <v>1340.4</v>
          </cell>
          <cell r="AG139">
            <v>801</v>
          </cell>
          <cell r="AI139">
            <v>3.4</v>
          </cell>
          <cell r="AK139">
            <v>1761.03917</v>
          </cell>
          <cell r="AM139">
            <v>1885.4437899999998</v>
          </cell>
          <cell r="AO139">
            <v>1775.31511</v>
          </cell>
          <cell r="AP139" t="str">
            <v>Tama en obra, Retorno Grajales LD. Costado sur.</v>
          </cell>
          <cell r="AQ139" t="str">
            <v>-</v>
          </cell>
          <cell r="AR139">
            <v>1722</v>
          </cell>
          <cell r="AS139">
            <v>3.4</v>
          </cell>
          <cell r="AV139">
            <v>2.4760801167458784</v>
          </cell>
          <cell r="BS139">
            <v>2.5939999999999999</v>
          </cell>
        </row>
        <row r="140">
          <cell r="A140">
            <v>138</v>
          </cell>
          <cell r="B140">
            <v>40263</v>
          </cell>
          <cell r="D140">
            <v>1500.3</v>
          </cell>
          <cell r="E140">
            <v>1423.7</v>
          </cell>
          <cell r="G140" t="str">
            <v>Parcheo elaboración de fallos en vías urbanas y rurales del municipio de Medellín; Consorcio Vial Santa Elena.</v>
          </cell>
          <cell r="H140" t="str">
            <v>1/2</v>
          </cell>
          <cell r="I140">
            <v>0</v>
          </cell>
          <cell r="J140">
            <v>166.2</v>
          </cell>
          <cell r="K140">
            <v>185.8</v>
          </cell>
          <cell r="L140">
            <v>287.5</v>
          </cell>
          <cell r="M140">
            <v>314.8</v>
          </cell>
          <cell r="N140">
            <v>240.5</v>
          </cell>
          <cell r="O140">
            <v>72.5</v>
          </cell>
          <cell r="P140">
            <v>72.599999999999994</v>
          </cell>
          <cell r="Q140">
            <v>83.8</v>
          </cell>
          <cell r="S140">
            <v>25</v>
          </cell>
          <cell r="T140" t="str">
            <v>1</v>
          </cell>
          <cell r="U140">
            <v>1235.0999999999999</v>
          </cell>
          <cell r="V140">
            <v>1236.9000000000001</v>
          </cell>
          <cell r="W140">
            <v>732.7</v>
          </cell>
          <cell r="Y140">
            <v>3.3</v>
          </cell>
          <cell r="Z140">
            <v>1235.4000000000001</v>
          </cell>
          <cell r="AA140">
            <v>1237.7</v>
          </cell>
          <cell r="AB140">
            <v>733.1</v>
          </cell>
          <cell r="AD140">
            <v>3</v>
          </cell>
          <cell r="AE140">
            <v>1235</v>
          </cell>
          <cell r="AF140">
            <v>1238.7</v>
          </cell>
          <cell r="AG140">
            <v>731.4</v>
          </cell>
          <cell r="AI140">
            <v>3.1</v>
          </cell>
          <cell r="AK140">
            <v>1417.3969000000002</v>
          </cell>
          <cell r="AM140">
            <v>1315.4259000000002</v>
          </cell>
          <cell r="AO140">
            <v>1447.9882</v>
          </cell>
          <cell r="AP140" t="str">
            <v>Muestra tomada en el elevador</v>
          </cell>
          <cell r="AQ140" t="str">
            <v>-</v>
          </cell>
          <cell r="AR140">
            <v>1443</v>
          </cell>
          <cell r="AS140">
            <v>3.1</v>
          </cell>
          <cell r="AV140">
            <v>2.4369696050487453</v>
          </cell>
          <cell r="BS140">
            <v>2.5920000000000001</v>
          </cell>
        </row>
        <row r="141">
          <cell r="A141">
            <v>139</v>
          </cell>
          <cell r="B141">
            <v>40263</v>
          </cell>
          <cell r="D141">
            <v>1500.2</v>
          </cell>
          <cell r="E141">
            <v>1421.3</v>
          </cell>
          <cell r="G141" t="str">
            <v>Parcheo elaboración de fallos en vías urbanas y rurales del municipio de Medellín; Consorcio Vial Santa Elena.</v>
          </cell>
          <cell r="H141" t="str">
            <v>2/2</v>
          </cell>
          <cell r="I141">
            <v>0</v>
          </cell>
          <cell r="J141">
            <v>163.6</v>
          </cell>
          <cell r="K141">
            <v>151.1</v>
          </cell>
          <cell r="L141">
            <v>306.39999999999998</v>
          </cell>
          <cell r="M141">
            <v>310.39999999999998</v>
          </cell>
          <cell r="N141">
            <v>234.5</v>
          </cell>
          <cell r="O141">
            <v>93.5</v>
          </cell>
          <cell r="P141">
            <v>75.900000000000006</v>
          </cell>
          <cell r="Q141">
            <v>85.9</v>
          </cell>
          <cell r="S141">
            <v>25</v>
          </cell>
          <cell r="T141" t="str">
            <v>1</v>
          </cell>
          <cell r="U141">
            <v>1235.8</v>
          </cell>
          <cell r="V141">
            <v>1236.0999999999999</v>
          </cell>
          <cell r="W141">
            <v>738.6</v>
          </cell>
          <cell r="Y141">
            <v>3.5</v>
          </cell>
          <cell r="Z141">
            <v>1237.0999999999999</v>
          </cell>
          <cell r="AA141">
            <v>1237.7</v>
          </cell>
          <cell r="AB141">
            <v>740</v>
          </cell>
          <cell r="AD141">
            <v>3.3</v>
          </cell>
          <cell r="AE141">
            <v>1235.7</v>
          </cell>
          <cell r="AF141">
            <v>1237.9000000000001</v>
          </cell>
          <cell r="AG141">
            <v>740.8</v>
          </cell>
          <cell r="AI141">
            <v>3.5</v>
          </cell>
          <cell r="AK141">
            <v>1269.5389499999999</v>
          </cell>
          <cell r="AM141">
            <v>1247.1053300000001</v>
          </cell>
          <cell r="AO141">
            <v>1394.9632799999999</v>
          </cell>
          <cell r="AP141" t="str">
            <v>Muestra tomada en la volqueta</v>
          </cell>
          <cell r="AQ141" t="str">
            <v>-</v>
          </cell>
          <cell r="AR141">
            <v>1386</v>
          </cell>
          <cell r="AS141">
            <v>3.4</v>
          </cell>
          <cell r="AV141">
            <v>2.4778881681762432</v>
          </cell>
          <cell r="BS141">
            <v>2.5920000000000001</v>
          </cell>
        </row>
        <row r="142">
          <cell r="A142">
            <v>140</v>
          </cell>
          <cell r="B142">
            <v>40264</v>
          </cell>
          <cell r="D142">
            <v>1500.4</v>
          </cell>
          <cell r="E142">
            <v>1425.8</v>
          </cell>
          <cell r="G142" t="str">
            <v>Consorcio Vial Santa Elena.</v>
          </cell>
          <cell r="H142" t="str">
            <v>1/1</v>
          </cell>
          <cell r="I142">
            <v>0</v>
          </cell>
          <cell r="J142">
            <v>199.8</v>
          </cell>
          <cell r="K142">
            <v>190.4</v>
          </cell>
          <cell r="L142">
            <v>257.5</v>
          </cell>
          <cell r="M142">
            <v>319.89999999999998</v>
          </cell>
          <cell r="N142">
            <v>230.7</v>
          </cell>
          <cell r="O142">
            <v>69.599999999999994</v>
          </cell>
          <cell r="P142">
            <v>72.599999999999994</v>
          </cell>
          <cell r="Q142">
            <v>85.3</v>
          </cell>
          <cell r="S142">
            <v>25</v>
          </cell>
          <cell r="T142" t="str">
            <v>1</v>
          </cell>
          <cell r="U142">
            <v>1237.0999999999999</v>
          </cell>
          <cell r="V142">
            <v>1239.4000000000001</v>
          </cell>
          <cell r="W142">
            <v>732.3</v>
          </cell>
          <cell r="Y142">
            <v>3.5</v>
          </cell>
          <cell r="Z142">
            <v>1238.5</v>
          </cell>
          <cell r="AA142">
            <v>1241.7</v>
          </cell>
          <cell r="AB142">
            <v>731.4</v>
          </cell>
          <cell r="AD142">
            <v>3.33</v>
          </cell>
          <cell r="AE142">
            <v>1234.9000000000001</v>
          </cell>
          <cell r="AF142">
            <v>1238.3</v>
          </cell>
          <cell r="AG142">
            <v>731.5</v>
          </cell>
          <cell r="AI142">
            <v>2.9</v>
          </cell>
          <cell r="AK142">
            <v>1440.8502300000002</v>
          </cell>
          <cell r="AM142">
            <v>1328.6821299999999</v>
          </cell>
          <cell r="AO142">
            <v>1248.1250400000001</v>
          </cell>
          <cell r="AP142" t="str">
            <v>Muestra tomada en el elevador</v>
          </cell>
          <cell r="AQ142" t="str">
            <v>-</v>
          </cell>
          <cell r="AR142">
            <v>1375</v>
          </cell>
          <cell r="AS142">
            <v>3.2</v>
          </cell>
          <cell r="AV142">
            <v>2.4272871574254751</v>
          </cell>
          <cell r="BS142">
            <v>2.577</v>
          </cell>
        </row>
        <row r="143">
          <cell r="A143">
            <v>141</v>
          </cell>
          <cell r="B143">
            <v>40266</v>
          </cell>
          <cell r="D143">
            <v>1502.3</v>
          </cell>
          <cell r="E143">
            <v>1429.6</v>
          </cell>
          <cell r="G143" t="str">
            <v>Consorcio Vial Santa Elena.</v>
          </cell>
          <cell r="H143" t="str">
            <v>1/1</v>
          </cell>
          <cell r="I143">
            <v>0</v>
          </cell>
          <cell r="J143">
            <v>191.3</v>
          </cell>
          <cell r="K143">
            <v>181.2</v>
          </cell>
          <cell r="L143">
            <v>308.7</v>
          </cell>
          <cell r="M143">
            <v>303.39999999999998</v>
          </cell>
          <cell r="N143">
            <v>228.5</v>
          </cell>
          <cell r="O143">
            <v>71.400000000000006</v>
          </cell>
          <cell r="P143">
            <v>67.400000000000006</v>
          </cell>
          <cell r="Q143">
            <v>77.7</v>
          </cell>
          <cell r="S143">
            <v>25</v>
          </cell>
          <cell r="T143" t="str">
            <v>1</v>
          </cell>
          <cell r="U143">
            <v>1236.4000000000001</v>
          </cell>
          <cell r="V143">
            <v>1233.7</v>
          </cell>
          <cell r="W143">
            <v>728.9</v>
          </cell>
          <cell r="Y143">
            <v>3.4</v>
          </cell>
          <cell r="Z143">
            <v>1236.5999999999999</v>
          </cell>
          <cell r="AA143">
            <v>1239.2</v>
          </cell>
          <cell r="AB143">
            <v>732.4</v>
          </cell>
          <cell r="AD143">
            <v>3</v>
          </cell>
          <cell r="AE143">
            <v>1237.4000000000001</v>
          </cell>
          <cell r="AF143">
            <v>1240.3</v>
          </cell>
          <cell r="AG143">
            <v>733.6</v>
          </cell>
          <cell r="AI143">
            <v>3.3</v>
          </cell>
          <cell r="AK143">
            <v>1550.97891</v>
          </cell>
          <cell r="AM143">
            <v>1371.5099499999999</v>
          </cell>
          <cell r="AO143">
            <v>1545.8803600000001</v>
          </cell>
          <cell r="AP143" t="str">
            <v>Muestra tomada en el elevador</v>
          </cell>
          <cell r="AQ143" t="str">
            <v>-</v>
          </cell>
          <cell r="AR143">
            <v>1539</v>
          </cell>
          <cell r="AS143">
            <v>3.2</v>
          </cell>
          <cell r="AV143">
            <v>2.4366448425908565</v>
          </cell>
          <cell r="BS143">
            <v>2.5882000000000001</v>
          </cell>
        </row>
        <row r="144">
          <cell r="A144">
            <v>142</v>
          </cell>
          <cell r="B144">
            <v>40267</v>
          </cell>
          <cell r="D144">
            <v>1500.5</v>
          </cell>
          <cell r="E144">
            <v>1426.6</v>
          </cell>
          <cell r="G144" t="str">
            <v>Consorcio Vial Santa Elena.</v>
          </cell>
          <cell r="H144" t="str">
            <v>1/2</v>
          </cell>
          <cell r="I144">
            <v>0</v>
          </cell>
          <cell r="J144">
            <v>183.8</v>
          </cell>
          <cell r="K144">
            <v>141.19999999999999</v>
          </cell>
          <cell r="L144">
            <v>347.2</v>
          </cell>
          <cell r="M144">
            <v>309.89999999999998</v>
          </cell>
          <cell r="N144">
            <v>219.6</v>
          </cell>
          <cell r="O144">
            <v>71</v>
          </cell>
          <cell r="P144">
            <v>62.6</v>
          </cell>
          <cell r="Q144">
            <v>91.3</v>
          </cell>
          <cell r="S144">
            <v>25</v>
          </cell>
          <cell r="T144" t="str">
            <v>1</v>
          </cell>
          <cell r="U144">
            <v>1236.4000000000001</v>
          </cell>
          <cell r="V144">
            <v>1241.4000000000001</v>
          </cell>
          <cell r="W144">
            <v>732.3</v>
          </cell>
          <cell r="Y144">
            <v>2.8</v>
          </cell>
          <cell r="Z144">
            <v>1233.5</v>
          </cell>
          <cell r="AA144">
            <v>1241.5999999999999</v>
          </cell>
          <cell r="AB144">
            <v>734.5</v>
          </cell>
          <cell r="AD144">
            <v>3.1</v>
          </cell>
          <cell r="AE144">
            <v>1231.4000000000001</v>
          </cell>
          <cell r="AF144">
            <v>1239.8</v>
          </cell>
          <cell r="AG144">
            <v>735</v>
          </cell>
          <cell r="AI144">
            <v>3.4</v>
          </cell>
          <cell r="AK144">
            <v>1053.36043</v>
          </cell>
          <cell r="AM144">
            <v>1091.0897</v>
          </cell>
          <cell r="AO144">
            <v>1282.7951800000001</v>
          </cell>
          <cell r="AP144" t="str">
            <v>Muestra tomada en el elevador</v>
          </cell>
          <cell r="AQ144" t="str">
            <v>-</v>
          </cell>
          <cell r="AR144">
            <v>1177</v>
          </cell>
          <cell r="AS144">
            <v>3.1</v>
          </cell>
          <cell r="AV144">
            <v>2.4263622384364529</v>
          </cell>
          <cell r="BS144">
            <v>2.5830000000000002</v>
          </cell>
        </row>
        <row r="145">
          <cell r="A145">
            <v>143</v>
          </cell>
          <cell r="B145">
            <v>40267</v>
          </cell>
          <cell r="D145">
            <v>1500.8</v>
          </cell>
          <cell r="E145">
            <v>1430.3</v>
          </cell>
          <cell r="G145" t="str">
            <v>Consorcio Vial Santa Elena.</v>
          </cell>
          <cell r="H145" t="str">
            <v>2/2</v>
          </cell>
          <cell r="I145">
            <v>0</v>
          </cell>
          <cell r="J145">
            <v>201.2</v>
          </cell>
          <cell r="K145">
            <v>163.19999999999999</v>
          </cell>
          <cell r="L145">
            <v>299.89999999999998</v>
          </cell>
          <cell r="M145">
            <v>296.5</v>
          </cell>
          <cell r="N145">
            <v>256.89999999999998</v>
          </cell>
          <cell r="O145">
            <v>62.9</v>
          </cell>
          <cell r="P145">
            <v>66.599999999999994</v>
          </cell>
          <cell r="Q145">
            <v>83.1</v>
          </cell>
          <cell r="S145">
            <v>25</v>
          </cell>
          <cell r="T145" t="str">
            <v>1</v>
          </cell>
          <cell r="U145">
            <v>1235.8</v>
          </cell>
          <cell r="V145">
            <v>1238.5</v>
          </cell>
          <cell r="W145">
            <v>735.9</v>
          </cell>
          <cell r="Y145">
            <v>3</v>
          </cell>
          <cell r="Z145">
            <v>1250.7</v>
          </cell>
          <cell r="AA145">
            <v>1251.0999999999999</v>
          </cell>
          <cell r="AB145">
            <v>743.6</v>
          </cell>
          <cell r="AD145">
            <v>3.6</v>
          </cell>
          <cell r="AE145">
            <v>1217.9000000000001</v>
          </cell>
          <cell r="AF145">
            <v>1218.2</v>
          </cell>
          <cell r="AG145">
            <v>730.4</v>
          </cell>
          <cell r="AI145">
            <v>3.4</v>
          </cell>
          <cell r="AK145">
            <v>1762.0588800000003</v>
          </cell>
          <cell r="AM145">
            <v>1854.8524900000002</v>
          </cell>
          <cell r="AO145">
            <v>1843.6356799999999</v>
          </cell>
          <cell r="AP145" t="str">
            <v>Tama en obra, Perque Arví K7+800 primera capa (volqueta SNN 859)</v>
          </cell>
          <cell r="AQ145" t="str">
            <v>-</v>
          </cell>
          <cell r="AR145">
            <v>1924</v>
          </cell>
          <cell r="AS145">
            <v>3.3</v>
          </cell>
          <cell r="AV145">
            <v>2.4660880752502639</v>
          </cell>
          <cell r="BS145">
            <v>2.5830000000000002</v>
          </cell>
        </row>
        <row r="146">
          <cell r="A146">
            <v>144</v>
          </cell>
          <cell r="B146">
            <v>40268</v>
          </cell>
          <cell r="D146">
            <v>1500.5</v>
          </cell>
          <cell r="E146">
            <v>1429.7</v>
          </cell>
          <cell r="G146" t="str">
            <v>Consorcio Vial Santa Elena.</v>
          </cell>
          <cell r="H146" t="str">
            <v>1/1</v>
          </cell>
          <cell r="I146">
            <v>0</v>
          </cell>
          <cell r="J146">
            <v>205.7</v>
          </cell>
          <cell r="K146">
            <v>148.4</v>
          </cell>
          <cell r="L146">
            <v>322.7</v>
          </cell>
          <cell r="M146">
            <v>279.2</v>
          </cell>
          <cell r="N146">
            <v>254.5</v>
          </cell>
          <cell r="O146">
            <v>68.2</v>
          </cell>
          <cell r="P146">
            <v>70.599999999999994</v>
          </cell>
          <cell r="Q146">
            <v>80.400000000000006</v>
          </cell>
          <cell r="S146">
            <v>25</v>
          </cell>
          <cell r="T146" t="str">
            <v>1</v>
          </cell>
          <cell r="U146">
            <v>1236.0999999999999</v>
          </cell>
          <cell r="V146">
            <v>1237.5999999999999</v>
          </cell>
          <cell r="W146">
            <v>732.8</v>
          </cell>
          <cell r="Y146">
            <v>3.2</v>
          </cell>
          <cell r="Z146">
            <v>1232.3</v>
          </cell>
          <cell r="AA146">
            <v>1234.5999999999999</v>
          </cell>
          <cell r="AB146">
            <v>730.9</v>
          </cell>
          <cell r="AD146">
            <v>3.5</v>
          </cell>
          <cell r="AE146">
            <v>1233.8</v>
          </cell>
          <cell r="AF146">
            <v>1236</v>
          </cell>
          <cell r="AG146">
            <v>732.3</v>
          </cell>
          <cell r="AI146">
            <v>3</v>
          </cell>
          <cell r="AK146">
            <v>1713.1128000000001</v>
          </cell>
          <cell r="AM146">
            <v>1473.4809499999999</v>
          </cell>
          <cell r="AO146">
            <v>1359.27343</v>
          </cell>
          <cell r="AP146" t="str">
            <v>Muestra tomada en el elevador</v>
          </cell>
          <cell r="AQ146" t="str">
            <v>-</v>
          </cell>
          <cell r="AR146">
            <v>1575</v>
          </cell>
          <cell r="AS146">
            <v>3.2</v>
          </cell>
          <cell r="AV146">
            <v>2.4410597457889143</v>
          </cell>
          <cell r="BS146">
            <v>2.593</v>
          </cell>
        </row>
        <row r="147">
          <cell r="A147">
            <v>145</v>
          </cell>
          <cell r="B147">
            <v>40273</v>
          </cell>
          <cell r="D147">
            <v>1500.5</v>
          </cell>
          <cell r="E147">
            <v>1423.2</v>
          </cell>
          <cell r="G147" t="str">
            <v>Parcheo elaboración de fallos en vías urbanas y rurales del municipio de Medellín.</v>
          </cell>
          <cell r="H147" t="str">
            <v>1/3</v>
          </cell>
          <cell r="I147">
            <v>0</v>
          </cell>
          <cell r="J147">
            <v>168.5</v>
          </cell>
          <cell r="K147">
            <v>166.4</v>
          </cell>
          <cell r="L147">
            <v>281.7</v>
          </cell>
          <cell r="M147">
            <v>327.7</v>
          </cell>
          <cell r="N147">
            <v>246.4</v>
          </cell>
          <cell r="O147">
            <v>70.400000000000006</v>
          </cell>
          <cell r="P147">
            <v>70.7</v>
          </cell>
          <cell r="Q147">
            <v>91.4</v>
          </cell>
          <cell r="S147">
            <v>25</v>
          </cell>
          <cell r="T147" t="str">
            <v>1</v>
          </cell>
          <cell r="U147">
            <v>1236.5999999999999</v>
          </cell>
          <cell r="V147">
            <v>1239.9000000000001</v>
          </cell>
          <cell r="W147">
            <v>732.9</v>
          </cell>
          <cell r="Y147">
            <v>2.8</v>
          </cell>
          <cell r="Z147">
            <v>1236.2</v>
          </cell>
          <cell r="AA147">
            <v>1239.5</v>
          </cell>
          <cell r="AB147">
            <v>729.5</v>
          </cell>
          <cell r="AD147">
            <v>2.9</v>
          </cell>
          <cell r="AE147">
            <v>1238.5</v>
          </cell>
          <cell r="AF147">
            <v>1243.2</v>
          </cell>
          <cell r="AG147">
            <v>733.6</v>
          </cell>
          <cell r="AI147">
            <v>3.4</v>
          </cell>
          <cell r="AK147">
            <v>1323.58358</v>
          </cell>
          <cell r="AM147">
            <v>1268.5192400000001</v>
          </cell>
          <cell r="AO147">
            <v>1359.27343</v>
          </cell>
          <cell r="AP147" t="str">
            <v>Muestra tomada en el elevador</v>
          </cell>
          <cell r="AQ147" t="str">
            <v>-</v>
          </cell>
          <cell r="AR147">
            <v>1348</v>
          </cell>
          <cell r="AS147">
            <v>3</v>
          </cell>
          <cell r="AV147">
            <v>2.4239931346953969</v>
          </cell>
          <cell r="BS147">
            <v>2.5840000000000001</v>
          </cell>
        </row>
        <row r="148">
          <cell r="A148">
            <v>146</v>
          </cell>
          <cell r="B148">
            <v>40273</v>
          </cell>
          <cell r="D148">
            <v>1500.4</v>
          </cell>
          <cell r="E148">
            <v>1422.7</v>
          </cell>
          <cell r="G148" t="str">
            <v>Parcheo elaboración de fallos en vías urbanas y rurales del municipio de Medellín.</v>
          </cell>
          <cell r="H148" t="str">
            <v>2/3</v>
          </cell>
          <cell r="I148">
            <v>0</v>
          </cell>
          <cell r="J148">
            <v>171.6</v>
          </cell>
          <cell r="K148">
            <v>161.69999999999999</v>
          </cell>
          <cell r="L148">
            <v>273.89999999999998</v>
          </cell>
          <cell r="M148">
            <v>322.89999999999998</v>
          </cell>
          <cell r="N148">
            <v>257.7</v>
          </cell>
          <cell r="O148">
            <v>73.7</v>
          </cell>
          <cell r="P148">
            <v>71.7</v>
          </cell>
          <cell r="Q148">
            <v>89.5</v>
          </cell>
          <cell r="S148">
            <v>25</v>
          </cell>
          <cell r="T148" t="str">
            <v>1</v>
          </cell>
          <cell r="U148">
            <v>1238.2</v>
          </cell>
          <cell r="V148">
            <v>1240.7</v>
          </cell>
          <cell r="W148">
            <v>732.2</v>
          </cell>
          <cell r="Y148">
            <v>3.2</v>
          </cell>
          <cell r="Z148">
            <v>1237.0999999999999</v>
          </cell>
          <cell r="AA148">
            <v>1238.7</v>
          </cell>
          <cell r="AB148">
            <v>730.9</v>
          </cell>
          <cell r="AD148">
            <v>3.2</v>
          </cell>
          <cell r="AE148">
            <v>1229.5</v>
          </cell>
          <cell r="AF148">
            <v>1232.5</v>
          </cell>
          <cell r="AG148">
            <v>727.8</v>
          </cell>
          <cell r="AI148">
            <v>3.2</v>
          </cell>
          <cell r="AK148">
            <v>1299.1105400000001</v>
          </cell>
          <cell r="AM148">
            <v>1419.43632</v>
          </cell>
          <cell r="AO148">
            <v>1507.13138</v>
          </cell>
          <cell r="AP148" t="str">
            <v>Muestra tomada en la volqueta</v>
          </cell>
          <cell r="AQ148" t="str">
            <v>-</v>
          </cell>
          <cell r="AR148">
            <v>1451</v>
          </cell>
          <cell r="AS148">
            <v>3.2</v>
          </cell>
          <cell r="AV148">
            <v>2.4286423558588286</v>
          </cell>
          <cell r="BS148">
            <v>2.5840000000000001</v>
          </cell>
        </row>
        <row r="149">
          <cell r="A149">
            <v>147</v>
          </cell>
          <cell r="B149">
            <v>40273</v>
          </cell>
          <cell r="D149">
            <v>1500.6</v>
          </cell>
          <cell r="E149">
            <v>1426.4</v>
          </cell>
          <cell r="G149" t="str">
            <v>Parcheo elaboración de fallos en vías urbanas y rurales del municipio de Medellín.</v>
          </cell>
          <cell r="H149" t="str">
            <v>3/3</v>
          </cell>
          <cell r="I149">
            <v>0</v>
          </cell>
          <cell r="J149">
            <v>203.1</v>
          </cell>
          <cell r="K149">
            <v>165.3</v>
          </cell>
          <cell r="L149">
            <v>276.89999999999998</v>
          </cell>
          <cell r="M149">
            <v>325.5</v>
          </cell>
          <cell r="N149">
            <v>257.8</v>
          </cell>
          <cell r="O149">
            <v>73.3</v>
          </cell>
          <cell r="P149">
            <v>54.6</v>
          </cell>
          <cell r="Q149">
            <v>69.900000000000006</v>
          </cell>
          <cell r="S149">
            <v>25</v>
          </cell>
          <cell r="T149" t="str">
            <v>1</v>
          </cell>
          <cell r="AP149" t="str">
            <v>Muestra tomada en el obra en cojunto con el Laboratorio de AIM</v>
          </cell>
          <cell r="AQ149" t="str">
            <v>Cra. 72 con calle 24</v>
          </cell>
          <cell r="AR149">
            <v>0</v>
          </cell>
          <cell r="AS149">
            <v>0</v>
          </cell>
          <cell r="AV149">
            <v>0</v>
          </cell>
          <cell r="BS149">
            <v>2.5840000000000001</v>
          </cell>
        </row>
        <row r="150">
          <cell r="A150">
            <v>148</v>
          </cell>
          <cell r="B150">
            <v>40274</v>
          </cell>
          <cell r="D150">
            <v>1500.6</v>
          </cell>
          <cell r="E150">
            <v>1428.4</v>
          </cell>
          <cell r="G150" t="str">
            <v>Parcheo elaboración de fallos en vías urbanas y rurales del municipio de Medellín.</v>
          </cell>
          <cell r="H150" t="str">
            <v>1/2</v>
          </cell>
          <cell r="I150">
            <v>0</v>
          </cell>
          <cell r="J150">
            <v>180.6</v>
          </cell>
          <cell r="K150">
            <v>158.6</v>
          </cell>
          <cell r="L150">
            <v>313.3</v>
          </cell>
          <cell r="M150">
            <v>320.10000000000002</v>
          </cell>
          <cell r="N150">
            <v>241.3</v>
          </cell>
          <cell r="O150">
            <v>65.7</v>
          </cell>
          <cell r="P150">
            <v>64.5</v>
          </cell>
          <cell r="Q150">
            <v>84.3</v>
          </cell>
          <cell r="S150">
            <v>25</v>
          </cell>
          <cell r="T150" t="str">
            <v>1</v>
          </cell>
          <cell r="U150">
            <v>1235.9000000000001</v>
          </cell>
          <cell r="V150">
            <v>1239.5</v>
          </cell>
          <cell r="W150">
            <v>732.3</v>
          </cell>
          <cell r="Y150">
            <v>3</v>
          </cell>
          <cell r="Z150">
            <v>1238.9000000000001</v>
          </cell>
          <cell r="AA150">
            <v>1243</v>
          </cell>
          <cell r="AB150">
            <v>734.7</v>
          </cell>
          <cell r="AD150">
            <v>3.2</v>
          </cell>
          <cell r="AE150">
            <v>1235.7</v>
          </cell>
          <cell r="AF150">
            <v>1241.2</v>
          </cell>
          <cell r="AG150">
            <v>735.4</v>
          </cell>
          <cell r="AI150">
            <v>3.1</v>
          </cell>
          <cell r="AK150">
            <v>1306.2485100000001</v>
          </cell>
          <cell r="AM150">
            <v>1207.33664</v>
          </cell>
          <cell r="AO150">
            <v>1247.1053300000001</v>
          </cell>
          <cell r="AP150" t="str">
            <v>Muestra tomada en el elevador</v>
          </cell>
          <cell r="AQ150" t="str">
            <v>-</v>
          </cell>
          <cell r="AR150">
            <v>1291</v>
          </cell>
          <cell r="AS150">
            <v>3.1</v>
          </cell>
          <cell r="AV150">
            <v>2.4319031518387977</v>
          </cell>
          <cell r="BS150">
            <v>2.5859999999999999</v>
          </cell>
        </row>
        <row r="151">
          <cell r="A151">
            <v>149</v>
          </cell>
          <cell r="B151">
            <v>40274</v>
          </cell>
          <cell r="D151">
            <v>1500.4</v>
          </cell>
          <cell r="E151">
            <v>1426.6</v>
          </cell>
          <cell r="G151" t="str">
            <v>Parcheo elaboración de fallos en vías urbanas y rurales del municipio de Medellín.</v>
          </cell>
          <cell r="H151" t="str">
            <v>2/2</v>
          </cell>
          <cell r="I151">
            <v>0</v>
          </cell>
          <cell r="J151">
            <v>159.4</v>
          </cell>
          <cell r="K151">
            <v>159.6</v>
          </cell>
          <cell r="L151">
            <v>328</v>
          </cell>
          <cell r="M151">
            <v>322</v>
          </cell>
          <cell r="N151">
            <v>233.3</v>
          </cell>
          <cell r="O151">
            <v>70.599999999999994</v>
          </cell>
          <cell r="P151">
            <v>69.099999999999994</v>
          </cell>
          <cell r="Q151">
            <v>84.6</v>
          </cell>
          <cell r="S151">
            <v>25</v>
          </cell>
          <cell r="T151" t="str">
            <v>1</v>
          </cell>
          <cell r="U151">
            <v>1236.8</v>
          </cell>
          <cell r="V151">
            <v>1241.5</v>
          </cell>
          <cell r="W151">
            <v>735.2</v>
          </cell>
          <cell r="Y151">
            <v>3.6</v>
          </cell>
          <cell r="Z151">
            <v>1235.2</v>
          </cell>
          <cell r="AA151">
            <v>1238.2</v>
          </cell>
          <cell r="AB151">
            <v>733.8</v>
          </cell>
          <cell r="AD151">
            <v>3.1</v>
          </cell>
          <cell r="AE151">
            <v>1235</v>
          </cell>
          <cell r="AF151">
            <v>1238.4000000000001</v>
          </cell>
          <cell r="AG151">
            <v>730.2</v>
          </cell>
          <cell r="AI151">
            <v>3.1</v>
          </cell>
          <cell r="AK151">
            <v>1329.7018399999999</v>
          </cell>
          <cell r="AM151">
            <v>1343.9777799999999</v>
          </cell>
          <cell r="AO151">
            <v>1454.10646</v>
          </cell>
          <cell r="AP151" t="str">
            <v>Muestra tomada en la volqueta</v>
          </cell>
          <cell r="AQ151" t="str">
            <v>-</v>
          </cell>
          <cell r="AR151">
            <v>1420</v>
          </cell>
          <cell r="AS151">
            <v>3.3</v>
          </cell>
          <cell r="AV151">
            <v>2.4334666269095941</v>
          </cell>
          <cell r="BS151">
            <v>2.5859999999999999</v>
          </cell>
        </row>
        <row r="152">
          <cell r="A152">
            <v>150</v>
          </cell>
          <cell r="B152">
            <v>40275</v>
          </cell>
          <cell r="D152">
            <v>1500.3</v>
          </cell>
          <cell r="E152">
            <v>1429.2</v>
          </cell>
          <cell r="G152" t="str">
            <v>Parcheo elaboración de fallos en vías urbanas y rurales del municipio de Medellín.</v>
          </cell>
          <cell r="H152" t="str">
            <v>1/2</v>
          </cell>
          <cell r="I152">
            <v>0</v>
          </cell>
          <cell r="J152">
            <v>216.6</v>
          </cell>
          <cell r="K152">
            <v>185.5</v>
          </cell>
          <cell r="L152">
            <v>260</v>
          </cell>
          <cell r="M152">
            <v>305.89999999999998</v>
          </cell>
          <cell r="N152">
            <v>240.1</v>
          </cell>
          <cell r="O152">
            <v>77.900000000000006</v>
          </cell>
          <cell r="P152">
            <v>60.1</v>
          </cell>
          <cell r="Q152">
            <v>83.1</v>
          </cell>
          <cell r="S152">
            <v>25</v>
          </cell>
          <cell r="T152" t="str">
            <v>1</v>
          </cell>
          <cell r="U152">
            <v>1235.4000000000001</v>
          </cell>
          <cell r="V152">
            <v>1239</v>
          </cell>
          <cell r="W152">
            <v>736.4</v>
          </cell>
          <cell r="Y152">
            <v>3.2</v>
          </cell>
          <cell r="Z152">
            <v>1236.4000000000001</v>
          </cell>
          <cell r="AA152">
            <v>1239.7</v>
          </cell>
          <cell r="AB152">
            <v>737.6</v>
          </cell>
          <cell r="AD152">
            <v>2.8</v>
          </cell>
          <cell r="AE152">
            <v>1235.9000000000001</v>
          </cell>
          <cell r="AF152">
            <v>1240.4000000000001</v>
          </cell>
          <cell r="AG152">
            <v>738.7</v>
          </cell>
          <cell r="AI152">
            <v>3.4</v>
          </cell>
          <cell r="AK152">
            <v>1454.10646</v>
          </cell>
          <cell r="AM152">
            <v>1252.20388</v>
          </cell>
          <cell r="AO152">
            <v>1360.29314</v>
          </cell>
          <cell r="AP152" t="str">
            <v>Muestra tomada en el elevador</v>
          </cell>
          <cell r="AQ152" t="str">
            <v>-</v>
          </cell>
          <cell r="AR152">
            <v>1418</v>
          </cell>
          <cell r="AS152">
            <v>3.1</v>
          </cell>
          <cell r="AV152">
            <v>2.4541008104200621</v>
          </cell>
          <cell r="BS152">
            <v>2.6030000000000002</v>
          </cell>
        </row>
        <row r="153">
          <cell r="A153">
            <v>151</v>
          </cell>
          <cell r="B153">
            <v>40275</v>
          </cell>
          <cell r="D153">
            <v>1500.4</v>
          </cell>
          <cell r="E153">
            <v>1428.6</v>
          </cell>
          <cell r="G153" t="str">
            <v>Parcheo elaboración de fallos en vías urbanas y rurales del municipio de Medellín.</v>
          </cell>
          <cell r="H153" t="str">
            <v>2/2</v>
          </cell>
          <cell r="I153">
            <v>0</v>
          </cell>
          <cell r="J153">
            <v>164.7</v>
          </cell>
          <cell r="K153">
            <v>194.6</v>
          </cell>
          <cell r="L153">
            <v>315.7</v>
          </cell>
          <cell r="M153">
            <v>305.89999999999998</v>
          </cell>
          <cell r="N153">
            <v>219.8</v>
          </cell>
          <cell r="O153">
            <v>79.400000000000006</v>
          </cell>
          <cell r="P153">
            <v>62.2</v>
          </cell>
          <cell r="Q153">
            <v>86.3</v>
          </cell>
          <cell r="S153">
            <v>25</v>
          </cell>
          <cell r="T153" t="str">
            <v>1</v>
          </cell>
          <cell r="U153">
            <v>1236.5</v>
          </cell>
          <cell r="V153">
            <v>1238.7</v>
          </cell>
          <cell r="W153">
            <v>737.2</v>
          </cell>
          <cell r="Y153">
            <v>2.7</v>
          </cell>
          <cell r="Z153">
            <v>1234.5999999999999</v>
          </cell>
          <cell r="AA153">
            <v>1237.4000000000001</v>
          </cell>
          <cell r="AB153">
            <v>733.6</v>
          </cell>
          <cell r="AD153">
            <v>2.9</v>
          </cell>
          <cell r="AE153">
            <v>1233.5999999999999</v>
          </cell>
          <cell r="AF153">
            <v>1235.5999999999999</v>
          </cell>
          <cell r="AG153">
            <v>735.1</v>
          </cell>
          <cell r="AI153">
            <v>3.3</v>
          </cell>
          <cell r="AK153">
            <v>1324.60329</v>
          </cell>
          <cell r="AM153">
            <v>1427.5940000000001</v>
          </cell>
          <cell r="AO153">
            <v>1460.2247200000002</v>
          </cell>
          <cell r="AP153" t="str">
            <v>Muestra tomada en la volqueta</v>
          </cell>
          <cell r="AQ153" t="str">
            <v>-</v>
          </cell>
          <cell r="AR153">
            <v>1470</v>
          </cell>
          <cell r="AS153">
            <v>3</v>
          </cell>
          <cell r="AV153">
            <v>2.4531083022422959</v>
          </cell>
          <cell r="BS153">
            <v>2.6030000000000002</v>
          </cell>
        </row>
        <row r="154">
          <cell r="A154">
            <v>152</v>
          </cell>
          <cell r="B154">
            <v>40276</v>
          </cell>
          <cell r="D154">
            <v>1500.5</v>
          </cell>
          <cell r="E154">
            <v>1427.9</v>
          </cell>
          <cell r="G154" t="str">
            <v>Parcheo elaboración de fallos en vías urbanas y rurales del municipio de Medellín.</v>
          </cell>
          <cell r="H154" t="str">
            <v>1/2</v>
          </cell>
          <cell r="I154">
            <v>0</v>
          </cell>
          <cell r="J154">
            <v>214.6</v>
          </cell>
          <cell r="K154">
            <v>188.9</v>
          </cell>
          <cell r="L154">
            <v>266.89999999999998</v>
          </cell>
          <cell r="M154">
            <v>308.60000000000002</v>
          </cell>
          <cell r="N154">
            <v>229.7</v>
          </cell>
          <cell r="O154">
            <v>79.2</v>
          </cell>
          <cell r="P154">
            <v>60.5</v>
          </cell>
          <cell r="Q154">
            <v>79.5</v>
          </cell>
          <cell r="S154">
            <v>25</v>
          </cell>
          <cell r="T154" t="str">
            <v>1</v>
          </cell>
          <cell r="U154">
            <v>1239.2</v>
          </cell>
          <cell r="V154">
            <v>1241.7</v>
          </cell>
          <cell r="W154">
            <v>734.1</v>
          </cell>
          <cell r="Y154">
            <v>3.1</v>
          </cell>
          <cell r="Z154">
            <v>1237.5</v>
          </cell>
          <cell r="AA154">
            <v>1241.9000000000001</v>
          </cell>
          <cell r="AB154">
            <v>734.2</v>
          </cell>
          <cell r="AD154">
            <v>2.9</v>
          </cell>
          <cell r="AE154">
            <v>1236.5</v>
          </cell>
          <cell r="AF154">
            <v>1239.5999999999999</v>
          </cell>
          <cell r="AG154">
            <v>732.7</v>
          </cell>
          <cell r="AI154">
            <v>2.7</v>
          </cell>
          <cell r="AK154">
            <v>1468.3824000000002</v>
          </cell>
          <cell r="AM154">
            <v>1451.0473300000001</v>
          </cell>
          <cell r="AO154">
            <v>1424.5348700000002</v>
          </cell>
          <cell r="AP154" t="str">
            <v>Muestra tomada en el elevador</v>
          </cell>
          <cell r="AQ154" t="str">
            <v>-</v>
          </cell>
          <cell r="AR154">
            <v>1489</v>
          </cell>
          <cell r="AS154">
            <v>2.9</v>
          </cell>
          <cell r="AV154">
            <v>2.4322290505065802</v>
          </cell>
          <cell r="BS154">
            <v>2.5859999999999999</v>
          </cell>
        </row>
        <row r="155">
          <cell r="A155">
            <v>153</v>
          </cell>
          <cell r="B155">
            <v>40276</v>
          </cell>
          <cell r="D155">
            <v>1500.5</v>
          </cell>
          <cell r="E155">
            <v>1424.6</v>
          </cell>
          <cell r="G155" t="str">
            <v>Parcheo elaboración de fallos en vías urbanas y rurales del municipio de Medellín.</v>
          </cell>
          <cell r="H155" t="str">
            <v>2/2</v>
          </cell>
          <cell r="I155">
            <v>0</v>
          </cell>
          <cell r="J155">
            <v>188</v>
          </cell>
          <cell r="K155">
            <v>138.30000000000001</v>
          </cell>
          <cell r="L155">
            <v>275.2</v>
          </cell>
          <cell r="M155">
            <v>370.7</v>
          </cell>
          <cell r="N155">
            <v>219.3</v>
          </cell>
          <cell r="O155">
            <v>72.5</v>
          </cell>
          <cell r="P155">
            <v>72.900000000000006</v>
          </cell>
          <cell r="Q155">
            <v>87.7</v>
          </cell>
          <cell r="S155">
            <v>25</v>
          </cell>
          <cell r="T155" t="str">
            <v>1</v>
          </cell>
          <cell r="U155">
            <v>1238.4000000000001</v>
          </cell>
          <cell r="V155">
            <v>1239.7</v>
          </cell>
          <cell r="W155">
            <v>735.2</v>
          </cell>
          <cell r="Y155">
            <v>3.1</v>
          </cell>
          <cell r="Z155">
            <v>1236.9000000000001</v>
          </cell>
          <cell r="AA155">
            <v>1238.5</v>
          </cell>
          <cell r="AB155">
            <v>735.4</v>
          </cell>
          <cell r="AD155">
            <v>3.1</v>
          </cell>
          <cell r="AE155">
            <v>1238.4000000000001</v>
          </cell>
          <cell r="AF155">
            <v>1240.2</v>
          </cell>
          <cell r="AG155">
            <v>734.6</v>
          </cell>
          <cell r="AI155">
            <v>2.8</v>
          </cell>
          <cell r="AK155">
            <v>1510.1905100000001</v>
          </cell>
          <cell r="AM155">
            <v>1406.1800900000001</v>
          </cell>
          <cell r="AO155">
            <v>1509.1708000000001</v>
          </cell>
          <cell r="AP155" t="str">
            <v>Muestra tomada en la volqueta</v>
          </cell>
          <cell r="AQ155" t="str">
            <v>-</v>
          </cell>
          <cell r="AR155">
            <v>1532</v>
          </cell>
          <cell r="AS155">
            <v>3</v>
          </cell>
          <cell r="AV155">
            <v>2.4470319897430737</v>
          </cell>
          <cell r="BS155">
            <v>2.5859999999999999</v>
          </cell>
        </row>
        <row r="156">
          <cell r="A156">
            <v>154</v>
          </cell>
          <cell r="B156">
            <v>40277</v>
          </cell>
          <cell r="D156">
            <v>1500.2</v>
          </cell>
          <cell r="E156">
            <v>1423.6</v>
          </cell>
          <cell r="G156" t="str">
            <v>Parcheo elaboración de fallos en vías urbanas y rurales del municipio de Medellín.</v>
          </cell>
          <cell r="H156" t="str">
            <v>1/2</v>
          </cell>
          <cell r="I156">
            <v>0</v>
          </cell>
          <cell r="J156">
            <v>180.5</v>
          </cell>
          <cell r="K156">
            <v>192.7</v>
          </cell>
          <cell r="L156">
            <v>254.1</v>
          </cell>
          <cell r="M156">
            <v>332.7</v>
          </cell>
          <cell r="N156">
            <v>227.7</v>
          </cell>
          <cell r="O156">
            <v>68.900000000000006</v>
          </cell>
          <cell r="P156">
            <v>74.8</v>
          </cell>
          <cell r="Q156">
            <v>92.2</v>
          </cell>
          <cell r="S156">
            <v>25</v>
          </cell>
          <cell r="T156" t="str">
            <v>1</v>
          </cell>
          <cell r="U156">
            <v>1238.8</v>
          </cell>
          <cell r="V156">
            <v>1240.3</v>
          </cell>
          <cell r="W156">
            <v>737.4</v>
          </cell>
          <cell r="Y156">
            <v>3.2</v>
          </cell>
          <cell r="Z156">
            <v>1237.5999999999999</v>
          </cell>
          <cell r="AA156">
            <v>1238.5999999999999</v>
          </cell>
          <cell r="AB156">
            <v>734.8</v>
          </cell>
          <cell r="AD156">
            <v>3.1</v>
          </cell>
          <cell r="AE156">
            <v>1236.5999999999999</v>
          </cell>
          <cell r="AF156">
            <v>1237.5</v>
          </cell>
          <cell r="AG156">
            <v>735.1</v>
          </cell>
          <cell r="AI156">
            <v>2.8</v>
          </cell>
          <cell r="AK156">
            <v>1754.92091</v>
          </cell>
          <cell r="AM156">
            <v>1386.8055999999999</v>
          </cell>
          <cell r="AO156">
            <v>1449.00791</v>
          </cell>
          <cell r="AP156" t="str">
            <v>Muestra tomada en el elevador</v>
          </cell>
          <cell r="AQ156" t="str">
            <v>-</v>
          </cell>
          <cell r="AR156">
            <v>1597</v>
          </cell>
          <cell r="AS156">
            <v>3</v>
          </cell>
          <cell r="AV156">
            <v>2.4532128039921828</v>
          </cell>
          <cell r="BS156">
            <v>2.589</v>
          </cell>
        </row>
        <row r="157">
          <cell r="A157">
            <v>155</v>
          </cell>
          <cell r="B157">
            <v>40277</v>
          </cell>
          <cell r="D157">
            <v>1498.2</v>
          </cell>
          <cell r="E157">
            <v>1419.2</v>
          </cell>
          <cell r="G157" t="str">
            <v>Parcheo elaboración de fallos en vías urbanas y rurales del municipio de Medellín.</v>
          </cell>
          <cell r="H157" t="str">
            <v>2/2</v>
          </cell>
          <cell r="I157">
            <v>0</v>
          </cell>
          <cell r="J157">
            <v>183.1</v>
          </cell>
          <cell r="K157">
            <v>160.9</v>
          </cell>
          <cell r="L157">
            <v>265.5</v>
          </cell>
          <cell r="M157">
            <v>343.5</v>
          </cell>
          <cell r="N157">
            <v>232.3</v>
          </cell>
          <cell r="O157">
            <v>69</v>
          </cell>
          <cell r="P157">
            <v>74.8</v>
          </cell>
          <cell r="Q157">
            <v>90.1</v>
          </cell>
          <cell r="S157">
            <v>25</v>
          </cell>
          <cell r="T157" t="str">
            <v>1</v>
          </cell>
          <cell r="U157">
            <v>1236.5999999999999</v>
          </cell>
          <cell r="V157">
            <v>1239</v>
          </cell>
          <cell r="W157">
            <v>736.1</v>
          </cell>
          <cell r="Y157">
            <v>3.5</v>
          </cell>
          <cell r="Z157">
            <v>1236.9000000000001</v>
          </cell>
          <cell r="AA157">
            <v>1239</v>
          </cell>
          <cell r="AB157">
            <v>738</v>
          </cell>
          <cell r="AD157">
            <v>3.1</v>
          </cell>
          <cell r="AE157">
            <v>1236.9000000000001</v>
          </cell>
          <cell r="AF157">
            <v>1238.9000000000001</v>
          </cell>
          <cell r="AG157">
            <v>737.1</v>
          </cell>
          <cell r="AI157">
            <v>3.5</v>
          </cell>
          <cell r="AK157">
            <v>1429.6334200000001</v>
          </cell>
          <cell r="AM157">
            <v>1423.5151600000002</v>
          </cell>
          <cell r="AO157">
            <v>1444.9290700000001</v>
          </cell>
          <cell r="AP157" t="str">
            <v>Muestra tomada en la volqueta</v>
          </cell>
          <cell r="AQ157" t="str">
            <v>-</v>
          </cell>
          <cell r="AR157">
            <v>1500</v>
          </cell>
          <cell r="AS157">
            <v>3.4</v>
          </cell>
          <cell r="AV157">
            <v>2.4570343246589696</v>
          </cell>
          <cell r="BS157">
            <v>2.589</v>
          </cell>
        </row>
        <row r="158">
          <cell r="A158">
            <v>156</v>
          </cell>
          <cell r="B158">
            <v>40280</v>
          </cell>
          <cell r="D158">
            <v>1500.4</v>
          </cell>
          <cell r="E158">
            <v>1423.8</v>
          </cell>
          <cell r="G158" t="str">
            <v>Parcheo elaboración de fallos en vías urbanas y rurales del municipio de Medellín.</v>
          </cell>
          <cell r="H158" t="str">
            <v>1/2</v>
          </cell>
          <cell r="I158">
            <v>0</v>
          </cell>
          <cell r="J158">
            <v>163</v>
          </cell>
          <cell r="K158">
            <v>179</v>
          </cell>
          <cell r="L158">
            <v>258.39999999999998</v>
          </cell>
          <cell r="M158">
            <v>360.1</v>
          </cell>
          <cell r="N158">
            <v>236.6</v>
          </cell>
          <cell r="O158">
            <v>71.5</v>
          </cell>
          <cell r="P158">
            <v>72.599999999999994</v>
          </cell>
          <cell r="Q158">
            <v>82.6</v>
          </cell>
          <cell r="S158">
            <v>25</v>
          </cell>
          <cell r="T158" t="str">
            <v>1</v>
          </cell>
          <cell r="U158">
            <v>1236.0999999999999</v>
          </cell>
          <cell r="V158">
            <v>1238.5</v>
          </cell>
          <cell r="W158">
            <v>733.9</v>
          </cell>
          <cell r="Y158">
            <v>3.4</v>
          </cell>
          <cell r="Z158">
            <v>1236.8</v>
          </cell>
          <cell r="AA158">
            <v>1241.7</v>
          </cell>
          <cell r="AB158">
            <v>734.7</v>
          </cell>
          <cell r="AD158">
            <v>3.32</v>
          </cell>
          <cell r="AE158">
            <v>1232.9000000000001</v>
          </cell>
          <cell r="AF158">
            <v>1238.0999999999999</v>
          </cell>
          <cell r="AG158">
            <v>732.5</v>
          </cell>
          <cell r="AI158">
            <v>3.46</v>
          </cell>
          <cell r="AK158">
            <v>1400.0618300000001</v>
          </cell>
          <cell r="AM158">
            <v>1353.15517</v>
          </cell>
          <cell r="AO158">
            <v>1417.3969000000002</v>
          </cell>
          <cell r="AP158" t="str">
            <v>Muestra tomada en el elevador</v>
          </cell>
          <cell r="AQ158" t="str">
            <v>-</v>
          </cell>
          <cell r="AR158">
            <v>1438</v>
          </cell>
          <cell r="AS158">
            <v>3.4</v>
          </cell>
          <cell r="AV158">
            <v>2.4353888420021907</v>
          </cell>
          <cell r="BS158">
            <v>2.5859999999999999</v>
          </cell>
        </row>
        <row r="159">
          <cell r="A159">
            <v>157</v>
          </cell>
          <cell r="B159">
            <v>40280</v>
          </cell>
          <cell r="D159">
            <v>1500.3</v>
          </cell>
          <cell r="E159">
            <v>1423.2</v>
          </cell>
          <cell r="G159" t="str">
            <v>Parcheo elaboración de fallos en vías urbanas y rurales del municipio de Medellín.</v>
          </cell>
          <cell r="H159" t="str">
            <v>2/2</v>
          </cell>
          <cell r="I159">
            <v>0</v>
          </cell>
          <cell r="J159">
            <v>201.4</v>
          </cell>
          <cell r="K159">
            <v>153.1</v>
          </cell>
          <cell r="L159">
            <v>256.7</v>
          </cell>
          <cell r="M159">
            <v>362.6</v>
          </cell>
          <cell r="N159">
            <v>226.6</v>
          </cell>
          <cell r="O159">
            <v>66.400000000000006</v>
          </cell>
          <cell r="P159">
            <v>70.599999999999994</v>
          </cell>
          <cell r="Q159">
            <v>85.8</v>
          </cell>
          <cell r="S159">
            <v>25</v>
          </cell>
          <cell r="T159" t="str">
            <v>1</v>
          </cell>
          <cell r="U159">
            <v>1237.3</v>
          </cell>
          <cell r="V159">
            <v>1239</v>
          </cell>
          <cell r="W159">
            <v>732.1</v>
          </cell>
          <cell r="Y159">
            <v>3.6</v>
          </cell>
          <cell r="Z159">
            <v>1237.8</v>
          </cell>
          <cell r="AA159">
            <v>1240.2</v>
          </cell>
          <cell r="AB159">
            <v>732.1</v>
          </cell>
          <cell r="AD159">
            <v>3.3</v>
          </cell>
          <cell r="AE159">
            <v>1234</v>
          </cell>
          <cell r="AF159">
            <v>1237</v>
          </cell>
          <cell r="AG159">
            <v>728.7</v>
          </cell>
          <cell r="AI159">
            <v>3.5</v>
          </cell>
          <cell r="AK159">
            <v>1465.3232699999999</v>
          </cell>
          <cell r="AM159">
            <v>1455.12617</v>
          </cell>
          <cell r="AO159">
            <v>1376.6085</v>
          </cell>
          <cell r="AP159" t="str">
            <v>Muestra tomada en la volqueta</v>
          </cell>
          <cell r="AQ159" t="str">
            <v>-</v>
          </cell>
          <cell r="AR159">
            <v>1472</v>
          </cell>
          <cell r="AS159">
            <v>3.5</v>
          </cell>
          <cell r="AV159">
            <v>2.4277945899742557</v>
          </cell>
          <cell r="BS159">
            <v>2.5859999999999999</v>
          </cell>
        </row>
        <row r="160">
          <cell r="A160">
            <v>158</v>
          </cell>
          <cell r="B160">
            <v>40281</v>
          </cell>
          <cell r="D160">
            <v>1500.3</v>
          </cell>
          <cell r="E160">
            <v>1427.7</v>
          </cell>
          <cell r="G160" t="str">
            <v>Parcheo elaboración de fallos en vías urbanas y rurales del municipio de Medellín.</v>
          </cell>
          <cell r="H160" t="str">
            <v>1/2</v>
          </cell>
          <cell r="I160">
            <v>0</v>
          </cell>
          <cell r="J160">
            <v>147.9</v>
          </cell>
          <cell r="K160">
            <v>188.3</v>
          </cell>
          <cell r="L160">
            <v>288.89999999999998</v>
          </cell>
          <cell r="M160">
            <v>308.60000000000002</v>
          </cell>
          <cell r="N160">
            <v>245</v>
          </cell>
          <cell r="O160">
            <v>89.2</v>
          </cell>
          <cell r="P160">
            <v>65.8</v>
          </cell>
          <cell r="Q160">
            <v>94</v>
          </cell>
          <cell r="S160">
            <v>25</v>
          </cell>
          <cell r="T160" t="str">
            <v>1</v>
          </cell>
          <cell r="U160">
            <v>1234</v>
          </cell>
          <cell r="V160">
            <v>1236.9000000000001</v>
          </cell>
          <cell r="W160">
            <v>730.5</v>
          </cell>
          <cell r="Y160">
            <v>3.3</v>
          </cell>
          <cell r="Z160">
            <v>1237.8</v>
          </cell>
          <cell r="AA160">
            <v>1241</v>
          </cell>
          <cell r="AB160">
            <v>733.7</v>
          </cell>
          <cell r="AD160">
            <v>3.04</v>
          </cell>
          <cell r="AE160">
            <v>1236.8</v>
          </cell>
          <cell r="AF160">
            <v>1240.7</v>
          </cell>
          <cell r="AG160">
            <v>734.8</v>
          </cell>
          <cell r="AI160">
            <v>3.3</v>
          </cell>
          <cell r="AK160">
            <v>1191.0212799999999</v>
          </cell>
          <cell r="AM160">
            <v>1275.6572100000001</v>
          </cell>
          <cell r="AO160">
            <v>1393.9435700000001</v>
          </cell>
          <cell r="AP160" t="str">
            <v>Muestra tomada en el elevador</v>
          </cell>
          <cell r="AQ160" t="str">
            <v>-</v>
          </cell>
          <cell r="AR160">
            <v>1327</v>
          </cell>
          <cell r="AS160">
            <v>3.2</v>
          </cell>
          <cell r="AV160">
            <v>2.4333738744344675</v>
          </cell>
          <cell r="BS160">
            <v>2.5870000000000002</v>
          </cell>
        </row>
        <row r="161">
          <cell r="A161">
            <v>159</v>
          </cell>
          <cell r="B161">
            <v>40281</v>
          </cell>
          <cell r="D161">
            <v>1500.3</v>
          </cell>
          <cell r="E161">
            <v>1425.6</v>
          </cell>
          <cell r="G161" t="str">
            <v>Parcheo elaboración de fallos en vías urbanas y rurales del municipio de Medellín.</v>
          </cell>
          <cell r="H161" t="str">
            <v>2/2</v>
          </cell>
          <cell r="I161">
            <v>0</v>
          </cell>
          <cell r="J161">
            <v>156.5</v>
          </cell>
          <cell r="K161">
            <v>189</v>
          </cell>
          <cell r="L161">
            <v>331.2</v>
          </cell>
          <cell r="M161">
            <v>300.10000000000002</v>
          </cell>
          <cell r="N161">
            <v>220</v>
          </cell>
          <cell r="O161">
            <v>71.599999999999994</v>
          </cell>
          <cell r="P161">
            <v>69.099999999999994</v>
          </cell>
          <cell r="Q161">
            <v>88.1</v>
          </cell>
          <cell r="S161">
            <v>25</v>
          </cell>
          <cell r="T161" t="str">
            <v>1</v>
          </cell>
          <cell r="U161">
            <v>1236.0999999999999</v>
          </cell>
          <cell r="V161">
            <v>1238.4000000000001</v>
          </cell>
          <cell r="W161">
            <v>731.9</v>
          </cell>
          <cell r="Y161">
            <v>3.5</v>
          </cell>
          <cell r="Z161">
            <v>1238.9000000000001</v>
          </cell>
          <cell r="AA161">
            <v>1242.7</v>
          </cell>
          <cell r="AB161">
            <v>734.7</v>
          </cell>
          <cell r="AD161">
            <v>3.5</v>
          </cell>
          <cell r="AE161">
            <v>1237.9000000000001</v>
          </cell>
          <cell r="AF161">
            <v>1242.2</v>
          </cell>
          <cell r="AG161">
            <v>733.8</v>
          </cell>
          <cell r="AI161">
            <v>3.3</v>
          </cell>
          <cell r="AK161">
            <v>1651.9302</v>
          </cell>
          <cell r="AM161">
            <v>1406.1800900000001</v>
          </cell>
          <cell r="AO161">
            <v>1517.3284800000001</v>
          </cell>
          <cell r="AP161" t="str">
            <v>Muestra tomada en la volqueta</v>
          </cell>
          <cell r="AQ161" t="str">
            <v>-</v>
          </cell>
          <cell r="AR161">
            <v>1568</v>
          </cell>
          <cell r="AS161">
            <v>3.4</v>
          </cell>
          <cell r="AV161">
            <v>2.4309177572133227</v>
          </cell>
          <cell r="BS161">
            <v>2.5870000000000002</v>
          </cell>
        </row>
        <row r="162">
          <cell r="A162">
            <v>160</v>
          </cell>
          <cell r="B162">
            <v>40282</v>
          </cell>
          <cell r="D162">
            <v>1504</v>
          </cell>
          <cell r="E162">
            <v>1425</v>
          </cell>
          <cell r="G162" t="str">
            <v>Parcheo elaboración de fallos en vías urbanas y rurales del municipio de Medellín.</v>
          </cell>
          <cell r="H162" t="str">
            <v>1/2</v>
          </cell>
          <cell r="I162">
            <v>0</v>
          </cell>
          <cell r="J162">
            <v>149.19999999999999</v>
          </cell>
          <cell r="K162">
            <v>201</v>
          </cell>
          <cell r="L162">
            <v>255.3</v>
          </cell>
          <cell r="M162">
            <v>330.3</v>
          </cell>
          <cell r="N162">
            <v>243</v>
          </cell>
          <cell r="O162">
            <v>75</v>
          </cell>
          <cell r="P162">
            <v>80.7</v>
          </cell>
          <cell r="Q162">
            <v>90.5</v>
          </cell>
          <cell r="S162">
            <v>25</v>
          </cell>
          <cell r="T162" t="str">
            <v>1</v>
          </cell>
          <cell r="U162">
            <v>1235.8</v>
          </cell>
          <cell r="V162">
            <v>1238.8</v>
          </cell>
          <cell r="W162">
            <v>733.9</v>
          </cell>
          <cell r="Y162">
            <v>3.3</v>
          </cell>
          <cell r="Z162">
            <v>1236.5</v>
          </cell>
          <cell r="AA162">
            <v>1239.8</v>
          </cell>
          <cell r="AB162">
            <v>734</v>
          </cell>
          <cell r="AD162">
            <v>3.5</v>
          </cell>
          <cell r="AE162">
            <v>1234.7</v>
          </cell>
          <cell r="AF162">
            <v>1235.8</v>
          </cell>
          <cell r="AG162">
            <v>732.6</v>
          </cell>
          <cell r="AI162">
            <v>2.8</v>
          </cell>
          <cell r="AK162">
            <v>1537.7226800000001</v>
          </cell>
          <cell r="AM162">
            <v>1542.8212300000002</v>
          </cell>
          <cell r="AO162">
            <v>1576.4716600000002</v>
          </cell>
          <cell r="AP162" t="str">
            <v>Muestra tomada en el elevador</v>
          </cell>
          <cell r="AQ162" t="str">
            <v>Muestra tomada en planta, en cojunto con el Laboratorio de AIM, (Volqueta TPZ807)</v>
          </cell>
          <cell r="AR162">
            <v>1611</v>
          </cell>
          <cell r="AS162">
            <v>3.2</v>
          </cell>
          <cell r="AV162">
            <v>2.4414883246604844</v>
          </cell>
          <cell r="BS162">
            <v>2.5840000000000001</v>
          </cell>
        </row>
        <row r="163">
          <cell r="A163">
            <v>161</v>
          </cell>
          <cell r="B163">
            <v>40282</v>
          </cell>
          <cell r="D163">
            <v>1501.9</v>
          </cell>
          <cell r="E163">
            <v>1426.4</v>
          </cell>
          <cell r="G163" t="str">
            <v>Parcheo elaboración de fallos en vías urbanas y rurales del municipio de Medellín.</v>
          </cell>
          <cell r="H163" t="str">
            <v>2/2</v>
          </cell>
          <cell r="I163">
            <v>0</v>
          </cell>
          <cell r="J163">
            <v>223.3</v>
          </cell>
          <cell r="K163">
            <v>158.80000000000001</v>
          </cell>
          <cell r="L163">
            <v>217</v>
          </cell>
          <cell r="M163">
            <v>325.2</v>
          </cell>
          <cell r="N163">
            <v>255.5</v>
          </cell>
          <cell r="O163">
            <v>79.400000000000006</v>
          </cell>
          <cell r="P163">
            <v>76.099999999999994</v>
          </cell>
          <cell r="Q163">
            <v>91.1</v>
          </cell>
          <cell r="S163">
            <v>25</v>
          </cell>
          <cell r="T163" t="str">
            <v>1</v>
          </cell>
          <cell r="U163">
            <v>1238.5999999999999</v>
          </cell>
          <cell r="V163">
            <v>1239.8</v>
          </cell>
          <cell r="W163">
            <v>736.8</v>
          </cell>
          <cell r="Y163">
            <v>3.5</v>
          </cell>
          <cell r="Z163">
            <v>1237.7</v>
          </cell>
          <cell r="AA163">
            <v>1240.5</v>
          </cell>
          <cell r="AB163">
            <v>735.4</v>
          </cell>
          <cell r="AD163">
            <v>3.3</v>
          </cell>
          <cell r="AE163">
            <v>1235.5999999999999</v>
          </cell>
          <cell r="AF163">
            <v>1238.9000000000001</v>
          </cell>
          <cell r="AG163">
            <v>735.6</v>
          </cell>
          <cell r="AI163">
            <v>3.5</v>
          </cell>
          <cell r="AK163">
            <v>1687.6200500000002</v>
          </cell>
          <cell r="AM163">
            <v>1674.3638200000003</v>
          </cell>
          <cell r="AO163">
            <v>1773.2756900000002</v>
          </cell>
          <cell r="AP163" t="str">
            <v>Muestra tomada en el elevador</v>
          </cell>
          <cell r="AQ163" t="str">
            <v>Muestra tomada en planta, en cojunto con el Laboratorio de AIM.</v>
          </cell>
          <cell r="AR163">
            <v>1781</v>
          </cell>
          <cell r="AS163">
            <v>3.4</v>
          </cell>
          <cell r="AV163">
            <v>2.448759143118294</v>
          </cell>
          <cell r="BS163">
            <v>2.5840000000000001</v>
          </cell>
        </row>
        <row r="164">
          <cell r="A164">
            <v>162</v>
          </cell>
          <cell r="B164">
            <v>40283</v>
          </cell>
          <cell r="D164">
            <v>1503.5</v>
          </cell>
          <cell r="E164">
            <v>1427.9</v>
          </cell>
          <cell r="G164" t="str">
            <v>Parcheo elaboración de fallos en vías urbanas y rurales del municipio de Medellín.</v>
          </cell>
          <cell r="H164" t="str">
            <v>1/2</v>
          </cell>
          <cell r="I164">
            <v>0</v>
          </cell>
          <cell r="J164">
            <v>224.3</v>
          </cell>
          <cell r="K164">
            <v>175.9</v>
          </cell>
          <cell r="L164">
            <v>214</v>
          </cell>
          <cell r="M164">
            <v>323.5</v>
          </cell>
          <cell r="N164">
            <v>255.4</v>
          </cell>
          <cell r="O164">
            <v>74.3</v>
          </cell>
          <cell r="P164">
            <v>75.8</v>
          </cell>
          <cell r="Q164">
            <v>84.7</v>
          </cell>
          <cell r="S164">
            <v>25</v>
          </cell>
          <cell r="T164" t="str">
            <v>1</v>
          </cell>
          <cell r="U164">
            <v>1235.3</v>
          </cell>
          <cell r="V164">
            <v>1236.2</v>
          </cell>
          <cell r="W164">
            <v>734.4</v>
          </cell>
          <cell r="Y164">
            <v>3.4</v>
          </cell>
          <cell r="Z164">
            <v>1237.7</v>
          </cell>
          <cell r="AA164">
            <v>1239.8</v>
          </cell>
          <cell r="AB164">
            <v>735.1</v>
          </cell>
          <cell r="AD164">
            <v>3.1</v>
          </cell>
          <cell r="AE164">
            <v>1234.8</v>
          </cell>
          <cell r="AF164">
            <v>1238</v>
          </cell>
          <cell r="AG164">
            <v>731.2</v>
          </cell>
          <cell r="AI164">
            <v>3.2</v>
          </cell>
          <cell r="AK164">
            <v>1840.5765500000002</v>
          </cell>
          <cell r="AM164">
            <v>1740.6449700000001</v>
          </cell>
          <cell r="AO164">
            <v>1543.84094</v>
          </cell>
          <cell r="AP164" t="str">
            <v>Muestra tomada en el elevador</v>
          </cell>
          <cell r="AQ164" t="str">
            <v>Muestra tomada en planta, en cojunto con el Laboratorio de AIM, (Volqueta SNO752)</v>
          </cell>
          <cell r="AR164">
            <v>1775</v>
          </cell>
          <cell r="AS164">
            <v>3.2</v>
          </cell>
          <cell r="AV164">
            <v>2.4430164679760682</v>
          </cell>
          <cell r="BS164">
            <v>2.5939999999999999</v>
          </cell>
        </row>
        <row r="165">
          <cell r="A165">
            <v>163</v>
          </cell>
          <cell r="B165">
            <v>40283</v>
          </cell>
          <cell r="D165">
            <v>1505</v>
          </cell>
          <cell r="E165">
            <v>1432.1</v>
          </cell>
          <cell r="G165" t="str">
            <v>Parcheo elaboración de fallos en vías urbanas y rurales del municipio de Medellín.</v>
          </cell>
          <cell r="H165" t="str">
            <v>2/2</v>
          </cell>
          <cell r="I165">
            <v>0</v>
          </cell>
          <cell r="J165">
            <v>217.6</v>
          </cell>
          <cell r="K165">
            <v>161.1</v>
          </cell>
          <cell r="L165">
            <v>266</v>
          </cell>
          <cell r="M165">
            <v>310.89999999999998</v>
          </cell>
          <cell r="N165">
            <v>231.9</v>
          </cell>
          <cell r="O165">
            <v>76.599999999999994</v>
          </cell>
          <cell r="P165">
            <v>76</v>
          </cell>
          <cell r="Q165">
            <v>92</v>
          </cell>
          <cell r="S165">
            <v>25</v>
          </cell>
          <cell r="T165" t="str">
            <v>1</v>
          </cell>
          <cell r="U165">
            <v>1236.5</v>
          </cell>
          <cell r="V165">
            <v>1238.8</v>
          </cell>
          <cell r="W165">
            <v>733.2</v>
          </cell>
          <cell r="Y165">
            <v>2.6</v>
          </cell>
          <cell r="Z165">
            <v>1236.4000000000001</v>
          </cell>
          <cell r="AA165">
            <v>1238.5</v>
          </cell>
          <cell r="AB165">
            <v>733.7</v>
          </cell>
          <cell r="AD165">
            <v>3.3</v>
          </cell>
          <cell r="AE165">
            <v>1237.2</v>
          </cell>
          <cell r="AF165">
            <v>1239.8</v>
          </cell>
          <cell r="AG165">
            <v>734.8</v>
          </cell>
          <cell r="AI165">
            <v>3.2</v>
          </cell>
          <cell r="AK165">
            <v>1395.98299</v>
          </cell>
          <cell r="AM165">
            <v>1590.7475999999999</v>
          </cell>
          <cell r="AO165">
            <v>1623.37832</v>
          </cell>
          <cell r="AP165" t="str">
            <v>Muestra tomada en el elevador</v>
          </cell>
          <cell r="AQ165" t="str">
            <v>Muestra tomada en planta, en cojunto con el Laboratorio de AIM, (Volqueta CID262)</v>
          </cell>
          <cell r="AR165">
            <v>1592</v>
          </cell>
          <cell r="AS165">
            <v>3</v>
          </cell>
          <cell r="AV165">
            <v>2.441104494108401</v>
          </cell>
          <cell r="BS165">
            <v>2.5939999999999999</v>
          </cell>
        </row>
        <row r="166">
          <cell r="A166">
            <v>164</v>
          </cell>
          <cell r="B166">
            <v>40284</v>
          </cell>
          <cell r="D166">
            <v>1508</v>
          </cell>
          <cell r="E166">
            <v>1436.5</v>
          </cell>
          <cell r="G166" t="str">
            <v>Parcheo elaboración de fallos en vías urbanas y rurales del municipio de Medellín.</v>
          </cell>
          <cell r="H166" t="str">
            <v>1/2</v>
          </cell>
          <cell r="I166">
            <v>0</v>
          </cell>
          <cell r="J166">
            <v>176.6</v>
          </cell>
          <cell r="K166">
            <v>164.3</v>
          </cell>
          <cell r="L166">
            <v>314.3</v>
          </cell>
          <cell r="M166">
            <v>311.8</v>
          </cell>
          <cell r="N166">
            <v>234.1</v>
          </cell>
          <cell r="O166">
            <v>77.7</v>
          </cell>
          <cell r="P166">
            <v>72.3</v>
          </cell>
          <cell r="Q166">
            <v>85.4</v>
          </cell>
          <cell r="S166">
            <v>25</v>
          </cell>
          <cell r="T166" t="str">
            <v>1</v>
          </cell>
          <cell r="U166">
            <v>1236.9000000000001</v>
          </cell>
          <cell r="V166">
            <v>1239.8</v>
          </cell>
          <cell r="W166">
            <v>732.3</v>
          </cell>
          <cell r="Y166">
            <v>3.3</v>
          </cell>
          <cell r="Z166">
            <v>1236.5999999999999</v>
          </cell>
          <cell r="AA166">
            <v>1239</v>
          </cell>
          <cell r="AB166">
            <v>731.3</v>
          </cell>
          <cell r="AD166">
            <v>3</v>
          </cell>
          <cell r="AE166">
            <v>1234</v>
          </cell>
          <cell r="AF166">
            <v>1235.7</v>
          </cell>
          <cell r="AG166">
            <v>730.8</v>
          </cell>
          <cell r="AI166">
            <v>2.8</v>
          </cell>
          <cell r="AK166">
            <v>1634.5951300000002</v>
          </cell>
          <cell r="AM166">
            <v>1607.06296</v>
          </cell>
          <cell r="AO166">
            <v>1881.3649499999999</v>
          </cell>
          <cell r="AP166" t="str">
            <v>Muestra tomada en el elevador</v>
          </cell>
          <cell r="AQ166" t="str">
            <v>Muestra tomada en planta, en cojunto con el Laboratorio de AIM, (Volqueta CID262)</v>
          </cell>
          <cell r="AR166">
            <v>1761</v>
          </cell>
          <cell r="AS166">
            <v>3</v>
          </cell>
          <cell r="AV166">
            <v>2.4318593024409334</v>
          </cell>
          <cell r="BS166">
            <v>2.5840000000000001</v>
          </cell>
        </row>
        <row r="167">
          <cell r="A167">
            <v>165</v>
          </cell>
          <cell r="B167">
            <v>40284</v>
          </cell>
          <cell r="D167">
            <v>1505.2</v>
          </cell>
          <cell r="E167">
            <v>1433</v>
          </cell>
          <cell r="G167" t="str">
            <v>Parcheo elaboración de fallos en vías urbanas y rurales del municipio de Medellín.</v>
          </cell>
          <cell r="H167" t="str">
            <v>2/2</v>
          </cell>
          <cell r="I167">
            <v>0</v>
          </cell>
          <cell r="J167">
            <v>198.5</v>
          </cell>
          <cell r="K167">
            <v>136.19999999999999</v>
          </cell>
          <cell r="L167">
            <v>263.60000000000002</v>
          </cell>
          <cell r="M167">
            <v>330.4</v>
          </cell>
          <cell r="N167">
            <v>258.60000000000002</v>
          </cell>
          <cell r="O167">
            <v>79.099999999999994</v>
          </cell>
          <cell r="P167">
            <v>79</v>
          </cell>
          <cell r="Q167">
            <v>87.6</v>
          </cell>
          <cell r="S167">
            <v>25</v>
          </cell>
          <cell r="T167" t="str">
            <v>1</v>
          </cell>
          <cell r="U167">
            <v>1235.7</v>
          </cell>
          <cell r="V167">
            <v>1238</v>
          </cell>
          <cell r="W167">
            <v>730.3</v>
          </cell>
          <cell r="Y167">
            <v>3.2</v>
          </cell>
          <cell r="Z167">
            <v>1237.4000000000001</v>
          </cell>
          <cell r="AA167">
            <v>1242</v>
          </cell>
          <cell r="AB167">
            <v>734</v>
          </cell>
          <cell r="AD167">
            <v>2.9</v>
          </cell>
          <cell r="AE167">
            <v>1234.9000000000001</v>
          </cell>
          <cell r="AF167">
            <v>1238</v>
          </cell>
          <cell r="AG167">
            <v>732</v>
          </cell>
          <cell r="AI167">
            <v>2.9</v>
          </cell>
          <cell r="AK167">
            <v>1639.6936799999999</v>
          </cell>
          <cell r="AM167">
            <v>1477.55979</v>
          </cell>
          <cell r="AO167">
            <v>1428.6137100000001</v>
          </cell>
          <cell r="AP167" t="str">
            <v>Muestra tomada en el elevador</v>
          </cell>
          <cell r="AQ167" t="str">
            <v>Muestra tomada en planta, en cojunto con el Laboratorio de AIM, (Volqueta CNN859)</v>
          </cell>
          <cell r="AR167">
            <v>1559</v>
          </cell>
          <cell r="AS167">
            <v>3</v>
          </cell>
          <cell r="AV167">
            <v>2.429625256036533</v>
          </cell>
          <cell r="BS167">
            <v>2.5840000000000001</v>
          </cell>
        </row>
        <row r="168">
          <cell r="A168">
            <v>166</v>
          </cell>
          <cell r="B168">
            <v>40287</v>
          </cell>
          <cell r="D168">
            <v>1689.2</v>
          </cell>
          <cell r="E168">
            <v>1605.8</v>
          </cell>
          <cell r="G168" t="str">
            <v>Parcheo elaboración de fallos en vías urbanas y rurales del municipio de Medellín.</v>
          </cell>
          <cell r="H168" t="str">
            <v>1/2</v>
          </cell>
          <cell r="I168">
            <v>0</v>
          </cell>
          <cell r="J168">
            <v>193</v>
          </cell>
          <cell r="K168">
            <v>202.1</v>
          </cell>
          <cell r="L168">
            <v>292.60000000000002</v>
          </cell>
          <cell r="M168">
            <v>356.7</v>
          </cell>
          <cell r="N168">
            <v>277.5</v>
          </cell>
          <cell r="O168">
            <v>99.7</v>
          </cell>
          <cell r="P168">
            <v>82.4</v>
          </cell>
          <cell r="Q168">
            <v>101.8</v>
          </cell>
          <cell r="S168">
            <v>25</v>
          </cell>
          <cell r="T168" t="str">
            <v>1</v>
          </cell>
          <cell r="U168">
            <v>1234.8</v>
          </cell>
          <cell r="V168">
            <v>1235.3</v>
          </cell>
          <cell r="W168">
            <v>736.4</v>
          </cell>
          <cell r="Y168">
            <v>3</v>
          </cell>
          <cell r="Z168">
            <v>1237.8</v>
          </cell>
          <cell r="AA168">
            <v>1240.0999999999999</v>
          </cell>
          <cell r="AB168">
            <v>730.6</v>
          </cell>
          <cell r="AD168">
            <v>3.2</v>
          </cell>
          <cell r="AE168">
            <v>1238.8</v>
          </cell>
          <cell r="AF168">
            <v>1240.2</v>
          </cell>
          <cell r="AG168">
            <v>734.1</v>
          </cell>
          <cell r="AI168">
            <v>3.2</v>
          </cell>
          <cell r="AK168">
            <v>1827.3203200000003</v>
          </cell>
          <cell r="AM168">
            <v>1606.0432500000002</v>
          </cell>
          <cell r="AO168">
            <v>1700.87628</v>
          </cell>
          <cell r="AP168" t="str">
            <v>Muestra tomada en el elevador</v>
          </cell>
          <cell r="AQ168" t="str">
            <v>-</v>
          </cell>
          <cell r="AR168">
            <v>1777</v>
          </cell>
          <cell r="AS168">
            <v>3.1</v>
          </cell>
          <cell r="AV168">
            <v>2.4435726917711924</v>
          </cell>
          <cell r="BS168">
            <v>2.58</v>
          </cell>
        </row>
        <row r="169">
          <cell r="A169">
            <v>167</v>
          </cell>
          <cell r="B169">
            <v>40287</v>
          </cell>
          <cell r="D169">
            <v>1752.5</v>
          </cell>
          <cell r="E169">
            <v>1667.4</v>
          </cell>
          <cell r="G169" t="str">
            <v>Parcheo elaboración de fallos en vías urbanas y rurales del municipio de Medellín.</v>
          </cell>
          <cell r="H169" t="str">
            <v>2/2</v>
          </cell>
          <cell r="I169">
            <v>0</v>
          </cell>
          <cell r="J169">
            <v>204.2</v>
          </cell>
          <cell r="K169">
            <v>196</v>
          </cell>
          <cell r="L169">
            <v>345.8</v>
          </cell>
          <cell r="M169">
            <v>367.9</v>
          </cell>
          <cell r="N169">
            <v>266.5</v>
          </cell>
          <cell r="O169">
            <v>97.2</v>
          </cell>
          <cell r="P169">
            <v>86.4</v>
          </cell>
          <cell r="Q169">
            <v>103.4</v>
          </cell>
          <cell r="S169">
            <v>25</v>
          </cell>
          <cell r="T169" t="str">
            <v>1</v>
          </cell>
          <cell r="U169">
            <v>1236.0999999999999</v>
          </cell>
          <cell r="V169">
            <v>1238.0999999999999</v>
          </cell>
          <cell r="W169">
            <v>735.9</v>
          </cell>
          <cell r="Y169">
            <v>3.1</v>
          </cell>
          <cell r="Z169">
            <v>1236.0999999999999</v>
          </cell>
          <cell r="AA169">
            <v>1239.4000000000001</v>
          </cell>
          <cell r="AB169">
            <v>735.7</v>
          </cell>
          <cell r="AD169">
            <v>3</v>
          </cell>
          <cell r="AE169">
            <v>1236.8</v>
          </cell>
          <cell r="AF169">
            <v>1240.7</v>
          </cell>
          <cell r="AG169">
            <v>736.1</v>
          </cell>
          <cell r="AI169">
            <v>3.5</v>
          </cell>
          <cell r="AK169">
            <v>1680.48208</v>
          </cell>
          <cell r="AM169">
            <v>1865.0495900000001</v>
          </cell>
          <cell r="AO169">
            <v>1574.4322400000001</v>
          </cell>
          <cell r="AP169" t="str">
            <v>Muestra tomada en la volqueta</v>
          </cell>
          <cell r="AQ169" t="str">
            <v>-</v>
          </cell>
          <cell r="AR169">
            <v>1778</v>
          </cell>
          <cell r="AS169">
            <v>3.2</v>
          </cell>
          <cell r="AV169">
            <v>2.4483045051844563</v>
          </cell>
          <cell r="BS169">
            <v>2.58</v>
          </cell>
        </row>
        <row r="170">
          <cell r="A170">
            <v>168</v>
          </cell>
          <cell r="B170">
            <v>40288</v>
          </cell>
          <cell r="D170">
            <v>1650.2</v>
          </cell>
          <cell r="E170">
            <v>1564.8</v>
          </cell>
          <cell r="G170" t="str">
            <v>Parcheo elaboración de fallos en vías urbanas y rurales del municipio de Medellín.</v>
          </cell>
          <cell r="H170" t="str">
            <v>1/2</v>
          </cell>
          <cell r="I170">
            <v>0</v>
          </cell>
          <cell r="J170">
            <v>186.3</v>
          </cell>
          <cell r="K170">
            <v>157.5</v>
          </cell>
          <cell r="L170">
            <v>323.60000000000002</v>
          </cell>
          <cell r="M170">
            <v>355.7</v>
          </cell>
          <cell r="N170">
            <v>275</v>
          </cell>
          <cell r="O170">
            <v>85.6</v>
          </cell>
          <cell r="P170">
            <v>84.8</v>
          </cell>
          <cell r="Q170">
            <v>96.3</v>
          </cell>
          <cell r="S170">
            <v>25</v>
          </cell>
          <cell r="T170" t="str">
            <v>1</v>
          </cell>
          <cell r="U170">
            <v>1235.9000000000001</v>
          </cell>
          <cell r="V170">
            <v>1237.2</v>
          </cell>
          <cell r="W170">
            <v>738.3</v>
          </cell>
          <cell r="Y170">
            <v>3.4</v>
          </cell>
          <cell r="Z170">
            <v>1238.5</v>
          </cell>
          <cell r="AA170">
            <v>1239.3</v>
          </cell>
          <cell r="AB170">
            <v>736.8</v>
          </cell>
          <cell r="AD170">
            <v>3.4</v>
          </cell>
          <cell r="AE170">
            <v>1235.4000000000001</v>
          </cell>
          <cell r="AF170">
            <v>1236.3</v>
          </cell>
          <cell r="AG170">
            <v>734.8</v>
          </cell>
          <cell r="AI170">
            <v>3</v>
          </cell>
          <cell r="AK170">
            <v>1602.9841200000001</v>
          </cell>
          <cell r="AM170">
            <v>1769.1968500000003</v>
          </cell>
          <cell r="AO170">
            <v>1761.03917</v>
          </cell>
          <cell r="AP170" t="str">
            <v>Muestra tomada en el elevador</v>
          </cell>
          <cell r="AQ170" t="str">
            <v>-</v>
          </cell>
          <cell r="AR170">
            <v>1797</v>
          </cell>
          <cell r="AS170">
            <v>3.3</v>
          </cell>
          <cell r="AV170">
            <v>2.4612252429019832</v>
          </cell>
          <cell r="BS170">
            <v>2.5739999999999998</v>
          </cell>
        </row>
        <row r="171">
          <cell r="A171">
            <v>169</v>
          </cell>
          <cell r="B171">
            <v>40288</v>
          </cell>
          <cell r="D171">
            <v>1686.9</v>
          </cell>
          <cell r="E171">
            <v>1600.4</v>
          </cell>
          <cell r="G171" t="str">
            <v>Parcheo elaboración de fallos en vías urbanas y rurales del municipio de Medellín.</v>
          </cell>
          <cell r="H171" t="str">
            <v>2/2</v>
          </cell>
          <cell r="I171">
            <v>0</v>
          </cell>
          <cell r="J171">
            <v>145.19999999999999</v>
          </cell>
          <cell r="K171">
            <v>209.9</v>
          </cell>
          <cell r="L171">
            <v>355.3</v>
          </cell>
          <cell r="M171">
            <v>366.9</v>
          </cell>
          <cell r="N171">
            <v>254</v>
          </cell>
          <cell r="O171">
            <v>81.3</v>
          </cell>
          <cell r="P171">
            <v>85</v>
          </cell>
          <cell r="Q171">
            <v>102.8</v>
          </cell>
          <cell r="S171">
            <v>25</v>
          </cell>
          <cell r="T171" t="str">
            <v>1</v>
          </cell>
          <cell r="U171">
            <v>1237.7</v>
          </cell>
          <cell r="V171">
            <v>1239.5</v>
          </cell>
          <cell r="W171">
            <v>728.1</v>
          </cell>
          <cell r="Y171">
            <v>2.8</v>
          </cell>
          <cell r="Z171">
            <v>1237.7</v>
          </cell>
          <cell r="AA171">
            <v>1238.5</v>
          </cell>
          <cell r="AB171">
            <v>738.8</v>
          </cell>
          <cell r="AD171">
            <v>3.1</v>
          </cell>
          <cell r="AE171">
            <v>1237.0999999999999</v>
          </cell>
          <cell r="AF171">
            <v>1239.9000000000001</v>
          </cell>
          <cell r="AG171">
            <v>733.9</v>
          </cell>
          <cell r="AI171">
            <v>3.3</v>
          </cell>
          <cell r="AK171">
            <v>1501.0131200000001</v>
          </cell>
          <cell r="AM171">
            <v>1576.4716600000002</v>
          </cell>
          <cell r="AO171">
            <v>1420.4560300000001</v>
          </cell>
          <cell r="AP171" t="str">
            <v>Muestra tomada en la volqueta</v>
          </cell>
          <cell r="AQ171" t="str">
            <v>-</v>
          </cell>
          <cell r="AR171">
            <v>1552</v>
          </cell>
          <cell r="AS171">
            <v>3.1</v>
          </cell>
          <cell r="AV171">
            <v>2.4401638485070456</v>
          </cell>
          <cell r="BS171">
            <v>2.5739999999999998</v>
          </cell>
        </row>
        <row r="172">
          <cell r="A172">
            <v>170</v>
          </cell>
          <cell r="B172">
            <v>40289</v>
          </cell>
          <cell r="D172">
            <v>1700.5</v>
          </cell>
          <cell r="E172">
            <v>1619.2</v>
          </cell>
          <cell r="G172" t="str">
            <v>Parcheo elaboración de fallos en vías urbanas y rurales del municipio de Medellín; Consorcio Vial Santa Elena.</v>
          </cell>
          <cell r="H172" t="str">
            <v>1/5</v>
          </cell>
          <cell r="I172">
            <v>0</v>
          </cell>
          <cell r="J172">
            <v>191.3</v>
          </cell>
          <cell r="K172">
            <v>191.5</v>
          </cell>
          <cell r="L172">
            <v>325.5</v>
          </cell>
          <cell r="M172">
            <v>344.2</v>
          </cell>
          <cell r="N172">
            <v>285</v>
          </cell>
          <cell r="O172">
            <v>88.5</v>
          </cell>
          <cell r="P172">
            <v>89.9</v>
          </cell>
          <cell r="Q172">
            <v>103.3</v>
          </cell>
          <cell r="S172">
            <v>25</v>
          </cell>
          <cell r="T172" t="str">
            <v>1</v>
          </cell>
          <cell r="U172">
            <v>1234.7</v>
          </cell>
          <cell r="V172">
            <v>1235.3</v>
          </cell>
          <cell r="W172">
            <v>735.3</v>
          </cell>
          <cell r="Y172">
            <v>2.9</v>
          </cell>
          <cell r="Z172">
            <v>1237</v>
          </cell>
          <cell r="AA172">
            <v>1237.5</v>
          </cell>
          <cell r="AB172">
            <v>732.8</v>
          </cell>
          <cell r="AD172">
            <v>2.7</v>
          </cell>
          <cell r="AE172">
            <v>1234.4000000000001</v>
          </cell>
          <cell r="AF172">
            <v>1235.5</v>
          </cell>
          <cell r="AG172">
            <v>732.6</v>
          </cell>
          <cell r="AI172">
            <v>2.9</v>
          </cell>
          <cell r="AK172">
            <v>1563.21543</v>
          </cell>
          <cell r="AM172">
            <v>1483.6780500000002</v>
          </cell>
          <cell r="AO172">
            <v>1519.3679000000002</v>
          </cell>
          <cell r="AP172" t="str">
            <v>Muestra tomada en el elevador</v>
          </cell>
          <cell r="AQ172" t="str">
            <v>-</v>
          </cell>
          <cell r="AR172">
            <v>1591</v>
          </cell>
          <cell r="AS172">
            <v>2.8</v>
          </cell>
          <cell r="AV172">
            <v>2.4511176147567784</v>
          </cell>
          <cell r="BS172">
            <v>2.577</v>
          </cell>
        </row>
        <row r="173">
          <cell r="A173">
            <v>171</v>
          </cell>
          <cell r="B173">
            <v>40289</v>
          </cell>
          <cell r="D173">
            <v>1603.4</v>
          </cell>
          <cell r="E173">
            <v>1525.1</v>
          </cell>
          <cell r="G173" t="str">
            <v>Parcheo elaboración de fallos en vías urbanas y rurales del municipio de Medellín; Consorcio Vial Santa Elena.</v>
          </cell>
          <cell r="H173" t="str">
            <v>2/5</v>
          </cell>
          <cell r="I173">
            <v>0</v>
          </cell>
          <cell r="J173">
            <v>137.19999999999999</v>
          </cell>
          <cell r="K173">
            <v>199.9</v>
          </cell>
          <cell r="L173">
            <v>348.2</v>
          </cell>
          <cell r="M173">
            <v>315.3</v>
          </cell>
          <cell r="N173">
            <v>263.3</v>
          </cell>
          <cell r="O173">
            <v>82.8</v>
          </cell>
          <cell r="P173">
            <v>81.5</v>
          </cell>
          <cell r="Q173">
            <v>96.9</v>
          </cell>
          <cell r="S173">
            <v>25</v>
          </cell>
          <cell r="T173" t="str">
            <v>1</v>
          </cell>
          <cell r="U173">
            <v>1234.5999999999999</v>
          </cell>
          <cell r="V173">
            <v>1237.4000000000001</v>
          </cell>
          <cell r="W173">
            <v>731.3</v>
          </cell>
          <cell r="Y173">
            <v>2.8</v>
          </cell>
          <cell r="Z173">
            <v>1237.5999999999999</v>
          </cell>
          <cell r="AA173">
            <v>1239.9000000000001</v>
          </cell>
          <cell r="AB173">
            <v>732.9</v>
          </cell>
          <cell r="AD173">
            <v>3.6</v>
          </cell>
          <cell r="AE173">
            <v>1236.4000000000001</v>
          </cell>
          <cell r="AF173">
            <v>1239.0999999999999</v>
          </cell>
          <cell r="AG173">
            <v>733.5</v>
          </cell>
          <cell r="AI173">
            <v>3</v>
          </cell>
          <cell r="AK173">
            <v>1244.0462</v>
          </cell>
          <cell r="AM173">
            <v>1599.92499</v>
          </cell>
          <cell r="AO173">
            <v>1454.10646</v>
          </cell>
          <cell r="AP173" t="str">
            <v>Muestra tomada en la volqueta</v>
          </cell>
          <cell r="AQ173" t="str">
            <v>-</v>
          </cell>
          <cell r="AR173">
            <v>1479</v>
          </cell>
          <cell r="AS173">
            <v>3.1</v>
          </cell>
          <cell r="AV173">
            <v>2.4348158975203309</v>
          </cell>
          <cell r="BS173">
            <v>2.577</v>
          </cell>
        </row>
        <row r="174">
          <cell r="A174">
            <v>172</v>
          </cell>
          <cell r="B174">
            <v>40289</v>
          </cell>
          <cell r="D174">
            <v>1661.9</v>
          </cell>
          <cell r="E174">
            <v>1578.7</v>
          </cell>
          <cell r="G174" t="str">
            <v>Parcheo elaboración de fallos en vías urbanas y rurales del municipio de Medellín; Consorcio Vial Santa Elena.</v>
          </cell>
          <cell r="H174" t="str">
            <v>3/5</v>
          </cell>
          <cell r="I174">
            <v>0</v>
          </cell>
          <cell r="J174">
            <v>188.5</v>
          </cell>
          <cell r="K174">
            <v>170.9</v>
          </cell>
          <cell r="L174">
            <v>310.2</v>
          </cell>
          <cell r="M174">
            <v>347.2</v>
          </cell>
          <cell r="N174">
            <v>292.39999999999998</v>
          </cell>
          <cell r="O174">
            <v>87.3</v>
          </cell>
          <cell r="P174">
            <v>81.400000000000006</v>
          </cell>
          <cell r="Q174">
            <v>100.8</v>
          </cell>
          <cell r="S174">
            <v>25</v>
          </cell>
          <cell r="T174" t="str">
            <v>1</v>
          </cell>
          <cell r="AK174">
            <v>0</v>
          </cell>
          <cell r="AM174">
            <v>0</v>
          </cell>
          <cell r="AO174">
            <v>0</v>
          </cell>
          <cell r="AP174" t="str">
            <v>Muestra tomada en el elevador</v>
          </cell>
          <cell r="AQ174" t="str">
            <v>Muestra tomada en planta, en cojunto con el Laboratorio de AIM, (Volqueta GPI 602)</v>
          </cell>
          <cell r="AR174">
            <v>0</v>
          </cell>
          <cell r="AS174">
            <v>0</v>
          </cell>
          <cell r="AV174">
            <v>0</v>
          </cell>
          <cell r="BS174">
            <v>2.577</v>
          </cell>
        </row>
        <row r="175">
          <cell r="A175">
            <v>173</v>
          </cell>
          <cell r="B175">
            <v>40289</v>
          </cell>
          <cell r="D175">
            <v>1666.2</v>
          </cell>
          <cell r="E175">
            <v>1583.7</v>
          </cell>
          <cell r="G175" t="str">
            <v>Parcheo elaboración de fallos en vías urbanas y rurales del municipio de Medellín; Consorcio Vial Santa Elena.</v>
          </cell>
          <cell r="H175" t="str">
            <v>4/5</v>
          </cell>
          <cell r="I175">
            <v>0</v>
          </cell>
          <cell r="J175">
            <v>181.4</v>
          </cell>
          <cell r="K175">
            <v>168.3</v>
          </cell>
          <cell r="L175">
            <v>316.8</v>
          </cell>
          <cell r="M175">
            <v>354</v>
          </cell>
          <cell r="N175">
            <v>286.2</v>
          </cell>
          <cell r="O175">
            <v>85.3</v>
          </cell>
          <cell r="P175">
            <v>86</v>
          </cell>
          <cell r="Q175">
            <v>105.7</v>
          </cell>
          <cell r="S175">
            <v>25</v>
          </cell>
          <cell r="T175" t="str">
            <v>1</v>
          </cell>
          <cell r="AK175">
            <v>0</v>
          </cell>
          <cell r="AM175">
            <v>0</v>
          </cell>
          <cell r="AO175">
            <v>0</v>
          </cell>
          <cell r="AP175" t="str">
            <v>Muestra tomada en el elevador</v>
          </cell>
          <cell r="AQ175" t="str">
            <v>Muestra tomada en planta, en cojunto con el Laboratorio de AIM.</v>
          </cell>
          <cell r="AR175">
            <v>0</v>
          </cell>
          <cell r="AS175">
            <v>0</v>
          </cell>
          <cell r="AV175">
            <v>0</v>
          </cell>
          <cell r="BS175">
            <v>2.577</v>
          </cell>
        </row>
        <row r="176">
          <cell r="A176">
            <v>174</v>
          </cell>
          <cell r="B176">
            <v>40289</v>
          </cell>
          <cell r="D176">
            <v>1609</v>
          </cell>
          <cell r="E176">
            <v>1531.4</v>
          </cell>
          <cell r="G176" t="str">
            <v>Parcheo elaboración de fallos en vías urbanas y rurales del municipio de Medellín; Consorcio Vial Santa Elena.</v>
          </cell>
          <cell r="H176" t="str">
            <v>5/5</v>
          </cell>
          <cell r="I176">
            <v>0</v>
          </cell>
          <cell r="J176">
            <v>187.3</v>
          </cell>
          <cell r="K176">
            <v>197.8</v>
          </cell>
          <cell r="L176">
            <v>285.5</v>
          </cell>
          <cell r="M176">
            <v>315.7</v>
          </cell>
          <cell r="N176">
            <v>277.7</v>
          </cell>
          <cell r="O176">
            <v>89.5</v>
          </cell>
          <cell r="P176">
            <v>79.900000000000006</v>
          </cell>
          <cell r="Q176">
            <v>98</v>
          </cell>
          <cell r="S176">
            <v>25</v>
          </cell>
          <cell r="T176" t="str">
            <v>1</v>
          </cell>
          <cell r="U176">
            <v>1221.5</v>
          </cell>
          <cell r="V176">
            <v>1222</v>
          </cell>
          <cell r="W176">
            <v>730.1</v>
          </cell>
          <cell r="Y176">
            <v>3.5</v>
          </cell>
          <cell r="Z176">
            <v>1255.5999999999999</v>
          </cell>
          <cell r="AA176">
            <v>1256.4000000000001</v>
          </cell>
          <cell r="AB176">
            <v>745.9</v>
          </cell>
          <cell r="AD176">
            <v>3.5</v>
          </cell>
          <cell r="AE176">
            <v>1295.9000000000001</v>
          </cell>
          <cell r="AF176">
            <v>1296.5</v>
          </cell>
          <cell r="AG176">
            <v>770.5</v>
          </cell>
          <cell r="AI176">
            <v>3.4</v>
          </cell>
          <cell r="AK176">
            <v>1903.7985700000002</v>
          </cell>
          <cell r="AM176">
            <v>1750.8420700000001</v>
          </cell>
          <cell r="AO176">
            <v>1792.6501799999999</v>
          </cell>
          <cell r="AP176" t="str">
            <v>Tama en obra, Perque Arví K7+030/160 LI. Segunda capa (volqueta TPZ807)</v>
          </cell>
          <cell r="AQ176" t="str">
            <v>-</v>
          </cell>
          <cell r="AR176">
            <v>1860</v>
          </cell>
          <cell r="AS176">
            <v>3.5</v>
          </cell>
          <cell r="AV176">
            <v>2.461600686568254</v>
          </cell>
          <cell r="BS176">
            <v>2.577</v>
          </cell>
        </row>
        <row r="177">
          <cell r="A177">
            <v>175</v>
          </cell>
          <cell r="B177">
            <v>40290</v>
          </cell>
          <cell r="D177">
            <v>1673.9</v>
          </cell>
          <cell r="E177">
            <v>1588.8</v>
          </cell>
          <cell r="G177" t="str">
            <v>Parcheo elaboración de fallos en vías urbanas y rurales del municipio de Medellín; Consorcio Vial Santa Elena.</v>
          </cell>
          <cell r="H177" t="str">
            <v>1/3</v>
          </cell>
          <cell r="I177">
            <v>0</v>
          </cell>
          <cell r="J177">
            <v>190.8</v>
          </cell>
          <cell r="K177">
            <v>198.2</v>
          </cell>
          <cell r="L177">
            <v>285.7</v>
          </cell>
          <cell r="M177">
            <v>332.2</v>
          </cell>
          <cell r="N177">
            <v>307.7</v>
          </cell>
          <cell r="O177">
            <v>90.1</v>
          </cell>
          <cell r="P177">
            <v>84.4</v>
          </cell>
          <cell r="Q177">
            <v>99.7</v>
          </cell>
          <cell r="S177">
            <v>25</v>
          </cell>
          <cell r="T177" t="str">
            <v>1</v>
          </cell>
          <cell r="U177">
            <v>1236.5999999999999</v>
          </cell>
          <cell r="V177">
            <v>1237.5</v>
          </cell>
          <cell r="W177">
            <v>734.5</v>
          </cell>
          <cell r="Y177">
            <v>3.1</v>
          </cell>
          <cell r="Z177">
            <v>1239.5</v>
          </cell>
          <cell r="AA177">
            <v>1240.4000000000001</v>
          </cell>
          <cell r="AB177">
            <v>736.9</v>
          </cell>
          <cell r="AD177">
            <v>3.4</v>
          </cell>
          <cell r="AE177">
            <v>1237</v>
          </cell>
          <cell r="AF177">
            <v>1238</v>
          </cell>
          <cell r="AG177">
            <v>735.7</v>
          </cell>
          <cell r="AI177">
            <v>3.1</v>
          </cell>
          <cell r="AK177">
            <v>1605.0235400000001</v>
          </cell>
          <cell r="AM177">
            <v>1722.2901900000002</v>
          </cell>
          <cell r="AO177">
            <v>1779.3939499999999</v>
          </cell>
          <cell r="AP177" t="str">
            <v>Muestra tomada en el elevador</v>
          </cell>
          <cell r="AQ177" t="str">
            <v>-</v>
          </cell>
          <cell r="AR177">
            <v>1777</v>
          </cell>
          <cell r="AS177">
            <v>3.2</v>
          </cell>
          <cell r="AV177">
            <v>2.4537645638824479</v>
          </cell>
          <cell r="BS177">
            <v>2.5790000000000002</v>
          </cell>
        </row>
        <row r="178">
          <cell r="A178">
            <v>176</v>
          </cell>
          <cell r="B178">
            <v>40290</v>
          </cell>
          <cell r="D178">
            <v>1671.3</v>
          </cell>
          <cell r="E178">
            <v>1592.8</v>
          </cell>
          <cell r="G178" t="str">
            <v>Parcheo elaboración de fallos en vías urbanas y rurales del municipio de Medellín; Consorcio Vial Santa Elena.</v>
          </cell>
          <cell r="H178" t="str">
            <v>2/3</v>
          </cell>
          <cell r="I178">
            <v>0</v>
          </cell>
          <cell r="J178">
            <v>194.2</v>
          </cell>
          <cell r="K178">
            <v>150.5</v>
          </cell>
          <cell r="L178">
            <v>330.2</v>
          </cell>
          <cell r="M178">
            <v>342.5</v>
          </cell>
          <cell r="N178">
            <v>290.10000000000002</v>
          </cell>
          <cell r="O178">
            <v>96.6</v>
          </cell>
          <cell r="P178">
            <v>88.2</v>
          </cell>
          <cell r="Q178">
            <v>100.5</v>
          </cell>
          <cell r="S178">
            <v>25</v>
          </cell>
          <cell r="T178" t="str">
            <v>1</v>
          </cell>
          <cell r="U178">
            <v>1235.8</v>
          </cell>
          <cell r="V178">
            <v>1237</v>
          </cell>
          <cell r="W178">
            <v>734.2</v>
          </cell>
          <cell r="Y178">
            <v>3</v>
          </cell>
          <cell r="Z178">
            <v>1236.3</v>
          </cell>
          <cell r="AA178">
            <v>1237</v>
          </cell>
          <cell r="AB178">
            <v>732.6</v>
          </cell>
          <cell r="AD178">
            <v>3.2</v>
          </cell>
          <cell r="AE178">
            <v>1234</v>
          </cell>
          <cell r="AF178">
            <v>1235.2</v>
          </cell>
          <cell r="AG178">
            <v>733.5</v>
          </cell>
          <cell r="AI178">
            <v>3.5</v>
          </cell>
          <cell r="AK178">
            <v>1488.7765999999999</v>
          </cell>
          <cell r="AM178">
            <v>1433.71226</v>
          </cell>
          <cell r="AO178">
            <v>1773.2756900000002</v>
          </cell>
          <cell r="AP178" t="str">
            <v>Muestra tomada en el elevador</v>
          </cell>
          <cell r="AQ178" t="str">
            <v>Muestra tomada en planta, en cojunto con el Laboratorio de AIM. (volqueta TOA 364)</v>
          </cell>
          <cell r="AR178">
            <v>1634</v>
          </cell>
          <cell r="AS178">
            <v>3.2</v>
          </cell>
          <cell r="AV178">
            <v>2.4489838013220333</v>
          </cell>
          <cell r="BS178">
            <v>2.5790000000000002</v>
          </cell>
        </row>
        <row r="179">
          <cell r="A179">
            <v>177</v>
          </cell>
          <cell r="B179">
            <v>40290</v>
          </cell>
          <cell r="D179">
            <v>1590.1</v>
          </cell>
          <cell r="E179">
            <v>1509.6</v>
          </cell>
          <cell r="G179" t="str">
            <v>Parcheo elaboración de fallos en vías urbanas y rurales del municipio de Medellín; Consorcio Vial Santa Elena.</v>
          </cell>
          <cell r="H179" t="str">
            <v>3/3</v>
          </cell>
          <cell r="I179">
            <v>0</v>
          </cell>
          <cell r="J179">
            <v>185</v>
          </cell>
          <cell r="K179">
            <v>153.30000000000001</v>
          </cell>
          <cell r="L179">
            <v>313</v>
          </cell>
          <cell r="M179">
            <v>316.3</v>
          </cell>
          <cell r="N179">
            <v>280.89999999999998</v>
          </cell>
          <cell r="O179">
            <v>87</v>
          </cell>
          <cell r="P179">
            <v>79.599999999999994</v>
          </cell>
          <cell r="Q179">
            <v>94.5</v>
          </cell>
          <cell r="S179">
            <v>25</v>
          </cell>
          <cell r="T179" t="str">
            <v>1</v>
          </cell>
          <cell r="AK179">
            <v>0</v>
          </cell>
          <cell r="AM179">
            <v>0</v>
          </cell>
          <cell r="AO179">
            <v>0</v>
          </cell>
          <cell r="AP179" t="str">
            <v>Muestra tomada en el elevador</v>
          </cell>
          <cell r="AQ179" t="str">
            <v>Muestra tomada en planta, en cojunto con el Laboratorio de AIM. (volqueta OLA 123)</v>
          </cell>
          <cell r="AR179">
            <v>0</v>
          </cell>
          <cell r="AS179">
            <v>0</v>
          </cell>
          <cell r="AV179">
            <v>0</v>
          </cell>
          <cell r="BS179">
            <v>2.5790000000000002</v>
          </cell>
        </row>
        <row r="180">
          <cell r="A180">
            <v>300</v>
          </cell>
          <cell r="B180">
            <v>40291</v>
          </cell>
          <cell r="D180">
            <v>1608.5</v>
          </cell>
          <cell r="E180">
            <v>1528.6</v>
          </cell>
          <cell r="G180" t="str">
            <v>Parcheo elaboración de fallos en vías urbanas y rurales del municipio de Medellín; Consorcio Vial Santa Elena.</v>
          </cell>
          <cell r="H180" t="str">
            <v>1/2</v>
          </cell>
          <cell r="I180">
            <v>0</v>
          </cell>
          <cell r="J180">
            <v>171.9</v>
          </cell>
          <cell r="K180">
            <v>171.8</v>
          </cell>
          <cell r="L180">
            <v>313.5</v>
          </cell>
          <cell r="M180">
            <v>328</v>
          </cell>
          <cell r="N180">
            <v>271.89999999999998</v>
          </cell>
          <cell r="O180">
            <v>92.4</v>
          </cell>
          <cell r="P180">
            <v>82.6</v>
          </cell>
          <cell r="Q180">
            <v>96.5</v>
          </cell>
          <cell r="S180">
            <v>25</v>
          </cell>
          <cell r="T180" t="str">
            <v>1</v>
          </cell>
          <cell r="U180">
            <v>1234.5999999999999</v>
          </cell>
          <cell r="V180">
            <v>1236.5</v>
          </cell>
          <cell r="W180">
            <v>732.1</v>
          </cell>
          <cell r="Y180">
            <v>2.8</v>
          </cell>
          <cell r="Z180">
            <v>1238</v>
          </cell>
          <cell r="AA180">
            <v>1239.9000000000001</v>
          </cell>
          <cell r="AB180">
            <v>733.1</v>
          </cell>
          <cell r="AD180">
            <v>3.2</v>
          </cell>
          <cell r="AE180">
            <v>1232</v>
          </cell>
          <cell r="AF180">
            <v>1234.5999999999999</v>
          </cell>
          <cell r="AG180">
            <v>730</v>
          </cell>
          <cell r="AI180">
            <v>3</v>
          </cell>
          <cell r="AK180">
            <v>1648.8710700000001</v>
          </cell>
          <cell r="AM180">
            <v>1649.8907799999999</v>
          </cell>
          <cell r="AO180">
            <v>1600.9447</v>
          </cell>
          <cell r="AP180" t="str">
            <v>Muestra tomada en el elevador</v>
          </cell>
          <cell r="AQ180" t="str">
            <v>Muestra tomada en planta, en cojunto con el Laboratorio de AIM. (volqueta TPZ807)</v>
          </cell>
          <cell r="AR180">
            <v>1692</v>
          </cell>
          <cell r="AS180">
            <v>3</v>
          </cell>
          <cell r="AV180">
            <v>2.4368435410476783</v>
          </cell>
          <cell r="BS180">
            <v>2.58</v>
          </cell>
        </row>
        <row r="181">
          <cell r="A181">
            <v>301</v>
          </cell>
          <cell r="B181">
            <v>40291</v>
          </cell>
          <cell r="D181">
            <v>1658.3</v>
          </cell>
          <cell r="E181">
            <v>1575</v>
          </cell>
          <cell r="G181" t="str">
            <v>Parcheo elaboración de fallos en vías urbanas y rurales del municipio de Medellín; Consorcio Vial Santa Elena.</v>
          </cell>
          <cell r="H181" t="str">
            <v>2/2</v>
          </cell>
          <cell r="I181">
            <v>0</v>
          </cell>
          <cell r="J181">
            <v>182</v>
          </cell>
          <cell r="K181">
            <v>158</v>
          </cell>
          <cell r="L181">
            <v>336.2</v>
          </cell>
          <cell r="M181">
            <v>340</v>
          </cell>
          <cell r="N181">
            <v>285.10000000000002</v>
          </cell>
          <cell r="O181">
            <v>93.1</v>
          </cell>
          <cell r="P181">
            <v>79.099999999999994</v>
          </cell>
          <cell r="Q181">
            <v>101.5</v>
          </cell>
          <cell r="S181">
            <v>25</v>
          </cell>
          <cell r="T181" t="str">
            <v>1</v>
          </cell>
          <cell r="U181">
            <v>1236.0999999999999</v>
          </cell>
          <cell r="V181">
            <v>1236.8</v>
          </cell>
          <cell r="W181">
            <v>733.7</v>
          </cell>
          <cell r="Y181">
            <v>3</v>
          </cell>
          <cell r="Z181">
            <v>1232.5999999999999</v>
          </cell>
          <cell r="AA181">
            <v>1234</v>
          </cell>
          <cell r="AB181">
            <v>729.6</v>
          </cell>
          <cell r="AD181">
            <v>2.8</v>
          </cell>
          <cell r="AE181">
            <v>1237.8</v>
          </cell>
          <cell r="AF181">
            <v>1240.3</v>
          </cell>
          <cell r="AG181">
            <v>731.5</v>
          </cell>
          <cell r="AI181">
            <v>3.6</v>
          </cell>
          <cell r="AK181">
            <v>1693.73831</v>
          </cell>
          <cell r="AM181">
            <v>1445.9487799999999</v>
          </cell>
          <cell r="AO181">
            <v>1562.1957200000002</v>
          </cell>
          <cell r="AP181" t="str">
            <v>Muestra tomada en el elevador</v>
          </cell>
          <cell r="AQ181" t="str">
            <v>Muestra tomada en planta, en cojunto con el Laboratorio de AIM. (volqueta OLB123)</v>
          </cell>
          <cell r="AR181">
            <v>1623</v>
          </cell>
          <cell r="AS181">
            <v>3.1</v>
          </cell>
          <cell r="AV181">
            <v>2.4373316589781262</v>
          </cell>
          <cell r="BS181">
            <v>2.58</v>
          </cell>
        </row>
        <row r="182">
          <cell r="A182">
            <v>302</v>
          </cell>
          <cell r="B182">
            <v>40292</v>
          </cell>
          <cell r="D182">
            <v>1642.9</v>
          </cell>
          <cell r="E182">
            <v>1562.9</v>
          </cell>
          <cell r="G182" t="str">
            <v>Consorcio Vial Santa Elena.</v>
          </cell>
          <cell r="H182" t="str">
            <v>1/2</v>
          </cell>
          <cell r="I182">
            <v>0</v>
          </cell>
          <cell r="J182">
            <v>201.9</v>
          </cell>
          <cell r="K182">
            <v>168.4</v>
          </cell>
          <cell r="L182">
            <v>304.7</v>
          </cell>
          <cell r="M182">
            <v>334.2</v>
          </cell>
          <cell r="N182">
            <v>277.10000000000002</v>
          </cell>
          <cell r="O182">
            <v>94.8</v>
          </cell>
          <cell r="P182">
            <v>83.4</v>
          </cell>
          <cell r="Q182">
            <v>98.4</v>
          </cell>
          <cell r="S182">
            <v>25</v>
          </cell>
          <cell r="T182" t="str">
            <v>1</v>
          </cell>
          <cell r="U182">
            <v>1234.7</v>
          </cell>
          <cell r="V182">
            <v>1235.3</v>
          </cell>
          <cell r="W182">
            <v>733.3</v>
          </cell>
          <cell r="Y182">
            <v>3.3</v>
          </cell>
          <cell r="Z182">
            <v>1236.4000000000001</v>
          </cell>
          <cell r="AA182">
            <v>1237.5</v>
          </cell>
          <cell r="AB182">
            <v>731.7</v>
          </cell>
          <cell r="AD182">
            <v>3.3</v>
          </cell>
          <cell r="AE182">
            <v>1235.4000000000001</v>
          </cell>
          <cell r="AF182">
            <v>1237.7</v>
          </cell>
          <cell r="AG182">
            <v>731.2</v>
          </cell>
          <cell r="AI182">
            <v>3.2</v>
          </cell>
          <cell r="AK182">
            <v>1592.78702</v>
          </cell>
          <cell r="AM182">
            <v>1563.21543</v>
          </cell>
          <cell r="AO182">
            <v>1483.6780500000002</v>
          </cell>
          <cell r="AP182" t="str">
            <v>Muestra tomada en el elevador</v>
          </cell>
          <cell r="AQ182" t="str">
            <v>-</v>
          </cell>
          <cell r="AR182">
            <v>1605</v>
          </cell>
          <cell r="AS182">
            <v>3.3</v>
          </cell>
          <cell r="AV182">
            <v>2.4405398140954153</v>
          </cell>
          <cell r="BS182">
            <v>2.577</v>
          </cell>
        </row>
        <row r="183">
          <cell r="A183">
            <v>181</v>
          </cell>
          <cell r="B183">
            <v>40292</v>
          </cell>
          <cell r="D183">
            <v>1647.4</v>
          </cell>
          <cell r="E183">
            <v>1562</v>
          </cell>
          <cell r="G183" t="str">
            <v>Consorcio Vial Santa Elena.</v>
          </cell>
          <cell r="H183" t="str">
            <v>2/2</v>
          </cell>
          <cell r="I183">
            <v>0</v>
          </cell>
          <cell r="J183">
            <v>204.5</v>
          </cell>
          <cell r="K183">
            <v>145.6</v>
          </cell>
          <cell r="L183">
            <v>310.3</v>
          </cell>
          <cell r="M183">
            <v>334.7</v>
          </cell>
          <cell r="N183">
            <v>291.5</v>
          </cell>
          <cell r="O183">
            <v>87.9</v>
          </cell>
          <cell r="P183">
            <v>84.7</v>
          </cell>
          <cell r="Q183">
            <v>102.8</v>
          </cell>
          <cell r="S183">
            <v>25</v>
          </cell>
          <cell r="T183" t="str">
            <v>1</v>
          </cell>
          <cell r="U183">
            <v>1238.4000000000001</v>
          </cell>
          <cell r="V183">
            <v>1239.0999999999999</v>
          </cell>
          <cell r="W183">
            <v>737.6</v>
          </cell>
          <cell r="Y183">
            <v>3.2</v>
          </cell>
          <cell r="Z183">
            <v>1236.5</v>
          </cell>
          <cell r="AA183">
            <v>1237.5999999999999</v>
          </cell>
          <cell r="AB183">
            <v>734.4</v>
          </cell>
          <cell r="AD183">
            <v>2.9</v>
          </cell>
          <cell r="AE183">
            <v>1237.3</v>
          </cell>
          <cell r="AF183">
            <v>1238.4000000000001</v>
          </cell>
          <cell r="AG183">
            <v>735.5</v>
          </cell>
          <cell r="AI183">
            <v>3.5</v>
          </cell>
          <cell r="AK183">
            <v>1701.8959900000002</v>
          </cell>
          <cell r="AM183">
            <v>1511.2102200000002</v>
          </cell>
          <cell r="AO183">
            <v>1670.2849799999999</v>
          </cell>
          <cell r="AP183" t="str">
            <v>Muestra tomada en la volqueta</v>
          </cell>
          <cell r="AQ183" t="str">
            <v>-</v>
          </cell>
          <cell r="AR183">
            <v>1701</v>
          </cell>
          <cell r="AS183">
            <v>3.2</v>
          </cell>
          <cell r="AV183">
            <v>2.4551294661743834</v>
          </cell>
          <cell r="BS183">
            <v>2.577</v>
          </cell>
        </row>
        <row r="184">
          <cell r="A184">
            <v>182</v>
          </cell>
          <cell r="B184">
            <v>40294</v>
          </cell>
          <cell r="D184">
            <v>1649.3</v>
          </cell>
          <cell r="E184">
            <v>1564.7</v>
          </cell>
          <cell r="G184" t="str">
            <v>Parcheo elaboración de fallos en vías urbanas y rurales del municipio de Medellín; Consorcio Vial Santa Elena.</v>
          </cell>
          <cell r="H184" t="str">
            <v>1/2</v>
          </cell>
          <cell r="I184">
            <v>0</v>
          </cell>
          <cell r="J184">
            <v>179.6</v>
          </cell>
          <cell r="K184">
            <v>165.4</v>
          </cell>
          <cell r="L184">
            <v>315.7</v>
          </cell>
          <cell r="M184">
            <v>363.5</v>
          </cell>
          <cell r="N184">
            <v>274.7</v>
          </cell>
          <cell r="O184">
            <v>84</v>
          </cell>
          <cell r="P184">
            <v>78.7</v>
          </cell>
          <cell r="Q184">
            <v>103.1</v>
          </cell>
          <cell r="S184">
            <v>25</v>
          </cell>
          <cell r="T184" t="str">
            <v>1</v>
          </cell>
          <cell r="U184">
            <v>1238.3</v>
          </cell>
          <cell r="V184">
            <v>1239</v>
          </cell>
          <cell r="W184">
            <v>736.4</v>
          </cell>
          <cell r="Y184">
            <v>2.9</v>
          </cell>
          <cell r="Z184">
            <v>1236.7</v>
          </cell>
          <cell r="AA184">
            <v>1237.8</v>
          </cell>
          <cell r="AB184">
            <v>732.1</v>
          </cell>
          <cell r="AD184">
            <v>3.1</v>
          </cell>
          <cell r="AE184">
            <v>1235.4000000000001</v>
          </cell>
          <cell r="AF184">
            <v>1236</v>
          </cell>
          <cell r="AG184">
            <v>732.1</v>
          </cell>
          <cell r="AI184">
            <v>3.1</v>
          </cell>
          <cell r="AK184">
            <v>1521.40732</v>
          </cell>
          <cell r="AM184">
            <v>1565.25485</v>
          </cell>
          <cell r="AO184">
            <v>1545.8803600000001</v>
          </cell>
          <cell r="AP184" t="str">
            <v>Muestra tomada en el elevador</v>
          </cell>
          <cell r="AQ184" t="str">
            <v>-</v>
          </cell>
          <cell r="AR184">
            <v>1606</v>
          </cell>
          <cell r="AS184">
            <v>3</v>
          </cell>
          <cell r="AV184">
            <v>2.4464851319683816</v>
          </cell>
          <cell r="BS184">
            <v>2.5790000000000002</v>
          </cell>
        </row>
        <row r="185">
          <cell r="A185">
            <v>183</v>
          </cell>
          <cell r="B185">
            <v>40294</v>
          </cell>
          <cell r="D185">
            <v>1667.6</v>
          </cell>
          <cell r="E185">
            <v>1578.4</v>
          </cell>
          <cell r="G185" t="str">
            <v>Parcheo elaboración de fallos en vías urbanas y rurales del municipio de Medellín; Consorcio Vial Santa Elena.</v>
          </cell>
          <cell r="H185" t="str">
            <v>2/2</v>
          </cell>
          <cell r="I185">
            <v>0</v>
          </cell>
          <cell r="J185">
            <v>206.6</v>
          </cell>
          <cell r="K185">
            <v>186.9</v>
          </cell>
          <cell r="L185">
            <v>274.8</v>
          </cell>
          <cell r="M185">
            <v>350.9</v>
          </cell>
          <cell r="N185">
            <v>296.7</v>
          </cell>
          <cell r="O185">
            <v>85.9</v>
          </cell>
          <cell r="P185">
            <v>81.5</v>
          </cell>
          <cell r="Q185">
            <v>95.1</v>
          </cell>
          <cell r="S185">
            <v>25</v>
          </cell>
          <cell r="T185" t="str">
            <v>1</v>
          </cell>
          <cell r="U185">
            <v>1237</v>
          </cell>
          <cell r="V185">
            <v>1237.5999999999999</v>
          </cell>
          <cell r="W185">
            <v>738.3</v>
          </cell>
          <cell r="Y185">
            <v>3.4</v>
          </cell>
          <cell r="Z185">
            <v>1236.9000000000001</v>
          </cell>
          <cell r="AA185">
            <v>1237.7</v>
          </cell>
          <cell r="AB185">
            <v>737.3</v>
          </cell>
          <cell r="AD185">
            <v>3.77</v>
          </cell>
          <cell r="AE185">
            <v>1235.5</v>
          </cell>
          <cell r="AF185">
            <v>1236.5</v>
          </cell>
          <cell r="AG185">
            <v>737.4</v>
          </cell>
          <cell r="AI185">
            <v>4.32</v>
          </cell>
          <cell r="AK185">
            <v>1687.6200500000002</v>
          </cell>
          <cell r="AM185">
            <v>1712.0930900000001</v>
          </cell>
          <cell r="AO185">
            <v>1689.6594700000001</v>
          </cell>
          <cell r="AP185" t="str">
            <v>Muestra tomada en la volqueta</v>
          </cell>
          <cell r="AQ185" t="str">
            <v>-</v>
          </cell>
          <cell r="AR185">
            <v>1790</v>
          </cell>
          <cell r="AS185">
            <v>3.8</v>
          </cell>
          <cell r="AV185">
            <v>2.4676764779459957</v>
          </cell>
          <cell r="BS185">
            <v>2.5790000000000002</v>
          </cell>
        </row>
        <row r="186">
          <cell r="A186">
            <v>184</v>
          </cell>
          <cell r="B186">
            <v>40295</v>
          </cell>
          <cell r="D186">
            <v>1656.9</v>
          </cell>
          <cell r="E186">
            <v>1569.2</v>
          </cell>
          <cell r="G186" t="str">
            <v>Parcheo elaboración de fallos en vías urbanas y rurales del municipio de Medellín; Consorcio Vial Santa Elena.</v>
          </cell>
          <cell r="H186" t="str">
            <v>1/2</v>
          </cell>
          <cell r="I186">
            <v>0</v>
          </cell>
          <cell r="J186">
            <v>188.4</v>
          </cell>
          <cell r="K186">
            <v>184.7</v>
          </cell>
          <cell r="L186">
            <v>243.6</v>
          </cell>
          <cell r="M186">
            <v>376.3</v>
          </cell>
          <cell r="N186">
            <v>289.89999999999998</v>
          </cell>
          <cell r="O186">
            <v>91.4</v>
          </cell>
          <cell r="P186">
            <v>83.6</v>
          </cell>
          <cell r="Q186">
            <v>111.3</v>
          </cell>
          <cell r="S186">
            <v>25</v>
          </cell>
          <cell r="T186" t="str">
            <v>1</v>
          </cell>
          <cell r="AP186" t="str">
            <v>Muestra tomada en el elevador</v>
          </cell>
          <cell r="AQ186" t="str">
            <v>-</v>
          </cell>
          <cell r="AR186">
            <v>0</v>
          </cell>
          <cell r="AS186">
            <v>0</v>
          </cell>
          <cell r="AV186">
            <v>0</v>
          </cell>
          <cell r="BS186">
            <v>2.5739999999999998</v>
          </cell>
        </row>
        <row r="187">
          <cell r="A187">
            <v>185</v>
          </cell>
          <cell r="B187">
            <v>40295</v>
          </cell>
          <cell r="D187">
            <v>1614</v>
          </cell>
          <cell r="E187">
            <v>1531.4</v>
          </cell>
          <cell r="G187" t="str">
            <v>Parcheo elaboración de fallos en vías urbanas y rurales del municipio de Medellín; Consorcio Vial Santa Elena.</v>
          </cell>
          <cell r="H187" t="str">
            <v>2/2</v>
          </cell>
          <cell r="I187">
            <v>0</v>
          </cell>
          <cell r="J187">
            <v>195.7</v>
          </cell>
          <cell r="K187">
            <v>220.4</v>
          </cell>
          <cell r="L187">
            <v>287.10000000000002</v>
          </cell>
          <cell r="M187">
            <v>326.39999999999998</v>
          </cell>
          <cell r="N187">
            <v>250.6</v>
          </cell>
          <cell r="O187">
            <v>81</v>
          </cell>
          <cell r="P187">
            <v>76.400000000000006</v>
          </cell>
          <cell r="Q187">
            <v>93.8</v>
          </cell>
          <cell r="S187">
            <v>25</v>
          </cell>
          <cell r="T187" t="str">
            <v>1</v>
          </cell>
          <cell r="AP187" t="str">
            <v>Muestra tomada en la volqueta</v>
          </cell>
          <cell r="AQ187" t="str">
            <v>-</v>
          </cell>
          <cell r="AR187">
            <v>0</v>
          </cell>
          <cell r="AS187">
            <v>0</v>
          </cell>
          <cell r="AV187">
            <v>0</v>
          </cell>
          <cell r="BS187">
            <v>2.5739999999999998</v>
          </cell>
        </row>
        <row r="188">
          <cell r="A188">
            <v>186</v>
          </cell>
          <cell r="B188" t="str">
            <v>Mezcla tstigos de marzo</v>
          </cell>
          <cell r="D188">
            <v>1589.9</v>
          </cell>
          <cell r="E188">
            <v>1507.8</v>
          </cell>
          <cell r="G188" t="str">
            <v>Parcheo elaboración de fallos en vías urbanas y rurales del municipio de Medellín.</v>
          </cell>
          <cell r="H188" t="str">
            <v>1/1</v>
          </cell>
          <cell r="I188">
            <v>0</v>
          </cell>
          <cell r="J188">
            <v>190.6</v>
          </cell>
          <cell r="K188">
            <v>167.8</v>
          </cell>
          <cell r="L188">
            <v>327.2</v>
          </cell>
          <cell r="M188">
            <v>325.8</v>
          </cell>
          <cell r="N188">
            <v>248.5</v>
          </cell>
          <cell r="O188">
            <v>76</v>
          </cell>
          <cell r="P188">
            <v>76.900000000000006</v>
          </cell>
          <cell r="Q188">
            <v>95</v>
          </cell>
          <cell r="S188">
            <v>25</v>
          </cell>
          <cell r="T188" t="str">
            <v>1</v>
          </cell>
          <cell r="U188">
            <v>1236.9000000000001</v>
          </cell>
          <cell r="V188">
            <v>1237.5999999999999</v>
          </cell>
          <cell r="W188">
            <v>732.8</v>
          </cell>
          <cell r="Y188">
            <v>2.7</v>
          </cell>
          <cell r="Z188">
            <v>1237.7</v>
          </cell>
          <cell r="AA188">
            <v>1240.8</v>
          </cell>
          <cell r="AB188">
            <v>730.8</v>
          </cell>
          <cell r="AD188">
            <v>3.3</v>
          </cell>
          <cell r="AE188">
            <v>1233.3</v>
          </cell>
          <cell r="AF188">
            <v>1235.2</v>
          </cell>
          <cell r="AG188">
            <v>728.8</v>
          </cell>
          <cell r="AI188">
            <v>2.9</v>
          </cell>
          <cell r="AK188">
            <v>1625.4177400000001</v>
          </cell>
          <cell r="AM188">
            <v>1384.7661800000001</v>
          </cell>
          <cell r="AO188">
            <v>1408.2195100000001</v>
          </cell>
          <cell r="AP188" t="str">
            <v>Meezcla de testigos del mes de marzo</v>
          </cell>
          <cell r="AQ188" t="str">
            <v>-</v>
          </cell>
          <cell r="AR188">
            <v>1517</v>
          </cell>
          <cell r="AS188">
            <v>3</v>
          </cell>
          <cell r="AV188">
            <v>2.4303924551899079</v>
          </cell>
          <cell r="BS188">
            <v>2.5739999999999998</v>
          </cell>
        </row>
        <row r="189">
          <cell r="A189">
            <v>187</v>
          </cell>
        </row>
        <row r="190">
          <cell r="A190">
            <v>188</v>
          </cell>
        </row>
        <row r="191">
          <cell r="A191">
            <v>189</v>
          </cell>
        </row>
        <row r="192">
          <cell r="A192">
            <v>190</v>
          </cell>
        </row>
        <row r="193">
          <cell r="A193">
            <v>191</v>
          </cell>
        </row>
        <row r="194">
          <cell r="A194">
            <v>192</v>
          </cell>
        </row>
        <row r="195">
          <cell r="A195">
            <v>193</v>
          </cell>
        </row>
        <row r="196">
          <cell r="A196">
            <v>194</v>
          </cell>
        </row>
        <row r="197">
          <cell r="A197">
            <v>195</v>
          </cell>
        </row>
        <row r="198">
          <cell r="A198">
            <v>196</v>
          </cell>
        </row>
        <row r="199">
          <cell r="A199">
            <v>197</v>
          </cell>
        </row>
        <row r="200">
          <cell r="A200">
            <v>198</v>
          </cell>
          <cell r="AR200">
            <v>0</v>
          </cell>
        </row>
        <row r="201">
          <cell r="A201">
            <v>199</v>
          </cell>
          <cell r="AR201">
            <v>0</v>
          </cell>
        </row>
        <row r="211">
          <cell r="AR211">
            <v>0</v>
          </cell>
        </row>
        <row r="212">
          <cell r="AR212">
            <v>0</v>
          </cell>
        </row>
        <row r="213">
          <cell r="AR213">
            <v>0</v>
          </cell>
        </row>
        <row r="214">
          <cell r="AR214">
            <v>0</v>
          </cell>
        </row>
        <row r="215">
          <cell r="AR215">
            <v>0</v>
          </cell>
        </row>
        <row r="216">
          <cell r="AR216">
            <v>0</v>
          </cell>
        </row>
        <row r="217">
          <cell r="B217">
            <v>40129</v>
          </cell>
          <cell r="D217">
            <v>1500.2</v>
          </cell>
          <cell r="E217">
            <v>1429.1</v>
          </cell>
          <cell r="G217" t="str">
            <v xml:space="preserve">Prueba en planta </v>
          </cell>
          <cell r="H217" t="str">
            <v>1/1</v>
          </cell>
          <cell r="I217">
            <v>0</v>
          </cell>
          <cell r="J217">
            <v>110.5</v>
          </cell>
          <cell r="K217">
            <v>150.9</v>
          </cell>
          <cell r="L217">
            <v>290.10000000000002</v>
          </cell>
          <cell r="M217">
            <v>365.4</v>
          </cell>
          <cell r="N217">
            <v>316.8</v>
          </cell>
          <cell r="O217">
            <v>95.1</v>
          </cell>
          <cell r="P217">
            <v>53.3</v>
          </cell>
          <cell r="Q217">
            <v>47</v>
          </cell>
          <cell r="S217">
            <v>25</v>
          </cell>
          <cell r="T217" t="str">
            <v>1</v>
          </cell>
          <cell r="U217">
            <v>1234.0999999999999</v>
          </cell>
          <cell r="V217">
            <v>1235.7</v>
          </cell>
          <cell r="W217">
            <v>717.2</v>
          </cell>
          <cell r="Y217">
            <v>3</v>
          </cell>
          <cell r="Z217">
            <v>1238.0999999999999</v>
          </cell>
          <cell r="AA217">
            <v>1240.2</v>
          </cell>
          <cell r="AB217">
            <v>717.5</v>
          </cell>
          <cell r="AD217">
            <v>3.1</v>
          </cell>
          <cell r="AE217">
            <v>1237.2</v>
          </cell>
          <cell r="AF217">
            <v>1240.3</v>
          </cell>
          <cell r="AG217">
            <v>720.4</v>
          </cell>
          <cell r="AI217">
            <v>2.9</v>
          </cell>
          <cell r="AK217">
            <v>1354.17488</v>
          </cell>
          <cell r="AM217">
            <v>1259.34185</v>
          </cell>
          <cell r="AO217">
            <v>1440.8502300000002</v>
          </cell>
          <cell r="AP217" t="str">
            <v>-</v>
          </cell>
          <cell r="AQ217" t="str">
            <v>-</v>
          </cell>
          <cell r="AR217">
            <v>1334</v>
          </cell>
          <cell r="AS217">
            <v>3</v>
          </cell>
          <cell r="AV217">
            <v>2.3692117657918699</v>
          </cell>
          <cell r="BS217">
            <v>2.593</v>
          </cell>
        </row>
        <row r="218">
          <cell r="B218">
            <v>40130</v>
          </cell>
          <cell r="D218">
            <v>1615.4</v>
          </cell>
          <cell r="E218">
            <v>1539.6</v>
          </cell>
          <cell r="G218" t="str">
            <v xml:space="preserve">Muestra en planta </v>
          </cell>
          <cell r="H218" t="str">
            <v>1/4</v>
          </cell>
          <cell r="I218">
            <v>0</v>
          </cell>
          <cell r="J218">
            <v>164.2</v>
          </cell>
          <cell r="K218">
            <v>173.3</v>
          </cell>
          <cell r="L218">
            <v>311.10000000000002</v>
          </cell>
          <cell r="M218">
            <v>334.9</v>
          </cell>
          <cell r="N218">
            <v>312.39999999999998</v>
          </cell>
          <cell r="O218">
            <v>112.3</v>
          </cell>
          <cell r="P218">
            <v>62.1</v>
          </cell>
          <cell r="Q218">
            <v>69.3</v>
          </cell>
          <cell r="T218">
            <v>0</v>
          </cell>
          <cell r="AK218">
            <v>0</v>
          </cell>
          <cell r="AM218">
            <v>0</v>
          </cell>
          <cell r="AO218">
            <v>0</v>
          </cell>
          <cell r="AP218" t="str">
            <v>Arena cono=12,4; arena lavada = 22,8; arena martillo = 19; 3/4" = 40,8 %</v>
          </cell>
          <cell r="AQ218" t="str">
            <v>-</v>
          </cell>
          <cell r="AR218">
            <v>0</v>
          </cell>
          <cell r="AS218">
            <v>0</v>
          </cell>
          <cell r="AV218">
            <v>0</v>
          </cell>
          <cell r="BS218">
            <v>2.593</v>
          </cell>
        </row>
        <row r="219">
          <cell r="B219">
            <v>40130</v>
          </cell>
          <cell r="D219">
            <v>1501.8</v>
          </cell>
          <cell r="E219">
            <v>1429.5</v>
          </cell>
          <cell r="G219" t="str">
            <v>Tomada en volqueta dumper</v>
          </cell>
          <cell r="H219" t="str">
            <v>2/4</v>
          </cell>
          <cell r="I219">
            <v>0</v>
          </cell>
          <cell r="J219">
            <v>96.5</v>
          </cell>
          <cell r="K219">
            <v>99.7</v>
          </cell>
          <cell r="L219">
            <v>242.8</v>
          </cell>
          <cell r="M219">
            <v>357.1</v>
          </cell>
          <cell r="N219">
            <v>340.9</v>
          </cell>
          <cell r="O219">
            <v>101.9</v>
          </cell>
          <cell r="P219">
            <v>88.5</v>
          </cell>
          <cell r="Q219">
            <v>102.1</v>
          </cell>
          <cell r="S219">
            <v>25</v>
          </cell>
          <cell r="T219" t="str">
            <v>1</v>
          </cell>
          <cell r="U219">
            <v>1230.4000000000001</v>
          </cell>
          <cell r="V219">
            <v>1231.3</v>
          </cell>
          <cell r="W219">
            <v>729</v>
          </cell>
          <cell r="Y219">
            <v>2.8</v>
          </cell>
          <cell r="Z219">
            <v>1228.3</v>
          </cell>
          <cell r="AA219">
            <v>1230.5999999999999</v>
          </cell>
          <cell r="AB219">
            <v>727.5</v>
          </cell>
          <cell r="AD219">
            <v>3.5</v>
          </cell>
          <cell r="AE219">
            <v>1218.9000000000001</v>
          </cell>
          <cell r="AF219">
            <v>1221.0999999999999</v>
          </cell>
          <cell r="AG219">
            <v>719.8</v>
          </cell>
          <cell r="AI219">
            <v>3.1</v>
          </cell>
          <cell r="AK219">
            <v>1835.4780000000001</v>
          </cell>
          <cell r="AM219">
            <v>1776.3348200000003</v>
          </cell>
          <cell r="AO219">
            <v>1584.62934</v>
          </cell>
          <cell r="AP219" t="str">
            <v>Arena cono=12,4; arena lavada = 22,8; arena martillo = 19; 3/4" = 40,8 %</v>
          </cell>
          <cell r="AQ219" t="str">
            <v>Índice plástico  = NP.</v>
          </cell>
          <cell r="AR219">
            <v>1812</v>
          </cell>
          <cell r="AS219">
            <v>3.1</v>
          </cell>
          <cell r="AV219">
            <v>2.4336850015014746</v>
          </cell>
          <cell r="BS219">
            <v>2.5882000000000001</v>
          </cell>
        </row>
        <row r="220">
          <cell r="B220">
            <v>40130</v>
          </cell>
          <cell r="D220">
            <v>1502.2</v>
          </cell>
          <cell r="E220">
            <v>1431.2</v>
          </cell>
          <cell r="G220" t="str">
            <v>Tomada en carpeta extendida en vía</v>
          </cell>
          <cell r="H220" t="str">
            <v>3/4</v>
          </cell>
          <cell r="I220">
            <v>0</v>
          </cell>
          <cell r="J220">
            <v>107.1</v>
          </cell>
          <cell r="K220">
            <v>143.69999999999999</v>
          </cell>
          <cell r="L220">
            <v>262.8</v>
          </cell>
          <cell r="M220">
            <v>335.1</v>
          </cell>
          <cell r="N220">
            <v>314.3</v>
          </cell>
          <cell r="O220">
            <v>107.9</v>
          </cell>
          <cell r="P220">
            <v>71.7</v>
          </cell>
          <cell r="Q220">
            <v>88.6</v>
          </cell>
          <cell r="T220">
            <v>0</v>
          </cell>
          <cell r="AK220">
            <v>0</v>
          </cell>
          <cell r="AM220">
            <v>0</v>
          </cell>
          <cell r="AO220">
            <v>0</v>
          </cell>
          <cell r="AP220" t="str">
            <v>Arena cono=12,4; arena lavada = 22,8; arena martillo = 19; 3/4" = 40,8 %</v>
          </cell>
          <cell r="AQ220" t="str">
            <v>-</v>
          </cell>
          <cell r="AR220">
            <v>0</v>
          </cell>
          <cell r="AS220">
            <v>0</v>
          </cell>
          <cell r="AV220">
            <v>0</v>
          </cell>
          <cell r="BS220">
            <v>2.593</v>
          </cell>
        </row>
        <row r="221">
          <cell r="B221">
            <v>40130</v>
          </cell>
          <cell r="D221">
            <v>1500.8</v>
          </cell>
          <cell r="E221">
            <v>1434.8</v>
          </cell>
          <cell r="G221" t="str">
            <v xml:space="preserve">Muestra en planta </v>
          </cell>
          <cell r="H221" t="str">
            <v>4/4</v>
          </cell>
          <cell r="I221">
            <v>0</v>
          </cell>
          <cell r="J221">
            <v>116.6</v>
          </cell>
          <cell r="K221">
            <v>179</v>
          </cell>
          <cell r="L221">
            <v>297.39999999999998</v>
          </cell>
          <cell r="M221">
            <v>340.5</v>
          </cell>
          <cell r="N221">
            <v>260.8</v>
          </cell>
          <cell r="O221">
            <v>81.2</v>
          </cell>
          <cell r="P221">
            <v>70.3</v>
          </cell>
          <cell r="Q221">
            <v>89</v>
          </cell>
          <cell r="T221">
            <v>0</v>
          </cell>
          <cell r="AK221">
            <v>0</v>
          </cell>
          <cell r="AM221">
            <v>0</v>
          </cell>
          <cell r="AO221">
            <v>0</v>
          </cell>
          <cell r="AP221" t="str">
            <v>Arena cono=12,4; arena lavada = 22,8; arena martillo = 19; 3/4" = 40,8 %</v>
          </cell>
          <cell r="AQ221" t="str">
            <v>-</v>
          </cell>
          <cell r="AR221">
            <v>0</v>
          </cell>
          <cell r="AS221">
            <v>0</v>
          </cell>
          <cell r="AV221">
            <v>0</v>
          </cell>
          <cell r="BS221">
            <v>2.6074000000000002</v>
          </cell>
        </row>
        <row r="222">
          <cell r="B222">
            <v>40137</v>
          </cell>
          <cell r="D222">
            <v>1200</v>
          </cell>
          <cell r="E222">
            <v>1147.7</v>
          </cell>
          <cell r="G222" t="str">
            <v xml:space="preserve">Prueba en planta </v>
          </cell>
          <cell r="I222">
            <v>0</v>
          </cell>
          <cell r="J222">
            <v>93.9</v>
          </cell>
          <cell r="K222">
            <v>155.80000000000001</v>
          </cell>
          <cell r="L222">
            <v>250.1</v>
          </cell>
          <cell r="M222">
            <v>243.3</v>
          </cell>
          <cell r="N222">
            <v>201.8</v>
          </cell>
          <cell r="O222">
            <v>67.3</v>
          </cell>
          <cell r="P222">
            <v>57.7</v>
          </cell>
          <cell r="Q222">
            <v>77.8</v>
          </cell>
          <cell r="T222">
            <v>0</v>
          </cell>
          <cell r="AK222">
            <v>0</v>
          </cell>
          <cell r="AM222">
            <v>0</v>
          </cell>
          <cell r="AO222">
            <v>0</v>
          </cell>
          <cell r="AP222" t="str">
            <v xml:space="preserve">Núcleo N º1 </v>
          </cell>
          <cell r="AQ222" t="str">
            <v>-</v>
          </cell>
          <cell r="AR222">
            <v>0</v>
          </cell>
          <cell r="AS222">
            <v>0</v>
          </cell>
          <cell r="AV222">
            <v>0</v>
          </cell>
          <cell r="BS222">
            <v>2.6074000000000002</v>
          </cell>
        </row>
        <row r="223">
          <cell r="B223">
            <v>40137</v>
          </cell>
          <cell r="D223">
            <v>1327.4</v>
          </cell>
          <cell r="E223">
            <v>1274.4000000000001</v>
          </cell>
          <cell r="G223" t="str">
            <v xml:space="preserve">Prueba en planta </v>
          </cell>
          <cell r="I223">
            <v>0</v>
          </cell>
          <cell r="J223">
            <v>102.3</v>
          </cell>
          <cell r="K223">
            <v>162.9</v>
          </cell>
          <cell r="L223">
            <v>273.8</v>
          </cell>
          <cell r="M223">
            <v>274.60000000000002</v>
          </cell>
          <cell r="N223">
            <v>227.1</v>
          </cell>
          <cell r="O223">
            <v>75.2</v>
          </cell>
          <cell r="P223">
            <v>69.099999999999994</v>
          </cell>
          <cell r="Q223">
            <v>89.4</v>
          </cell>
          <cell r="T223">
            <v>0</v>
          </cell>
          <cell r="AK223">
            <v>0</v>
          </cell>
          <cell r="AM223">
            <v>0</v>
          </cell>
          <cell r="AO223">
            <v>0</v>
          </cell>
          <cell r="AP223" t="str">
            <v>Núcleo N º2</v>
          </cell>
          <cell r="AQ223" t="str">
            <v>-</v>
          </cell>
          <cell r="AR223">
            <v>0</v>
          </cell>
          <cell r="AS223">
            <v>0</v>
          </cell>
          <cell r="AV223">
            <v>0</v>
          </cell>
          <cell r="BS223">
            <v>2.6265999999999998</v>
          </cell>
        </row>
        <row r="224">
          <cell r="B224">
            <v>40137</v>
          </cell>
          <cell r="D224">
            <v>952</v>
          </cell>
          <cell r="E224">
            <v>911</v>
          </cell>
          <cell r="G224" t="str">
            <v xml:space="preserve">Prueba en planta </v>
          </cell>
          <cell r="I224">
            <v>0</v>
          </cell>
          <cell r="J224">
            <v>80.099999999999994</v>
          </cell>
          <cell r="K224">
            <v>109.6</v>
          </cell>
          <cell r="L224">
            <v>195.1</v>
          </cell>
          <cell r="M224">
            <v>202.2</v>
          </cell>
          <cell r="N224">
            <v>159.9</v>
          </cell>
          <cell r="O224">
            <v>67</v>
          </cell>
          <cell r="P224">
            <v>36.799999999999997</v>
          </cell>
          <cell r="Q224">
            <v>60.3</v>
          </cell>
          <cell r="T224">
            <v>0</v>
          </cell>
          <cell r="AK224">
            <v>0</v>
          </cell>
          <cell r="AM224">
            <v>0</v>
          </cell>
          <cell r="AO224">
            <v>0</v>
          </cell>
          <cell r="AP224" t="str">
            <v>Núcleo N º5</v>
          </cell>
          <cell r="AQ224" t="str">
            <v>-</v>
          </cell>
          <cell r="AR224">
            <v>0</v>
          </cell>
          <cell r="AS224">
            <v>0</v>
          </cell>
          <cell r="AV224">
            <v>0</v>
          </cell>
          <cell r="BS224">
            <v>2.6122000000000001</v>
          </cell>
        </row>
        <row r="225">
          <cell r="B225">
            <v>40137</v>
          </cell>
          <cell r="D225">
            <v>1500.6</v>
          </cell>
          <cell r="E225">
            <v>1431.1</v>
          </cell>
          <cell r="G225" t="str">
            <v xml:space="preserve">Prueba en planta </v>
          </cell>
          <cell r="H225" t="str">
            <v>1/2</v>
          </cell>
          <cell r="I225">
            <v>0</v>
          </cell>
          <cell r="J225">
            <v>128.1</v>
          </cell>
          <cell r="K225">
            <v>142.30000000000001</v>
          </cell>
          <cell r="L225">
            <v>303.3</v>
          </cell>
          <cell r="M225">
            <v>368.3</v>
          </cell>
          <cell r="N225">
            <v>278.8</v>
          </cell>
          <cell r="O225">
            <v>76.400000000000006</v>
          </cell>
          <cell r="P225">
            <v>50.2</v>
          </cell>
          <cell r="Q225">
            <v>83.7</v>
          </cell>
          <cell r="S225">
            <v>25</v>
          </cell>
          <cell r="T225" t="str">
            <v>1</v>
          </cell>
          <cell r="U225">
            <v>1233.2</v>
          </cell>
          <cell r="V225">
            <v>1234.4000000000001</v>
          </cell>
          <cell r="W225">
            <v>725.8</v>
          </cell>
          <cell r="Y225">
            <v>2.8</v>
          </cell>
          <cell r="Z225">
            <v>1236.4000000000001</v>
          </cell>
          <cell r="AA225">
            <v>1239.0999999999999</v>
          </cell>
          <cell r="AB225">
            <v>728.8</v>
          </cell>
          <cell r="AD225">
            <v>2.9</v>
          </cell>
          <cell r="AE225">
            <v>1234.5999999999999</v>
          </cell>
          <cell r="AF225">
            <v>1227.4000000000001</v>
          </cell>
          <cell r="AG225">
            <v>725.3</v>
          </cell>
          <cell r="AI225">
            <v>3.2</v>
          </cell>
          <cell r="AK225">
            <v>1860.97075</v>
          </cell>
          <cell r="AM225">
            <v>1674.3638200000003</v>
          </cell>
          <cell r="AO225">
            <v>1581.5702100000001</v>
          </cell>
          <cell r="AP225" t="str">
            <v>Muestra tomada al descargar el silo</v>
          </cell>
          <cell r="AQ225" t="str">
            <v>-</v>
          </cell>
          <cell r="AR225">
            <v>1756</v>
          </cell>
          <cell r="AS225">
            <v>3</v>
          </cell>
          <cell r="AV225">
            <v>2.4283616960444991</v>
          </cell>
          <cell r="BS225">
            <v>2.597</v>
          </cell>
        </row>
        <row r="226">
          <cell r="B226">
            <v>40137</v>
          </cell>
          <cell r="D226">
            <v>1501.4</v>
          </cell>
          <cell r="E226">
            <v>1433.6</v>
          </cell>
          <cell r="G226" t="str">
            <v xml:space="preserve">Prueba en planta </v>
          </cell>
          <cell r="H226" t="str">
            <v>2/2</v>
          </cell>
          <cell r="I226">
            <v>0</v>
          </cell>
          <cell r="J226">
            <v>168.3</v>
          </cell>
          <cell r="K226">
            <v>171.3</v>
          </cell>
          <cell r="L226">
            <v>288.60000000000002</v>
          </cell>
          <cell r="M226">
            <v>337.4</v>
          </cell>
          <cell r="N226">
            <v>256</v>
          </cell>
          <cell r="O226">
            <v>79.400000000000006</v>
          </cell>
          <cell r="P226">
            <v>56</v>
          </cell>
          <cell r="Q226">
            <v>76.599999999999994</v>
          </cell>
          <cell r="T226">
            <v>0</v>
          </cell>
          <cell r="AP226" t="str">
            <v>Muestra tomada en el elevador</v>
          </cell>
          <cell r="AQ226" t="str">
            <v>-</v>
          </cell>
          <cell r="AR226">
            <v>0</v>
          </cell>
          <cell r="AS226">
            <v>0</v>
          </cell>
          <cell r="BS226">
            <v>2.6025999999999998</v>
          </cell>
        </row>
        <row r="228">
          <cell r="A228">
            <v>300</v>
          </cell>
          <cell r="B228">
            <v>40170</v>
          </cell>
          <cell r="D228">
            <v>1501.8</v>
          </cell>
          <cell r="E228">
            <v>1418.1</v>
          </cell>
          <cell r="G228" t="str">
            <v>Parcheo elaboración de fallos en vías urbanas y rurales del municipio de Medellín.</v>
          </cell>
          <cell r="H228" t="str">
            <v>2/2</v>
          </cell>
          <cell r="I228">
            <v>0</v>
          </cell>
          <cell r="J228">
            <v>116.2</v>
          </cell>
          <cell r="K228">
            <v>162.1</v>
          </cell>
          <cell r="L228">
            <v>280</v>
          </cell>
          <cell r="M228">
            <v>317.89999999999998</v>
          </cell>
          <cell r="N228">
            <v>275.3</v>
          </cell>
          <cell r="O228">
            <v>86.8</v>
          </cell>
          <cell r="P228">
            <v>79.099999999999994</v>
          </cell>
          <cell r="Q228">
            <v>100.7</v>
          </cell>
          <cell r="S228">
            <v>25</v>
          </cell>
          <cell r="T228" t="str">
            <v>1</v>
          </cell>
          <cell r="U228">
            <v>1240.0999999999999</v>
          </cell>
          <cell r="V228">
            <v>1240.8</v>
          </cell>
          <cell r="W228">
            <v>738.8</v>
          </cell>
          <cell r="Y228">
            <v>3.4</v>
          </cell>
          <cell r="Z228">
            <v>1243.3</v>
          </cell>
          <cell r="AA228">
            <v>1244.2</v>
          </cell>
          <cell r="AB228">
            <v>738.4</v>
          </cell>
          <cell r="AD228">
            <v>3.2</v>
          </cell>
          <cell r="AE228">
            <v>1235.9000000000001</v>
          </cell>
          <cell r="AF228">
            <v>1236.9000000000001</v>
          </cell>
          <cell r="AG228">
            <v>736.3</v>
          </cell>
          <cell r="AI228">
            <v>3.6</v>
          </cell>
          <cell r="AK228">
            <v>1625.4177400000001</v>
          </cell>
          <cell r="AM228">
            <v>1776.3348200000003</v>
          </cell>
          <cell r="AO228">
            <v>1632.5557100000003</v>
          </cell>
          <cell r="AP228" t="str">
            <v>Muestra tomada en la volqueta</v>
          </cell>
          <cell r="AQ228" t="str">
            <v>-</v>
          </cell>
          <cell r="AR228">
            <v>1752</v>
          </cell>
          <cell r="AS228">
            <v>3.4</v>
          </cell>
          <cell r="AV228">
            <v>2.4585351288392143</v>
          </cell>
          <cell r="BS228">
            <v>2.5497999999999998</v>
          </cell>
        </row>
        <row r="229">
          <cell r="A229">
            <v>301</v>
          </cell>
          <cell r="B229">
            <v>40190</v>
          </cell>
          <cell r="D229">
            <v>1493.8</v>
          </cell>
          <cell r="E229">
            <v>1415.3</v>
          </cell>
          <cell r="G229" t="str">
            <v>Parcheo elaboración de fallos en vías urbanas y rurales del municipio de Medellín.</v>
          </cell>
          <cell r="H229" t="str">
            <v>1/2</v>
          </cell>
          <cell r="I229">
            <v>0</v>
          </cell>
          <cell r="J229">
            <v>84</v>
          </cell>
          <cell r="K229">
            <v>182.4</v>
          </cell>
          <cell r="L229">
            <v>310.39999999999998</v>
          </cell>
          <cell r="M229">
            <v>318.2</v>
          </cell>
          <cell r="N229">
            <v>288.8</v>
          </cell>
          <cell r="O229">
            <v>83.7</v>
          </cell>
          <cell r="P229">
            <v>64.400000000000006</v>
          </cell>
          <cell r="Q229">
            <v>83.4</v>
          </cell>
          <cell r="S229">
            <v>25</v>
          </cell>
          <cell r="T229" t="str">
            <v>1</v>
          </cell>
          <cell r="U229">
            <v>1238.9000000000001</v>
          </cell>
          <cell r="V229">
            <v>1239.4000000000001</v>
          </cell>
          <cell r="W229">
            <v>735.5</v>
          </cell>
          <cell r="Y229">
            <v>3.7</v>
          </cell>
          <cell r="Z229">
            <v>1240.3</v>
          </cell>
          <cell r="AA229">
            <v>1240.9000000000001</v>
          </cell>
          <cell r="AB229">
            <v>737.1</v>
          </cell>
          <cell r="AD229">
            <v>3.1</v>
          </cell>
          <cell r="AE229">
            <v>1239.8</v>
          </cell>
          <cell r="AF229">
            <v>1240.8</v>
          </cell>
          <cell r="AG229">
            <v>737.4</v>
          </cell>
          <cell r="AI229">
            <v>3.3</v>
          </cell>
          <cell r="AK229">
            <v>1596.8658600000001</v>
          </cell>
          <cell r="AM229">
            <v>1488.7765999999999</v>
          </cell>
          <cell r="AO229">
            <v>1389.8647300000002</v>
          </cell>
          <cell r="AP229" t="str">
            <v>Muestra tomada en el elevador</v>
          </cell>
          <cell r="AQ229" t="str">
            <v>-</v>
          </cell>
          <cell r="AR229">
            <v>1553</v>
          </cell>
          <cell r="AS229">
            <v>3.4</v>
          </cell>
          <cell r="AV229">
            <v>2.4539228803601083</v>
          </cell>
          <cell r="BS229">
            <v>2.5619999999999998</v>
          </cell>
        </row>
        <row r="230">
          <cell r="A230">
            <v>302</v>
          </cell>
          <cell r="B230">
            <v>40190</v>
          </cell>
          <cell r="D230">
            <v>1502.4</v>
          </cell>
          <cell r="E230">
            <v>1426.5</v>
          </cell>
          <cell r="G230" t="str">
            <v>Parcheo elaboración de fallos en vías urbanas y rurales del municipio de Medellín.</v>
          </cell>
          <cell r="H230" t="str">
            <v>2/2</v>
          </cell>
          <cell r="I230">
            <v>0</v>
          </cell>
          <cell r="J230">
            <v>277</v>
          </cell>
          <cell r="K230">
            <v>211.5</v>
          </cell>
          <cell r="L230">
            <v>222.7</v>
          </cell>
          <cell r="M230">
            <v>262.39999999999998</v>
          </cell>
          <cell r="N230">
            <v>223.2</v>
          </cell>
          <cell r="O230">
            <v>76.7</v>
          </cell>
          <cell r="P230">
            <v>68.900000000000006</v>
          </cell>
          <cell r="Q230">
            <v>84.1</v>
          </cell>
          <cell r="S230">
            <v>25</v>
          </cell>
          <cell r="T230" t="str">
            <v>1</v>
          </cell>
          <cell r="AK230">
            <v>0</v>
          </cell>
          <cell r="AM230">
            <v>0</v>
          </cell>
          <cell r="AO230">
            <v>0</v>
          </cell>
          <cell r="AP230" t="str">
            <v>Muestra tomada en la volqueta</v>
          </cell>
          <cell r="AQ230" t="str">
            <v>-</v>
          </cell>
          <cell r="AR230">
            <v>0</v>
          </cell>
          <cell r="AS230">
            <v>0</v>
          </cell>
          <cell r="AV230">
            <v>0</v>
          </cell>
          <cell r="BS230">
            <v>2.5737999999999999</v>
          </cell>
        </row>
        <row r="231">
          <cell r="A231">
            <v>303</v>
          </cell>
          <cell r="B231">
            <v>40191</v>
          </cell>
          <cell r="D231">
            <v>1499.2</v>
          </cell>
          <cell r="E231">
            <v>1419.6</v>
          </cell>
          <cell r="G231" t="str">
            <v>Parcheo elaboración de fallos en vías urbanas y rurales del municipio de Medellín.</v>
          </cell>
          <cell r="H231" t="str">
            <v>1/2</v>
          </cell>
          <cell r="I231">
            <v>0</v>
          </cell>
          <cell r="J231">
            <v>207</v>
          </cell>
          <cell r="K231">
            <v>136.30000000000001</v>
          </cell>
          <cell r="L231">
            <v>263.89999999999998</v>
          </cell>
          <cell r="M231">
            <v>314.39999999999998</v>
          </cell>
          <cell r="N231">
            <v>244.5</v>
          </cell>
          <cell r="O231">
            <v>87.4</v>
          </cell>
          <cell r="P231">
            <v>74.8</v>
          </cell>
          <cell r="Q231">
            <v>91.3</v>
          </cell>
          <cell r="S231">
            <v>25</v>
          </cell>
          <cell r="T231" t="str">
            <v>1</v>
          </cell>
          <cell r="U231">
            <v>1237.5999999999999</v>
          </cell>
          <cell r="V231">
            <v>1238.7</v>
          </cell>
          <cell r="W231">
            <v>744.5</v>
          </cell>
          <cell r="Y231">
            <v>3.4</v>
          </cell>
          <cell r="Z231">
            <v>1239.8</v>
          </cell>
          <cell r="AA231">
            <v>1240.3</v>
          </cell>
          <cell r="AB231">
            <v>746.1</v>
          </cell>
          <cell r="AD231">
            <v>3.7</v>
          </cell>
          <cell r="AE231">
            <v>1238.9000000000001</v>
          </cell>
          <cell r="AF231">
            <v>1239.9000000000001</v>
          </cell>
          <cell r="AG231">
            <v>742</v>
          </cell>
          <cell r="AI231">
            <v>3.3</v>
          </cell>
          <cell r="AK231">
            <v>1790.61076</v>
          </cell>
          <cell r="AM231">
            <v>1891.5620500000002</v>
          </cell>
          <cell r="AO231">
            <v>1506.11167</v>
          </cell>
          <cell r="AP231" t="str">
            <v>Muestra tomada en el elevador</v>
          </cell>
          <cell r="AQ231" t="str">
            <v>-</v>
          </cell>
          <cell r="AR231">
            <v>1851</v>
          </cell>
          <cell r="AS231">
            <v>3.5</v>
          </cell>
          <cell r="AV231">
            <v>2.4930866209210483</v>
          </cell>
          <cell r="BS231">
            <v>2.5569999999999999</v>
          </cell>
        </row>
        <row r="232">
          <cell r="A232">
            <v>304</v>
          </cell>
          <cell r="B232">
            <v>40191</v>
          </cell>
          <cell r="D232">
            <v>1493.4</v>
          </cell>
          <cell r="E232">
            <v>1415.5</v>
          </cell>
          <cell r="G232" t="str">
            <v>Parcheo elaboración de fallos en vías urbanas y rurales del municipio de Medellín.</v>
          </cell>
          <cell r="H232" t="str">
            <v>2/2</v>
          </cell>
          <cell r="I232">
            <v>0</v>
          </cell>
          <cell r="J232">
            <v>205.3</v>
          </cell>
          <cell r="K232">
            <v>168.7</v>
          </cell>
          <cell r="L232">
            <v>235.8</v>
          </cell>
          <cell r="M232">
            <v>311</v>
          </cell>
          <cell r="N232">
            <v>240.8</v>
          </cell>
          <cell r="O232">
            <v>82.5</v>
          </cell>
          <cell r="P232">
            <v>75</v>
          </cell>
          <cell r="Q232">
            <v>96.4</v>
          </cell>
          <cell r="S232">
            <v>25</v>
          </cell>
          <cell r="T232" t="str">
            <v>1</v>
          </cell>
          <cell r="AI232">
            <v>3.3</v>
          </cell>
          <cell r="AK232">
            <v>0</v>
          </cell>
          <cell r="AM232">
            <v>0</v>
          </cell>
          <cell r="AO232">
            <v>1506.11167</v>
          </cell>
          <cell r="AP232" t="str">
            <v>Muestra tomada en la volqueta</v>
          </cell>
          <cell r="AR232">
            <v>0</v>
          </cell>
          <cell r="AS232">
            <v>0</v>
          </cell>
          <cell r="AV232">
            <v>0</v>
          </cell>
          <cell r="BS232">
            <v>2.569</v>
          </cell>
        </row>
        <row r="233">
          <cell r="A233">
            <v>305</v>
          </cell>
          <cell r="B233">
            <v>40192</v>
          </cell>
          <cell r="D233">
            <v>1501.8</v>
          </cell>
          <cell r="E233">
            <v>1426.4</v>
          </cell>
          <cell r="G233" t="str">
            <v>Parcheo elaboración de fallos en vías urbanas y rurales del municipio de Medellín.</v>
          </cell>
          <cell r="H233" t="str">
            <v>1/2</v>
          </cell>
          <cell r="I233">
            <v>0</v>
          </cell>
          <cell r="J233">
            <v>140.19999999999999</v>
          </cell>
          <cell r="K233">
            <v>177.2</v>
          </cell>
          <cell r="L233">
            <v>268.8</v>
          </cell>
          <cell r="M233">
            <v>315.5</v>
          </cell>
          <cell r="N233">
            <v>252.2</v>
          </cell>
          <cell r="O233">
            <v>88.1</v>
          </cell>
          <cell r="P233">
            <v>79.2</v>
          </cell>
          <cell r="Q233">
            <v>105.2</v>
          </cell>
          <cell r="S233">
            <v>25</v>
          </cell>
          <cell r="T233" t="str">
            <v>1</v>
          </cell>
          <cell r="U233">
            <v>1235.7</v>
          </cell>
          <cell r="V233">
            <v>1236.5999999999999</v>
          </cell>
          <cell r="W233">
            <v>742.6</v>
          </cell>
          <cell r="Y233">
            <v>3.1</v>
          </cell>
          <cell r="Z233">
            <v>1238.2</v>
          </cell>
          <cell r="AA233">
            <v>1239.0999999999999</v>
          </cell>
          <cell r="AB233">
            <v>744</v>
          </cell>
          <cell r="AD233">
            <v>3.3</v>
          </cell>
          <cell r="AE233">
            <v>1236.8</v>
          </cell>
          <cell r="AF233">
            <v>1237.8</v>
          </cell>
          <cell r="AG233">
            <v>740.8</v>
          </cell>
          <cell r="AI233">
            <v>3.4</v>
          </cell>
          <cell r="AK233">
            <v>1731.46758</v>
          </cell>
          <cell r="AM233">
            <v>1792.6501799999999</v>
          </cell>
          <cell r="AO233">
            <v>1625.4177400000001</v>
          </cell>
          <cell r="AP233" t="str">
            <v>Muestra tomada en la volqueta</v>
          </cell>
          <cell r="AR233">
            <v>1837</v>
          </cell>
          <cell r="AS233">
            <v>3.3</v>
          </cell>
          <cell r="AV233">
            <v>2.4896487804832579</v>
          </cell>
          <cell r="BS233">
            <v>2.58</v>
          </cell>
        </row>
        <row r="234">
          <cell r="A234">
            <v>306</v>
          </cell>
          <cell r="B234">
            <v>40192</v>
          </cell>
          <cell r="D234">
            <v>1500.5</v>
          </cell>
          <cell r="E234">
            <v>1419.5</v>
          </cell>
          <cell r="G234" t="str">
            <v>Parcheo elaboración de fallos en vías urbanas y rurales del municipio de Medellín.</v>
          </cell>
          <cell r="H234" t="str">
            <v>2/2</v>
          </cell>
          <cell r="I234">
            <v>0</v>
          </cell>
          <cell r="J234">
            <v>120</v>
          </cell>
          <cell r="K234">
            <v>175.1</v>
          </cell>
          <cell r="L234">
            <v>256.60000000000002</v>
          </cell>
          <cell r="M234">
            <v>325.5</v>
          </cell>
          <cell r="N234">
            <v>267.2</v>
          </cell>
          <cell r="O234">
            <v>89.2</v>
          </cell>
          <cell r="P234">
            <v>80.2</v>
          </cell>
          <cell r="Q234">
            <v>105.7</v>
          </cell>
          <cell r="S234">
            <v>25</v>
          </cell>
          <cell r="T234" t="str">
            <v>1</v>
          </cell>
          <cell r="U234">
            <v>1237.5</v>
          </cell>
          <cell r="V234">
            <v>1238.5</v>
          </cell>
          <cell r="W234">
            <v>739.5</v>
          </cell>
          <cell r="Y234">
            <v>3.7</v>
          </cell>
          <cell r="Z234">
            <v>1239.5</v>
          </cell>
          <cell r="AA234">
            <v>1240.5</v>
          </cell>
          <cell r="AB234">
            <v>742.1</v>
          </cell>
          <cell r="AD234">
            <v>3.8</v>
          </cell>
          <cell r="AE234">
            <v>1237.5</v>
          </cell>
          <cell r="AF234">
            <v>1238.2</v>
          </cell>
          <cell r="AG234">
            <v>742.7</v>
          </cell>
          <cell r="AI234">
            <v>3.3</v>
          </cell>
          <cell r="AK234">
            <v>1670.2849799999999</v>
          </cell>
          <cell r="AM234">
            <v>1614.20093</v>
          </cell>
          <cell r="AO234">
            <v>1506.11167</v>
          </cell>
          <cell r="AQ234" t="str">
            <v>-</v>
          </cell>
          <cell r="AR234">
            <v>1695</v>
          </cell>
          <cell r="AS234">
            <v>3.6</v>
          </cell>
          <cell r="AV234">
            <v>2.4808540417228544</v>
          </cell>
          <cell r="BS234">
            <v>2.58</v>
          </cell>
        </row>
        <row r="235">
          <cell r="A235">
            <v>307</v>
          </cell>
          <cell r="B235">
            <v>40193</v>
          </cell>
          <cell r="D235">
            <v>1503.4</v>
          </cell>
          <cell r="E235">
            <v>1427.1</v>
          </cell>
          <cell r="G235" t="str">
            <v>Parcheo elaboración de fallos en vías urbanas y rurales del municipio de Medellín.</v>
          </cell>
          <cell r="H235" t="str">
            <v>1/2</v>
          </cell>
          <cell r="I235">
            <v>0</v>
          </cell>
          <cell r="J235">
            <v>151</v>
          </cell>
          <cell r="K235">
            <v>156.4</v>
          </cell>
          <cell r="L235">
            <v>306.60000000000002</v>
          </cell>
          <cell r="M235">
            <v>305.89999999999998</v>
          </cell>
          <cell r="N235">
            <v>258.7</v>
          </cell>
          <cell r="O235">
            <v>81.2</v>
          </cell>
          <cell r="P235">
            <v>74.900000000000006</v>
          </cell>
          <cell r="Q235">
            <v>92.4</v>
          </cell>
          <cell r="S235">
            <v>25</v>
          </cell>
          <cell r="T235" t="str">
            <v>1</v>
          </cell>
          <cell r="U235">
            <v>1240</v>
          </cell>
          <cell r="V235">
            <v>1241.0999999999999</v>
          </cell>
          <cell r="W235">
            <v>745.3</v>
          </cell>
          <cell r="Y235">
            <v>3.11</v>
          </cell>
          <cell r="Z235">
            <v>1237.8</v>
          </cell>
          <cell r="AA235">
            <v>1238.4000000000001</v>
          </cell>
          <cell r="AB235">
            <v>741.2</v>
          </cell>
          <cell r="AD235">
            <v>2.81</v>
          </cell>
          <cell r="AE235">
            <v>1238.0999999999999</v>
          </cell>
          <cell r="AF235">
            <v>1239.3</v>
          </cell>
          <cell r="AG235">
            <v>739.4</v>
          </cell>
          <cell r="AI235">
            <v>3.07</v>
          </cell>
          <cell r="AK235">
            <v>1593.8067300000002</v>
          </cell>
          <cell r="AM235">
            <v>1529.5650000000001</v>
          </cell>
          <cell r="AO235">
            <v>1602.9841200000001</v>
          </cell>
          <cell r="AP235" t="str">
            <v>Muestra tomada en el elevador</v>
          </cell>
          <cell r="AQ235" t="str">
            <v>-</v>
          </cell>
          <cell r="AR235">
            <v>1673</v>
          </cell>
          <cell r="AS235">
            <v>3</v>
          </cell>
          <cell r="AV235">
            <v>2.4818011833037601</v>
          </cell>
          <cell r="BS235">
            <v>2.58</v>
          </cell>
        </row>
        <row r="236">
          <cell r="A236">
            <v>308</v>
          </cell>
          <cell r="B236">
            <v>40193</v>
          </cell>
          <cell r="D236">
            <v>1501.5</v>
          </cell>
          <cell r="E236">
            <v>1420.3</v>
          </cell>
          <cell r="G236" t="str">
            <v>Parcheo elaboración de fallos en vías urbanas y rurales del municipio de Medellín.</v>
          </cell>
          <cell r="H236" t="str">
            <v>2/2</v>
          </cell>
          <cell r="I236">
            <v>0</v>
          </cell>
          <cell r="J236">
            <v>117.4</v>
          </cell>
          <cell r="K236">
            <v>121</v>
          </cell>
          <cell r="L236">
            <v>282.10000000000002</v>
          </cell>
          <cell r="M236">
            <v>341.8</v>
          </cell>
          <cell r="N236">
            <v>285.2</v>
          </cell>
          <cell r="O236">
            <v>85.3</v>
          </cell>
          <cell r="P236">
            <v>79.599999999999994</v>
          </cell>
          <cell r="Q236">
            <v>107.9</v>
          </cell>
          <cell r="S236">
            <v>25</v>
          </cell>
          <cell r="T236" t="str">
            <v>1</v>
          </cell>
          <cell r="AK236">
            <v>0</v>
          </cell>
          <cell r="AM236">
            <v>0</v>
          </cell>
          <cell r="AO236">
            <v>0</v>
          </cell>
          <cell r="AP236" t="str">
            <v>Muestra tomada en la volqueta</v>
          </cell>
          <cell r="AQ236" t="str">
            <v>-</v>
          </cell>
          <cell r="AR236">
            <v>0</v>
          </cell>
          <cell r="AS236">
            <v>0</v>
          </cell>
          <cell r="AV236">
            <v>0</v>
          </cell>
          <cell r="BS236">
            <v>2.58</v>
          </cell>
        </row>
        <row r="237">
          <cell r="A237">
            <v>309</v>
          </cell>
          <cell r="B237">
            <v>40196</v>
          </cell>
          <cell r="D237">
            <v>1500.9</v>
          </cell>
          <cell r="E237">
            <v>1428.4</v>
          </cell>
          <cell r="G237" t="str">
            <v>Parcheo elaboración de fallos en vías urbanas y rurales del municipio de Medellín.</v>
          </cell>
          <cell r="H237" t="str">
            <v>1/2</v>
          </cell>
          <cell r="I237">
            <v>0</v>
          </cell>
          <cell r="J237">
            <v>116.2</v>
          </cell>
          <cell r="K237">
            <v>170.6</v>
          </cell>
          <cell r="L237">
            <v>351.2</v>
          </cell>
          <cell r="M237">
            <v>303.5</v>
          </cell>
          <cell r="N237">
            <v>237.7</v>
          </cell>
          <cell r="O237">
            <v>83.3</v>
          </cell>
          <cell r="P237">
            <v>72</v>
          </cell>
          <cell r="Q237">
            <v>93.9</v>
          </cell>
          <cell r="S237">
            <v>25</v>
          </cell>
          <cell r="T237" t="str">
            <v>1</v>
          </cell>
          <cell r="U237">
            <v>1235.7</v>
          </cell>
          <cell r="V237">
            <v>1237</v>
          </cell>
          <cell r="W237">
            <v>737.2</v>
          </cell>
          <cell r="Y237">
            <v>2.9</v>
          </cell>
          <cell r="Z237">
            <v>1237.4000000000001</v>
          </cell>
          <cell r="AA237">
            <v>1239.4000000000001</v>
          </cell>
          <cell r="AB237">
            <v>733.8</v>
          </cell>
          <cell r="AD237">
            <v>3.2</v>
          </cell>
          <cell r="AE237">
            <v>1235.5999999999999</v>
          </cell>
          <cell r="AF237">
            <v>1237.8</v>
          </cell>
          <cell r="AG237">
            <v>736</v>
          </cell>
          <cell r="AI237">
            <v>3.4</v>
          </cell>
          <cell r="AK237">
            <v>1760.0194600000002</v>
          </cell>
          <cell r="AM237">
            <v>1508.1510900000001</v>
          </cell>
          <cell r="AO237">
            <v>1725.3493200000003</v>
          </cell>
          <cell r="AP237" t="str">
            <v>Muestra tomada en el elevador</v>
          </cell>
          <cell r="AQ237" t="str">
            <v>-</v>
          </cell>
          <cell r="AR237">
            <v>1741</v>
          </cell>
          <cell r="AS237">
            <v>3.2</v>
          </cell>
          <cell r="AV237">
            <v>2.4535070350426857</v>
          </cell>
          <cell r="BS237">
            <v>2.5960000000000001</v>
          </cell>
        </row>
        <row r="238">
          <cell r="A238">
            <v>310</v>
          </cell>
          <cell r="B238">
            <v>40196</v>
          </cell>
          <cell r="D238">
            <v>1502.1</v>
          </cell>
          <cell r="E238">
            <v>1429</v>
          </cell>
          <cell r="G238" t="str">
            <v>Parcheo elaboración de fallos en vías urbanas y rurales del municipio de Medellín.</v>
          </cell>
          <cell r="H238" t="str">
            <v>2/2</v>
          </cell>
          <cell r="I238">
            <v>0</v>
          </cell>
          <cell r="J238">
            <v>129.69999999999999</v>
          </cell>
          <cell r="K238">
            <v>173.5</v>
          </cell>
          <cell r="L238">
            <v>333.6</v>
          </cell>
          <cell r="M238">
            <v>291.2</v>
          </cell>
          <cell r="N238">
            <v>246.2</v>
          </cell>
          <cell r="O238">
            <v>91.4</v>
          </cell>
          <cell r="P238">
            <v>66.7</v>
          </cell>
          <cell r="Q238">
            <v>96.7</v>
          </cell>
          <cell r="S238">
            <v>25</v>
          </cell>
          <cell r="T238" t="str">
            <v>1</v>
          </cell>
          <cell r="U238">
            <v>1231.4000000000001</v>
          </cell>
          <cell r="V238">
            <v>1234.5</v>
          </cell>
          <cell r="W238">
            <v>733.4</v>
          </cell>
          <cell r="Y238">
            <v>2.9</v>
          </cell>
          <cell r="Z238">
            <v>1232.2</v>
          </cell>
          <cell r="AA238">
            <v>1233.7</v>
          </cell>
          <cell r="AB238">
            <v>737.1</v>
          </cell>
          <cell r="AD238">
            <v>3.8</v>
          </cell>
          <cell r="AE238">
            <v>1230.5999999999999</v>
          </cell>
          <cell r="AF238">
            <v>1233.2</v>
          </cell>
          <cell r="AG238">
            <v>732.8</v>
          </cell>
          <cell r="AI238">
            <v>3.1</v>
          </cell>
          <cell r="AK238">
            <v>1592.78702</v>
          </cell>
          <cell r="AM238">
            <v>1929.2913200000003</v>
          </cell>
          <cell r="AO238">
            <v>1796.7290200000002</v>
          </cell>
          <cell r="AP238" t="str">
            <v>Muestra tomada en la volqueta</v>
          </cell>
          <cell r="AQ238" t="str">
            <v>-</v>
          </cell>
          <cell r="AR238">
            <v>1873</v>
          </cell>
          <cell r="AS238">
            <v>3.3</v>
          </cell>
          <cell r="AV238">
            <v>2.4587533823873238</v>
          </cell>
          <cell r="BS238">
            <v>2.5960000000000001</v>
          </cell>
        </row>
        <row r="239">
          <cell r="A239">
            <v>311</v>
          </cell>
          <cell r="B239">
            <v>40197</v>
          </cell>
          <cell r="D239">
            <v>1500.7</v>
          </cell>
          <cell r="E239">
            <v>1432.7</v>
          </cell>
          <cell r="G239" t="str">
            <v>Parcheo elaboración de fallos en vías urbanas y rurales del municipio de Medellín.</v>
          </cell>
          <cell r="H239" t="str">
            <v>1/2</v>
          </cell>
          <cell r="I239">
            <v>0</v>
          </cell>
          <cell r="J239">
            <v>207.6</v>
          </cell>
          <cell r="K239">
            <v>181.7</v>
          </cell>
          <cell r="L239">
            <v>284.10000000000002</v>
          </cell>
          <cell r="M239">
            <v>294.2</v>
          </cell>
          <cell r="N239">
            <v>230.7</v>
          </cell>
          <cell r="O239">
            <v>78.7</v>
          </cell>
          <cell r="P239">
            <v>66.900000000000006</v>
          </cell>
          <cell r="Q239">
            <v>88.8</v>
          </cell>
          <cell r="S239">
            <v>25</v>
          </cell>
          <cell r="T239" t="str">
            <v>1</v>
          </cell>
          <cell r="U239">
            <v>1238.7</v>
          </cell>
          <cell r="V239">
            <v>1239.5999999999999</v>
          </cell>
          <cell r="W239">
            <v>737.4</v>
          </cell>
          <cell r="Y239">
            <v>3.1</v>
          </cell>
          <cell r="Z239">
            <v>1236.7</v>
          </cell>
          <cell r="AA239">
            <v>1238.5999999999999</v>
          </cell>
          <cell r="AB239">
            <v>738.5</v>
          </cell>
          <cell r="AD239">
            <v>3.2</v>
          </cell>
          <cell r="AE239">
            <v>1236.3</v>
          </cell>
          <cell r="AF239">
            <v>1238.7</v>
          </cell>
          <cell r="AG239">
            <v>737</v>
          </cell>
          <cell r="AI239">
            <v>3.5</v>
          </cell>
          <cell r="AK239">
            <v>1780.4136600000002</v>
          </cell>
          <cell r="AM239">
            <v>1775.31511</v>
          </cell>
          <cell r="AO239">
            <v>1488.7765999999999</v>
          </cell>
          <cell r="AP239" t="str">
            <v>Muestra tomada en el elevador</v>
          </cell>
          <cell r="AQ239" t="str">
            <v>-</v>
          </cell>
          <cell r="AR239">
            <v>1764</v>
          </cell>
          <cell r="AS239">
            <v>3.3</v>
          </cell>
          <cell r="AV239">
            <v>2.460672836822801</v>
          </cell>
          <cell r="BS239">
            <v>2.5960000000000001</v>
          </cell>
        </row>
        <row r="240">
          <cell r="A240">
            <v>312</v>
          </cell>
          <cell r="B240">
            <v>40197</v>
          </cell>
          <cell r="D240">
            <v>1501.1</v>
          </cell>
          <cell r="E240">
            <v>1430.2</v>
          </cell>
          <cell r="G240" t="str">
            <v>Parcheo elaboración de fallos en vías urbanas y rurales del municipio de Medellín.</v>
          </cell>
          <cell r="H240" t="str">
            <v>2/2</v>
          </cell>
          <cell r="I240">
            <v>0</v>
          </cell>
          <cell r="J240">
            <v>167.3</v>
          </cell>
          <cell r="K240">
            <v>143.5</v>
          </cell>
          <cell r="L240">
            <v>312.10000000000002</v>
          </cell>
          <cell r="M240">
            <v>305.2</v>
          </cell>
          <cell r="N240">
            <v>257.89999999999998</v>
          </cell>
          <cell r="O240">
            <v>89.8</v>
          </cell>
          <cell r="P240">
            <v>63.9</v>
          </cell>
          <cell r="Q240">
            <v>90.5</v>
          </cell>
          <cell r="S240">
            <v>25</v>
          </cell>
          <cell r="T240" t="str">
            <v>1</v>
          </cell>
          <cell r="U240">
            <v>1235.8</v>
          </cell>
          <cell r="V240">
            <v>1237</v>
          </cell>
          <cell r="W240">
            <v>737</v>
          </cell>
          <cell r="Y240">
            <v>3.1</v>
          </cell>
          <cell r="Z240">
            <v>1236.8</v>
          </cell>
          <cell r="AA240">
            <v>1237.7</v>
          </cell>
          <cell r="AB240">
            <v>735.2</v>
          </cell>
          <cell r="AD240">
            <v>2.9</v>
          </cell>
          <cell r="AE240">
            <v>1240.5</v>
          </cell>
          <cell r="AF240">
            <v>1242.3</v>
          </cell>
          <cell r="AG240">
            <v>738.2</v>
          </cell>
          <cell r="AI240">
            <v>3</v>
          </cell>
          <cell r="AK240">
            <v>1875.2466900000002</v>
          </cell>
          <cell r="AM240">
            <v>1725.3493200000003</v>
          </cell>
          <cell r="AO240">
            <v>1805.9064100000001</v>
          </cell>
          <cell r="AP240" t="str">
            <v>Muestra tomada en la volqueta</v>
          </cell>
          <cell r="AQ240" t="str">
            <v>-</v>
          </cell>
          <cell r="AR240">
            <v>1886</v>
          </cell>
          <cell r="AS240">
            <v>3</v>
          </cell>
          <cell r="AV240">
            <v>2.4573627273920589</v>
          </cell>
          <cell r="BS240">
            <v>2.6059999999999999</v>
          </cell>
        </row>
        <row r="241">
          <cell r="A241">
            <v>313</v>
          </cell>
          <cell r="B241">
            <v>40198</v>
          </cell>
          <cell r="D241">
            <v>1501.3</v>
          </cell>
          <cell r="E241">
            <v>1428.6</v>
          </cell>
          <cell r="G241" t="str">
            <v>Parcheo elaboración de fallos en vías urbanas y rurales del municipio de Medellín.</v>
          </cell>
          <cell r="H241" t="str">
            <v>1/2</v>
          </cell>
          <cell r="I241">
            <v>0</v>
          </cell>
          <cell r="J241">
            <v>161.19999999999999</v>
          </cell>
          <cell r="K241">
            <v>160.19999999999999</v>
          </cell>
          <cell r="L241">
            <v>311.7</v>
          </cell>
          <cell r="M241">
            <v>315.7</v>
          </cell>
          <cell r="N241">
            <v>246.4</v>
          </cell>
          <cell r="O241">
            <v>78.3</v>
          </cell>
          <cell r="P241">
            <v>67.3</v>
          </cell>
          <cell r="Q241">
            <v>87.8</v>
          </cell>
          <cell r="S241">
            <v>25</v>
          </cell>
          <cell r="T241" t="str">
            <v>1</v>
          </cell>
          <cell r="U241">
            <v>1235.0999999999999</v>
          </cell>
          <cell r="V241">
            <v>1237.7</v>
          </cell>
          <cell r="W241">
            <v>730.3</v>
          </cell>
          <cell r="Y241">
            <v>2.9</v>
          </cell>
          <cell r="Z241">
            <v>1237.9000000000001</v>
          </cell>
          <cell r="AA241">
            <v>1239.5999999999999</v>
          </cell>
          <cell r="AB241">
            <v>731.7</v>
          </cell>
          <cell r="AD241">
            <v>3.1</v>
          </cell>
          <cell r="AE241">
            <v>1235.7</v>
          </cell>
          <cell r="AF241">
            <v>1237.0999999999999</v>
          </cell>
          <cell r="AG241">
            <v>732.2</v>
          </cell>
          <cell r="AI241">
            <v>3.5</v>
          </cell>
          <cell r="AK241">
            <v>1452.0670400000001</v>
          </cell>
          <cell r="AM241">
            <v>1616.24035</v>
          </cell>
          <cell r="AO241">
            <v>1971.09943</v>
          </cell>
          <cell r="AP241" t="str">
            <v>Muestra tomada en el elevador</v>
          </cell>
          <cell r="AQ241" t="str">
            <v>-</v>
          </cell>
          <cell r="AR241">
            <v>1732</v>
          </cell>
          <cell r="AS241">
            <v>3.2</v>
          </cell>
          <cell r="AV241">
            <v>2.4324908771744758</v>
          </cell>
          <cell r="BS241">
            <v>2.5840000000000001</v>
          </cell>
        </row>
        <row r="242">
          <cell r="A242">
            <v>314</v>
          </cell>
          <cell r="B242">
            <v>40198</v>
          </cell>
          <cell r="D242">
            <v>1500.1</v>
          </cell>
          <cell r="E242">
            <v>1426.5</v>
          </cell>
          <cell r="G242" t="str">
            <v>Parcheo elaboración de fallos en vías urbanas y rurales del municipio de Medellín.</v>
          </cell>
          <cell r="H242" t="str">
            <v>2/2</v>
          </cell>
          <cell r="I242">
            <v>0</v>
          </cell>
          <cell r="J242">
            <v>135.30000000000001</v>
          </cell>
          <cell r="K242">
            <v>172.5</v>
          </cell>
          <cell r="L242">
            <v>322.10000000000002</v>
          </cell>
          <cell r="M242">
            <v>305.5</v>
          </cell>
          <cell r="N242">
            <v>250.5</v>
          </cell>
          <cell r="O242">
            <v>88.7</v>
          </cell>
          <cell r="P242">
            <v>64</v>
          </cell>
          <cell r="Q242">
            <v>87.9</v>
          </cell>
          <cell r="S242">
            <v>25</v>
          </cell>
          <cell r="T242" t="str">
            <v>1</v>
          </cell>
          <cell r="AK242">
            <v>0</v>
          </cell>
          <cell r="AM242">
            <v>0</v>
          </cell>
          <cell r="AO242">
            <v>0</v>
          </cell>
          <cell r="AP242" t="str">
            <v>Muestra tomada en la volqueta</v>
          </cell>
          <cell r="AQ242" t="str">
            <v>-</v>
          </cell>
          <cell r="AR242">
            <v>0</v>
          </cell>
          <cell r="AS242">
            <v>0</v>
          </cell>
          <cell r="AV242">
            <v>0</v>
          </cell>
          <cell r="BS242">
            <v>2.5840000000000001</v>
          </cell>
        </row>
        <row r="243">
          <cell r="A243">
            <v>315</v>
          </cell>
          <cell r="B243">
            <v>40199</v>
          </cell>
          <cell r="D243">
            <v>1500.7</v>
          </cell>
          <cell r="E243">
            <v>1429.5</v>
          </cell>
          <cell r="G243" t="str">
            <v>Parcheo elaboración de fallos en vías urbanas y rurales del municipio de Medellín.</v>
          </cell>
          <cell r="H243" t="str">
            <v>1/2</v>
          </cell>
          <cell r="I243">
            <v>0</v>
          </cell>
          <cell r="J243">
            <v>204.9</v>
          </cell>
          <cell r="K243">
            <v>164.4</v>
          </cell>
          <cell r="L243">
            <v>284.39999999999998</v>
          </cell>
          <cell r="M243">
            <v>352.2</v>
          </cell>
          <cell r="N243">
            <v>215.3</v>
          </cell>
          <cell r="O243">
            <v>69.3</v>
          </cell>
          <cell r="P243">
            <v>61.1</v>
          </cell>
          <cell r="Q243">
            <v>77.900000000000006</v>
          </cell>
          <cell r="S243">
            <v>25</v>
          </cell>
          <cell r="T243" t="str">
            <v>1</v>
          </cell>
          <cell r="U243">
            <v>1237</v>
          </cell>
          <cell r="V243">
            <v>1240.3</v>
          </cell>
          <cell r="W243">
            <v>732.3</v>
          </cell>
          <cell r="Y243">
            <v>3.2</v>
          </cell>
          <cell r="Z243">
            <v>1235.5</v>
          </cell>
          <cell r="AA243">
            <v>1239.5999999999999</v>
          </cell>
          <cell r="AB243">
            <v>730.2</v>
          </cell>
          <cell r="AD243">
            <v>3.7</v>
          </cell>
          <cell r="AE243">
            <v>1234.5</v>
          </cell>
          <cell r="AF243">
            <v>1238.4000000000001</v>
          </cell>
          <cell r="AG243">
            <v>739.5</v>
          </cell>
          <cell r="AI243">
            <v>3.4</v>
          </cell>
          <cell r="AK243">
            <v>1699.8565700000001</v>
          </cell>
          <cell r="AM243">
            <v>1665.18643</v>
          </cell>
          <cell r="AO243">
            <v>1681.5017899999998</v>
          </cell>
          <cell r="AP243" t="str">
            <v>Muestra tomada en el elevador</v>
          </cell>
          <cell r="AQ243" t="str">
            <v>-</v>
          </cell>
          <cell r="AR243">
            <v>1742</v>
          </cell>
          <cell r="AS243">
            <v>3.4</v>
          </cell>
          <cell r="AV243">
            <v>2.4378103467665513</v>
          </cell>
          <cell r="BS243">
            <v>2.59</v>
          </cell>
        </row>
        <row r="244">
          <cell r="A244">
            <v>316</v>
          </cell>
          <cell r="B244">
            <v>40199</v>
          </cell>
          <cell r="D244">
            <v>1500.6</v>
          </cell>
          <cell r="E244">
            <v>1433.5</v>
          </cell>
          <cell r="G244" t="str">
            <v>Parcheo elaboración de fallos en vías urbanas y rurales del municipio de Medellín.</v>
          </cell>
          <cell r="H244" t="str">
            <v>2/2</v>
          </cell>
          <cell r="I244">
            <v>0</v>
          </cell>
          <cell r="J244">
            <v>208.5</v>
          </cell>
          <cell r="K244">
            <v>164</v>
          </cell>
          <cell r="L244">
            <v>299.3</v>
          </cell>
          <cell r="M244">
            <v>286.2</v>
          </cell>
          <cell r="N244">
            <v>241.8</v>
          </cell>
          <cell r="O244">
            <v>83.2</v>
          </cell>
          <cell r="P244">
            <v>61.5</v>
          </cell>
          <cell r="Q244">
            <v>89</v>
          </cell>
          <cell r="S244">
            <v>25</v>
          </cell>
          <cell r="T244" t="str">
            <v>1</v>
          </cell>
          <cell r="U244">
            <v>1235.3</v>
          </cell>
          <cell r="V244">
            <v>1237.5999999999999</v>
          </cell>
          <cell r="W244">
            <v>731.8</v>
          </cell>
          <cell r="Y244">
            <v>3.4</v>
          </cell>
          <cell r="Z244">
            <v>1230.4000000000001</v>
          </cell>
          <cell r="AA244">
            <v>1233.2</v>
          </cell>
          <cell r="AB244">
            <v>727.3</v>
          </cell>
          <cell r="AD244">
            <v>3</v>
          </cell>
          <cell r="AE244">
            <v>1234.2</v>
          </cell>
          <cell r="AF244">
            <v>1237.2</v>
          </cell>
          <cell r="AG244">
            <v>731.4</v>
          </cell>
          <cell r="AI244">
            <v>3.2</v>
          </cell>
          <cell r="AK244">
            <v>1830.3794499999999</v>
          </cell>
          <cell r="AM244">
            <v>1715.1522200000002</v>
          </cell>
          <cell r="AO244">
            <v>1890.54234</v>
          </cell>
          <cell r="AP244" t="str">
            <v>Muestra tomada en la volqueta</v>
          </cell>
          <cell r="AQ244" t="str">
            <v>-</v>
          </cell>
          <cell r="AR244">
            <v>1873</v>
          </cell>
          <cell r="AS244">
            <v>3.2</v>
          </cell>
          <cell r="AV244">
            <v>2.4310236547838571</v>
          </cell>
          <cell r="BS244">
            <v>2.59</v>
          </cell>
        </row>
        <row r="245">
          <cell r="A245">
            <v>317</v>
          </cell>
          <cell r="B245">
            <v>40203</v>
          </cell>
          <cell r="D245">
            <v>1501.2</v>
          </cell>
          <cell r="E245">
            <v>1431.2</v>
          </cell>
          <cell r="G245" t="str">
            <v>Parcheo elaboración de fallos en vías urbanas y rurales del municipio de Medellín.</v>
          </cell>
          <cell r="H245" t="str">
            <v>1/2</v>
          </cell>
          <cell r="I245">
            <v>0</v>
          </cell>
          <cell r="J245">
            <v>195.2</v>
          </cell>
          <cell r="K245">
            <v>177.5</v>
          </cell>
          <cell r="L245">
            <v>283.10000000000002</v>
          </cell>
          <cell r="M245">
            <v>301.7</v>
          </cell>
          <cell r="N245">
            <v>241.7</v>
          </cell>
          <cell r="O245">
            <v>76.3</v>
          </cell>
          <cell r="P245">
            <v>69</v>
          </cell>
          <cell r="Q245">
            <v>86.7</v>
          </cell>
          <cell r="S245">
            <v>25</v>
          </cell>
          <cell r="T245" t="str">
            <v>1</v>
          </cell>
          <cell r="U245">
            <v>1240</v>
          </cell>
          <cell r="V245">
            <v>1241.5999999999999</v>
          </cell>
          <cell r="W245">
            <v>737.1</v>
          </cell>
          <cell r="Y245">
            <v>2.9</v>
          </cell>
          <cell r="Z245">
            <v>1240.7</v>
          </cell>
          <cell r="AA245">
            <v>1242.3</v>
          </cell>
          <cell r="AB245">
            <v>736.7</v>
          </cell>
          <cell r="AD245">
            <v>2.6</v>
          </cell>
          <cell r="AE245">
            <v>1236.8</v>
          </cell>
          <cell r="AF245">
            <v>1238.7</v>
          </cell>
          <cell r="AG245">
            <v>737.2</v>
          </cell>
          <cell r="AI245">
            <v>2.5</v>
          </cell>
          <cell r="AK245">
            <v>1558.11688</v>
          </cell>
          <cell r="AM245">
            <v>1390.88444</v>
          </cell>
          <cell r="AO245">
            <v>1532.6241299999999</v>
          </cell>
          <cell r="AP245" t="str">
            <v>Muestra tomada en el elevador</v>
          </cell>
          <cell r="AQ245" t="str">
            <v>-</v>
          </cell>
          <cell r="AR245">
            <v>1555</v>
          </cell>
          <cell r="AS245">
            <v>2.7</v>
          </cell>
          <cell r="AV245">
            <v>2.4521386610453932</v>
          </cell>
          <cell r="BS245">
            <v>2.593</v>
          </cell>
        </row>
        <row r="246">
          <cell r="A246">
            <v>318</v>
          </cell>
          <cell r="B246">
            <v>40203</v>
          </cell>
          <cell r="D246">
            <v>1500.9</v>
          </cell>
          <cell r="E246">
            <v>1431.7</v>
          </cell>
          <cell r="G246" t="str">
            <v>Parcheo elaboración de fallos en vías urbanas y rurales del municipio de Medellín.</v>
          </cell>
          <cell r="H246" t="str">
            <v>2/2</v>
          </cell>
          <cell r="I246">
            <v>0</v>
          </cell>
          <cell r="J246">
            <v>77.900000000000006</v>
          </cell>
          <cell r="K246">
            <v>167.6</v>
          </cell>
          <cell r="L246">
            <v>434.3</v>
          </cell>
          <cell r="M246">
            <v>328.1</v>
          </cell>
          <cell r="N246">
            <v>190.3</v>
          </cell>
          <cell r="O246">
            <v>83.4</v>
          </cell>
          <cell r="P246">
            <v>64.3</v>
          </cell>
          <cell r="Q246">
            <v>85.8</v>
          </cell>
          <cell r="S246">
            <v>25</v>
          </cell>
          <cell r="T246" t="str">
            <v>1</v>
          </cell>
          <cell r="U246">
            <v>1238.8</v>
          </cell>
          <cell r="V246">
            <v>1240.8</v>
          </cell>
          <cell r="W246">
            <v>735</v>
          </cell>
          <cell r="Y246">
            <v>3.3</v>
          </cell>
          <cell r="Z246">
            <v>1235.9000000000001</v>
          </cell>
          <cell r="AA246">
            <v>1238.0999999999999</v>
          </cell>
          <cell r="AB246">
            <v>732.3</v>
          </cell>
          <cell r="AD246">
            <v>3.2</v>
          </cell>
          <cell r="AE246">
            <v>1237</v>
          </cell>
          <cell r="AF246">
            <v>1240.4000000000001</v>
          </cell>
          <cell r="AG246">
            <v>734.8</v>
          </cell>
          <cell r="AI246">
            <v>2.9</v>
          </cell>
          <cell r="AK246">
            <v>1570.3534000000002</v>
          </cell>
          <cell r="AM246">
            <v>1588.7081800000001</v>
          </cell>
          <cell r="AO246">
            <v>1532.6241299999999</v>
          </cell>
          <cell r="AP246" t="str">
            <v>Muestra tomada en la volqueta</v>
          </cell>
          <cell r="AQ246" t="str">
            <v>-</v>
          </cell>
          <cell r="AR246">
            <v>1617</v>
          </cell>
          <cell r="AS246">
            <v>3.1</v>
          </cell>
          <cell r="AV246">
            <v>2.4392587095428784</v>
          </cell>
          <cell r="BS246">
            <v>2.5982861594391045</v>
          </cell>
        </row>
        <row r="247">
          <cell r="A247">
            <v>319</v>
          </cell>
          <cell r="B247">
            <v>40203</v>
          </cell>
          <cell r="D247">
            <v>1500.4</v>
          </cell>
          <cell r="E247">
            <v>1435</v>
          </cell>
          <cell r="I247">
            <v>0</v>
          </cell>
          <cell r="J247">
            <v>175.6</v>
          </cell>
          <cell r="K247">
            <v>221.6</v>
          </cell>
          <cell r="L247">
            <v>353</v>
          </cell>
          <cell r="M247">
            <v>268.89999999999998</v>
          </cell>
          <cell r="N247">
            <v>201</v>
          </cell>
          <cell r="O247">
            <v>87.6</v>
          </cell>
          <cell r="P247">
            <v>58.1</v>
          </cell>
          <cell r="Q247">
            <v>69.2</v>
          </cell>
          <cell r="S247">
            <v>25</v>
          </cell>
          <cell r="T247" t="str">
            <v>1</v>
          </cell>
          <cell r="AK247">
            <v>0</v>
          </cell>
          <cell r="AM247">
            <v>0</v>
          </cell>
          <cell r="AO247">
            <v>0</v>
          </cell>
          <cell r="AP247" t="str">
            <v>Muestra tomada en la volqueta</v>
          </cell>
          <cell r="AQ247" t="str">
            <v>-</v>
          </cell>
          <cell r="AR247">
            <v>0</v>
          </cell>
          <cell r="AS247">
            <v>0</v>
          </cell>
          <cell r="AV247">
            <v>0</v>
          </cell>
          <cell r="BS247">
            <v>2.5982861594391045</v>
          </cell>
        </row>
        <row r="248">
          <cell r="A248">
            <v>320</v>
          </cell>
          <cell r="B248">
            <v>40204</v>
          </cell>
          <cell r="D248">
            <v>1500.3</v>
          </cell>
          <cell r="E248">
            <v>1431.1</v>
          </cell>
          <cell r="G248" t="str">
            <v>Parcheo elaboración de fallos en vías urbanas y rurales del municipio de Medellín.</v>
          </cell>
          <cell r="H248" t="str">
            <v>2/2</v>
          </cell>
          <cell r="I248">
            <v>0</v>
          </cell>
          <cell r="J248">
            <v>154.4</v>
          </cell>
          <cell r="K248">
            <v>192.6</v>
          </cell>
          <cell r="L248">
            <v>337.3</v>
          </cell>
          <cell r="M248">
            <v>311.7</v>
          </cell>
          <cell r="N248">
            <v>212</v>
          </cell>
          <cell r="O248">
            <v>82.3</v>
          </cell>
          <cell r="P248">
            <v>59</v>
          </cell>
          <cell r="Q248">
            <v>81.8</v>
          </cell>
          <cell r="S248">
            <v>25</v>
          </cell>
          <cell r="T248" t="str">
            <v>1</v>
          </cell>
          <cell r="U248">
            <v>1232.9000000000001</v>
          </cell>
          <cell r="V248">
            <v>1237.8</v>
          </cell>
          <cell r="W248">
            <v>733.8</v>
          </cell>
          <cell r="Y248">
            <v>2.7</v>
          </cell>
          <cell r="Z248">
            <v>1238.0999999999999</v>
          </cell>
          <cell r="AA248">
            <v>1239.9000000000001</v>
          </cell>
          <cell r="AB248">
            <v>735.7</v>
          </cell>
          <cell r="AD248">
            <v>3.2</v>
          </cell>
          <cell r="AE248">
            <v>1238.0999999999999</v>
          </cell>
          <cell r="AF248">
            <v>1239.5999999999999</v>
          </cell>
          <cell r="AG248">
            <v>735.3</v>
          </cell>
          <cell r="AI248">
            <v>3.3</v>
          </cell>
          <cell r="AK248">
            <v>1778.3742400000001</v>
          </cell>
          <cell r="AM248">
            <v>1683.5412100000003</v>
          </cell>
          <cell r="AO248">
            <v>1706.9945399999999</v>
          </cell>
          <cell r="AP248" t="str">
            <v>Muestra tomada en el elevador</v>
          </cell>
          <cell r="AQ248" t="str">
            <v>-</v>
          </cell>
          <cell r="AR248">
            <v>1791</v>
          </cell>
          <cell r="AS248">
            <v>3.1</v>
          </cell>
          <cell r="AV248">
            <v>2.4451235666891549</v>
          </cell>
          <cell r="BS248">
            <v>2.5907325912503221</v>
          </cell>
        </row>
        <row r="249">
          <cell r="A249">
            <v>321</v>
          </cell>
          <cell r="B249">
            <v>40204</v>
          </cell>
          <cell r="D249">
            <v>1500.5</v>
          </cell>
          <cell r="E249">
            <v>1430.2</v>
          </cell>
          <cell r="G249" t="str">
            <v>Parcheo elaboración de fallos en vías urbanas y rurales del municipio de Medellín.</v>
          </cell>
          <cell r="H249" t="str">
            <v>1/2</v>
          </cell>
          <cell r="I249">
            <v>0</v>
          </cell>
          <cell r="J249">
            <v>231.5</v>
          </cell>
          <cell r="K249">
            <v>170.5</v>
          </cell>
          <cell r="L249">
            <v>295.10000000000002</v>
          </cell>
          <cell r="M249">
            <v>284.3</v>
          </cell>
          <cell r="N249">
            <v>222.4</v>
          </cell>
          <cell r="O249">
            <v>72.400000000000006</v>
          </cell>
          <cell r="P249">
            <v>68.400000000000006</v>
          </cell>
          <cell r="Q249">
            <v>85.6</v>
          </cell>
          <cell r="S249">
            <v>25</v>
          </cell>
          <cell r="T249" t="str">
            <v>1</v>
          </cell>
          <cell r="U249">
            <v>1236.4000000000001</v>
          </cell>
          <cell r="V249">
            <v>1238.9000000000001</v>
          </cell>
          <cell r="W249">
            <v>736.3</v>
          </cell>
          <cell r="Y249">
            <v>2.9</v>
          </cell>
          <cell r="Z249">
            <v>1237</v>
          </cell>
          <cell r="AA249">
            <v>1238.0999999999999</v>
          </cell>
          <cell r="AB249">
            <v>737.6</v>
          </cell>
          <cell r="AD249">
            <v>3.2</v>
          </cell>
          <cell r="AE249">
            <v>1236.9000000000001</v>
          </cell>
          <cell r="AF249">
            <v>1237.9000000000001</v>
          </cell>
          <cell r="AG249">
            <v>738.7</v>
          </cell>
          <cell r="AI249">
            <v>3.1</v>
          </cell>
          <cell r="AK249">
            <v>1508.1510900000001</v>
          </cell>
          <cell r="AM249">
            <v>1569.3336900000002</v>
          </cell>
          <cell r="AO249">
            <v>1715.1522200000002</v>
          </cell>
          <cell r="AP249" t="str">
            <v>Muestra tomada en la volqueta</v>
          </cell>
          <cell r="AQ249" t="str">
            <v>-</v>
          </cell>
          <cell r="AR249">
            <v>1679</v>
          </cell>
          <cell r="AS249">
            <v>3.1</v>
          </cell>
          <cell r="AV249">
            <v>2.4625428827416425</v>
          </cell>
          <cell r="BS249">
            <v>2.5907325912503221</v>
          </cell>
        </row>
        <row r="250">
          <cell r="A250">
            <v>322</v>
          </cell>
          <cell r="B250">
            <v>40205</v>
          </cell>
          <cell r="D250">
            <v>1500.1</v>
          </cell>
          <cell r="E250">
            <v>1428.7</v>
          </cell>
          <cell r="G250" t="str">
            <v>Parcheo elaboración de fallos en vías urbanas y rurales del municipio de Medellín.</v>
          </cell>
          <cell r="H250" t="str">
            <v>1/2</v>
          </cell>
          <cell r="I250">
            <v>0</v>
          </cell>
          <cell r="J250">
            <v>190.2</v>
          </cell>
          <cell r="K250">
            <v>205.9</v>
          </cell>
          <cell r="L250">
            <v>296.7</v>
          </cell>
          <cell r="M250">
            <v>292.7</v>
          </cell>
          <cell r="N250">
            <v>210.9</v>
          </cell>
          <cell r="O250">
            <v>79.5</v>
          </cell>
          <cell r="P250">
            <v>58.1</v>
          </cell>
          <cell r="Q250">
            <v>94.7</v>
          </cell>
          <cell r="S250">
            <v>25</v>
          </cell>
          <cell r="T250" t="str">
            <v>1</v>
          </cell>
          <cell r="U250">
            <v>1239.4000000000001</v>
          </cell>
          <cell r="V250">
            <v>1240.3</v>
          </cell>
          <cell r="W250">
            <v>743.6</v>
          </cell>
          <cell r="Y250">
            <v>3.3</v>
          </cell>
          <cell r="Z250">
            <v>1238.0999999999999</v>
          </cell>
          <cell r="AA250">
            <v>1240.5999999999999</v>
          </cell>
          <cell r="AB250">
            <v>737.5</v>
          </cell>
          <cell r="AD250">
            <v>3.3</v>
          </cell>
          <cell r="AE250">
            <v>1237.2</v>
          </cell>
          <cell r="AF250">
            <v>1238.4000000000001</v>
          </cell>
          <cell r="AG250">
            <v>739.3</v>
          </cell>
          <cell r="AI250">
            <v>2.8</v>
          </cell>
          <cell r="AK250">
            <v>1831.3991600000002</v>
          </cell>
          <cell r="AM250">
            <v>1593.8067300000002</v>
          </cell>
          <cell r="AO250">
            <v>1773.2756900000002</v>
          </cell>
          <cell r="AP250" t="str">
            <v>Muestra tomada en el elevador</v>
          </cell>
          <cell r="AQ250" t="str">
            <v>-</v>
          </cell>
          <cell r="AR250">
            <v>1829</v>
          </cell>
          <cell r="AS250">
            <v>3.1</v>
          </cell>
          <cell r="AV250">
            <v>2.471108431950428</v>
          </cell>
          <cell r="BS250">
            <v>2.5923814459704611</v>
          </cell>
        </row>
        <row r="251">
          <cell r="A251">
            <v>323</v>
          </cell>
          <cell r="B251">
            <v>40205</v>
          </cell>
          <cell r="D251">
            <v>1500.3</v>
          </cell>
          <cell r="E251">
            <v>1431.4</v>
          </cell>
          <cell r="G251" t="str">
            <v>Parcheo elaboración de fallos en vías urbanas y rurales del municipio de Medellín.</v>
          </cell>
          <cell r="H251" t="str">
            <v>2/2</v>
          </cell>
          <cell r="I251">
            <v>0</v>
          </cell>
          <cell r="J251">
            <v>183.3</v>
          </cell>
          <cell r="K251">
            <v>177.8</v>
          </cell>
          <cell r="L251">
            <v>330.6</v>
          </cell>
          <cell r="M251">
            <v>281.60000000000002</v>
          </cell>
          <cell r="N251">
            <v>225.6</v>
          </cell>
          <cell r="O251">
            <v>75.900000000000006</v>
          </cell>
          <cell r="P251">
            <v>69.7</v>
          </cell>
          <cell r="Q251">
            <v>86.9</v>
          </cell>
          <cell r="S251">
            <v>25</v>
          </cell>
          <cell r="T251" t="str">
            <v>1</v>
          </cell>
          <cell r="U251">
            <v>1238.3</v>
          </cell>
          <cell r="V251">
            <v>1240</v>
          </cell>
          <cell r="W251">
            <v>737.5</v>
          </cell>
          <cell r="Y251">
            <v>3.5</v>
          </cell>
          <cell r="Z251">
            <v>1236.7</v>
          </cell>
          <cell r="AA251">
            <v>1238.3</v>
          </cell>
          <cell r="AB251">
            <v>736.4</v>
          </cell>
          <cell r="AD251">
            <v>3.6</v>
          </cell>
          <cell r="AE251">
            <v>1232.7</v>
          </cell>
          <cell r="AF251">
            <v>1235.8</v>
          </cell>
          <cell r="AG251">
            <v>731.9</v>
          </cell>
          <cell r="AI251">
            <v>3</v>
          </cell>
          <cell r="AK251">
            <v>1533.64384</v>
          </cell>
          <cell r="AM251">
            <v>1971.09943</v>
          </cell>
          <cell r="AO251">
            <v>1821.2020600000001</v>
          </cell>
          <cell r="AP251" t="str">
            <v>Muestra tomada en la volqueta</v>
          </cell>
          <cell r="AQ251" t="str">
            <v>-</v>
          </cell>
          <cell r="AR251">
            <v>1854</v>
          </cell>
          <cell r="AS251">
            <v>3.4</v>
          </cell>
          <cell r="AV251">
            <v>2.4510210590962296</v>
          </cell>
          <cell r="BS251">
            <v>2.5923814459704611</v>
          </cell>
        </row>
        <row r="252">
          <cell r="A252">
            <v>324</v>
          </cell>
          <cell r="B252">
            <v>40206</v>
          </cell>
          <cell r="D252">
            <v>1502</v>
          </cell>
          <cell r="E252">
            <v>1432.6</v>
          </cell>
          <cell r="I252">
            <v>0</v>
          </cell>
          <cell r="J252">
            <v>165.3</v>
          </cell>
          <cell r="K252">
            <v>181.7</v>
          </cell>
          <cell r="L252">
            <v>343.6</v>
          </cell>
          <cell r="M252">
            <v>300.5</v>
          </cell>
          <cell r="N252">
            <v>220.6</v>
          </cell>
          <cell r="O252">
            <v>80</v>
          </cell>
          <cell r="P252">
            <v>59.6</v>
          </cell>
          <cell r="Q252">
            <v>81.3</v>
          </cell>
          <cell r="S252">
            <v>25</v>
          </cell>
          <cell r="T252" t="str">
            <v>1</v>
          </cell>
          <cell r="U252">
            <v>1237.4000000000001</v>
          </cell>
          <cell r="V252">
            <v>1238.0999999999999</v>
          </cell>
          <cell r="W252">
            <v>738.1</v>
          </cell>
          <cell r="Y252">
            <v>2.9</v>
          </cell>
          <cell r="Z252">
            <v>1237.2</v>
          </cell>
          <cell r="AA252">
            <v>1238.7</v>
          </cell>
          <cell r="AB252">
            <v>734.5</v>
          </cell>
          <cell r="AD252">
            <v>2.9</v>
          </cell>
          <cell r="AE252">
            <v>1236.8</v>
          </cell>
          <cell r="AF252">
            <v>1237.9000000000001</v>
          </cell>
          <cell r="AG252">
            <v>733.3</v>
          </cell>
          <cell r="AI252">
            <v>3.1</v>
          </cell>
          <cell r="AK252">
            <v>1730.44787</v>
          </cell>
          <cell r="AM252">
            <v>1544.8606500000001</v>
          </cell>
          <cell r="AO252">
            <v>1611.1418000000001</v>
          </cell>
          <cell r="AP252" t="str">
            <v>Muestra tomada en el elevador</v>
          </cell>
          <cell r="AQ252" t="str">
            <v>-</v>
          </cell>
          <cell r="AR252">
            <v>1700</v>
          </cell>
          <cell r="AS252">
            <v>3</v>
          </cell>
          <cell r="AV252">
            <v>2.4526843578448592</v>
          </cell>
          <cell r="BS252">
            <v>2.580507928322803</v>
          </cell>
        </row>
        <row r="253">
          <cell r="A253">
            <v>325</v>
          </cell>
          <cell r="B253">
            <v>40206</v>
          </cell>
          <cell r="D253">
            <v>1501.9</v>
          </cell>
          <cell r="E253">
            <v>1432.2</v>
          </cell>
          <cell r="I253">
            <v>0</v>
          </cell>
          <cell r="J253">
            <v>170.8</v>
          </cell>
          <cell r="K253">
            <v>176.1</v>
          </cell>
          <cell r="L253">
            <v>326.7</v>
          </cell>
          <cell r="M253">
            <v>298.7</v>
          </cell>
          <cell r="N253">
            <v>225.5</v>
          </cell>
          <cell r="O253">
            <v>84.5</v>
          </cell>
          <cell r="P253">
            <v>63.8</v>
          </cell>
          <cell r="Q253">
            <v>86.1</v>
          </cell>
          <cell r="S253">
            <v>25</v>
          </cell>
          <cell r="T253" t="str">
            <v>1</v>
          </cell>
          <cell r="U253">
            <v>1236.9000000000001</v>
          </cell>
          <cell r="V253">
            <v>1237.8</v>
          </cell>
          <cell r="W253">
            <v>736.9</v>
          </cell>
          <cell r="Y253">
            <v>2.8</v>
          </cell>
          <cell r="Z253">
            <v>1236.3</v>
          </cell>
          <cell r="AA253">
            <v>1239.2</v>
          </cell>
          <cell r="AB253">
            <v>736.7</v>
          </cell>
          <cell r="AD253">
            <v>3</v>
          </cell>
          <cell r="AE253">
            <v>1236</v>
          </cell>
          <cell r="AF253">
            <v>1236.7</v>
          </cell>
          <cell r="AG253">
            <v>737.7</v>
          </cell>
          <cell r="AI253">
            <v>2.8</v>
          </cell>
          <cell r="AK253">
            <v>1578.51108</v>
          </cell>
          <cell r="AM253">
            <v>1607.06296</v>
          </cell>
          <cell r="AO253">
            <v>1649.8907799999999</v>
          </cell>
          <cell r="AP253" t="str">
            <v>Muestra tomada en la volqueta</v>
          </cell>
          <cell r="AQ253" t="str">
            <v>-</v>
          </cell>
          <cell r="AR253">
            <v>1694</v>
          </cell>
          <cell r="AS253">
            <v>2.9</v>
          </cell>
          <cell r="AV253">
            <v>2.4616477496097571</v>
          </cell>
          <cell r="BS253">
            <v>2.580507928322803</v>
          </cell>
        </row>
        <row r="254">
          <cell r="A254">
            <v>326</v>
          </cell>
          <cell r="B254">
            <v>40207</v>
          </cell>
          <cell r="D254">
            <v>1501</v>
          </cell>
          <cell r="E254">
            <v>1412.2</v>
          </cell>
          <cell r="I254">
            <v>0</v>
          </cell>
          <cell r="J254">
            <v>95.7</v>
          </cell>
          <cell r="K254">
            <v>154.19999999999999</v>
          </cell>
          <cell r="L254">
            <v>304.3</v>
          </cell>
          <cell r="M254">
            <v>319.8</v>
          </cell>
          <cell r="N254">
            <v>283.10000000000002</v>
          </cell>
          <cell r="O254">
            <v>86.5</v>
          </cell>
          <cell r="P254">
            <v>76.2</v>
          </cell>
          <cell r="Q254">
            <v>92.4</v>
          </cell>
          <cell r="S254">
            <v>25</v>
          </cell>
          <cell r="T254" t="str">
            <v>1</v>
          </cell>
          <cell r="U254">
            <v>1229.8</v>
          </cell>
          <cell r="V254">
            <v>1230.8</v>
          </cell>
          <cell r="W254">
            <v>731.2</v>
          </cell>
          <cell r="Y254">
            <v>3.6</v>
          </cell>
          <cell r="Z254">
            <v>1230.5</v>
          </cell>
          <cell r="AA254">
            <v>1231.3</v>
          </cell>
          <cell r="AB254">
            <v>732</v>
          </cell>
          <cell r="AD254">
            <v>3.1</v>
          </cell>
          <cell r="AE254">
            <v>1231</v>
          </cell>
          <cell r="AF254">
            <v>1232.0999999999999</v>
          </cell>
          <cell r="AG254">
            <v>730.1</v>
          </cell>
          <cell r="AI254">
            <v>3.9</v>
          </cell>
          <cell r="AK254">
            <v>1639.6936799999999</v>
          </cell>
          <cell r="AM254">
            <v>1702.9157</v>
          </cell>
          <cell r="AO254">
            <v>1744.72381</v>
          </cell>
          <cell r="AP254" t="str">
            <v>Muestra tomada en el elevador</v>
          </cell>
          <cell r="AR254">
            <v>1785</v>
          </cell>
          <cell r="AS254">
            <v>3.5</v>
          </cell>
          <cell r="AV254">
            <v>2.4522098181427459</v>
          </cell>
          <cell r="BS254">
            <v>2.5529999999999999</v>
          </cell>
        </row>
        <row r="255">
          <cell r="A255">
            <v>327</v>
          </cell>
          <cell r="B255">
            <v>40207</v>
          </cell>
          <cell r="D255">
            <v>1501.9</v>
          </cell>
          <cell r="E255">
            <v>1410.2</v>
          </cell>
          <cell r="I255">
            <v>0</v>
          </cell>
          <cell r="J255">
            <v>123</v>
          </cell>
          <cell r="K255">
            <v>170</v>
          </cell>
          <cell r="L255">
            <v>308</v>
          </cell>
          <cell r="M255">
            <v>299.8</v>
          </cell>
          <cell r="N255">
            <v>261.3</v>
          </cell>
          <cell r="O255">
            <v>84.5</v>
          </cell>
          <cell r="P255">
            <v>75.3</v>
          </cell>
          <cell r="Q255">
            <v>88.3</v>
          </cell>
          <cell r="S255">
            <v>25</v>
          </cell>
          <cell r="T255" t="str">
            <v>1</v>
          </cell>
          <cell r="AK255">
            <v>0</v>
          </cell>
          <cell r="AM255">
            <v>0</v>
          </cell>
          <cell r="AO255">
            <v>0</v>
          </cell>
          <cell r="AP255" t="str">
            <v>Muestra tomada en la volqueta</v>
          </cell>
          <cell r="AR255">
            <v>0</v>
          </cell>
          <cell r="AS255">
            <v>0</v>
          </cell>
          <cell r="AV255">
            <v>0</v>
          </cell>
          <cell r="BS255">
            <v>2.5529999999999999</v>
          </cell>
        </row>
        <row r="256">
          <cell r="A256">
            <v>328</v>
          </cell>
          <cell r="B256">
            <v>40207</v>
          </cell>
          <cell r="D256">
            <v>1501.8</v>
          </cell>
          <cell r="E256">
            <v>1422.2</v>
          </cell>
          <cell r="I256">
            <v>0</v>
          </cell>
          <cell r="J256">
            <v>166.3</v>
          </cell>
          <cell r="K256">
            <v>203</v>
          </cell>
          <cell r="L256">
            <v>297</v>
          </cell>
          <cell r="M256">
            <v>264.5</v>
          </cell>
          <cell r="N256">
            <v>244.9</v>
          </cell>
          <cell r="O256">
            <v>81.5</v>
          </cell>
          <cell r="P256">
            <v>72.599999999999994</v>
          </cell>
          <cell r="Q256">
            <v>92.4</v>
          </cell>
          <cell r="S256">
            <v>25</v>
          </cell>
          <cell r="T256" t="str">
            <v>1</v>
          </cell>
          <cell r="U256">
            <v>1234.5999999999999</v>
          </cell>
          <cell r="V256">
            <v>1235</v>
          </cell>
          <cell r="W256">
            <v>740.6</v>
          </cell>
          <cell r="Y256">
            <v>3.2</v>
          </cell>
          <cell r="Z256">
            <v>1237.0999999999999</v>
          </cell>
          <cell r="AA256">
            <v>1237.5999999999999</v>
          </cell>
          <cell r="AB256">
            <v>741.6</v>
          </cell>
          <cell r="AD256">
            <v>3.3</v>
          </cell>
          <cell r="AE256">
            <v>1234</v>
          </cell>
          <cell r="AF256">
            <v>1234.5</v>
          </cell>
          <cell r="AG256">
            <v>735.1</v>
          </cell>
          <cell r="AI256">
            <v>3.16</v>
          </cell>
          <cell r="AK256">
            <v>1613.1812200000002</v>
          </cell>
          <cell r="AM256">
            <v>1664.1667200000002</v>
          </cell>
          <cell r="AO256">
            <v>1477.55979</v>
          </cell>
          <cell r="AR256">
            <v>1689</v>
          </cell>
          <cell r="AS256">
            <v>3.2</v>
          </cell>
          <cell r="AV256">
            <v>2.4801531600932418</v>
          </cell>
          <cell r="BS256">
            <v>2.5529999999999999</v>
          </cell>
        </row>
        <row r="257">
          <cell r="A257">
            <v>329</v>
          </cell>
          <cell r="B257">
            <v>40210</v>
          </cell>
          <cell r="D257">
            <v>1501.3</v>
          </cell>
          <cell r="E257">
            <v>1424</v>
          </cell>
          <cell r="G257" t="str">
            <v>Parcheo elaboración de fallos en vías urbanas y rurales del municipio de Medellín.</v>
          </cell>
          <cell r="H257" t="str">
            <v>1/2</v>
          </cell>
          <cell r="I257">
            <v>0</v>
          </cell>
          <cell r="J257">
            <v>189.6</v>
          </cell>
          <cell r="K257">
            <v>180.4</v>
          </cell>
          <cell r="L257">
            <v>233</v>
          </cell>
          <cell r="M257">
            <v>309.8</v>
          </cell>
          <cell r="N257">
            <v>259.8</v>
          </cell>
          <cell r="O257">
            <v>88.3</v>
          </cell>
          <cell r="P257">
            <v>69.099999999999994</v>
          </cell>
          <cell r="Q257">
            <v>94</v>
          </cell>
          <cell r="S257">
            <v>25</v>
          </cell>
          <cell r="T257" t="str">
            <v>1</v>
          </cell>
          <cell r="U257">
            <v>1239.9000000000001</v>
          </cell>
          <cell r="V257">
            <v>1240.5</v>
          </cell>
          <cell r="W257">
            <v>738.9</v>
          </cell>
          <cell r="Y257">
            <v>3.4</v>
          </cell>
          <cell r="Z257">
            <v>1238.8</v>
          </cell>
          <cell r="AA257">
            <v>1239.4000000000001</v>
          </cell>
          <cell r="AB257">
            <v>740.3</v>
          </cell>
          <cell r="AD257">
            <v>2.7</v>
          </cell>
          <cell r="AE257">
            <v>1232.8</v>
          </cell>
          <cell r="AF257">
            <v>1233.5999999999999</v>
          </cell>
          <cell r="AG257">
            <v>734.4</v>
          </cell>
          <cell r="AI257">
            <v>3.1</v>
          </cell>
          <cell r="AK257">
            <v>1771.2362700000001</v>
          </cell>
          <cell r="AM257">
            <v>1549.9592</v>
          </cell>
          <cell r="AO257">
            <v>1554.0380400000001</v>
          </cell>
          <cell r="AP257" t="str">
            <v>Muestra tomada en el elevador</v>
          </cell>
          <cell r="AR257">
            <v>1712</v>
          </cell>
          <cell r="AS257">
            <v>3.1</v>
          </cell>
          <cell r="AV257">
            <v>2.4672650641357361</v>
          </cell>
          <cell r="BS257">
            <v>2.5680000000000001</v>
          </cell>
        </row>
        <row r="258">
          <cell r="A258">
            <v>330</v>
          </cell>
          <cell r="B258">
            <v>40210</v>
          </cell>
          <cell r="D258">
            <v>1501.3</v>
          </cell>
          <cell r="E258">
            <v>1421.5</v>
          </cell>
          <cell r="G258" t="str">
            <v>Parcheo elaboración de fallos en vías urbanas y rurales del municipio de Medellín.</v>
          </cell>
          <cell r="H258" t="str">
            <v>2/2</v>
          </cell>
          <cell r="I258">
            <v>0</v>
          </cell>
          <cell r="J258">
            <v>108</v>
          </cell>
          <cell r="K258">
            <v>206.7</v>
          </cell>
          <cell r="L258">
            <v>274.3</v>
          </cell>
          <cell r="M258">
            <v>322.10000000000002</v>
          </cell>
          <cell r="N258">
            <v>246.7</v>
          </cell>
          <cell r="O258">
            <v>85.2</v>
          </cell>
          <cell r="P258">
            <v>74.900000000000006</v>
          </cell>
          <cell r="Q258">
            <v>103.6</v>
          </cell>
          <cell r="S258">
            <v>25</v>
          </cell>
          <cell r="T258" t="str">
            <v>1</v>
          </cell>
          <cell r="U258">
            <v>1235.5</v>
          </cell>
          <cell r="V258">
            <v>1236.0999999999999</v>
          </cell>
          <cell r="W258">
            <v>741.4</v>
          </cell>
          <cell r="Y258">
            <v>3.6</v>
          </cell>
          <cell r="Z258">
            <v>1237.2</v>
          </cell>
          <cell r="AA258">
            <v>1237.7</v>
          </cell>
          <cell r="AB258">
            <v>741.6</v>
          </cell>
          <cell r="AD258">
            <v>3</v>
          </cell>
          <cell r="AE258">
            <v>1240.7</v>
          </cell>
          <cell r="AF258">
            <v>1241.3</v>
          </cell>
          <cell r="AG258">
            <v>743.4</v>
          </cell>
          <cell r="AI258">
            <v>2.9</v>
          </cell>
          <cell r="AK258">
            <v>1665.18643</v>
          </cell>
          <cell r="AM258">
            <v>1564.23514</v>
          </cell>
          <cell r="AO258">
            <v>1567.2942699999999</v>
          </cell>
          <cell r="AP258" t="str">
            <v>Muestra tomada en la volqueta</v>
          </cell>
          <cell r="AR258">
            <v>1706</v>
          </cell>
          <cell r="AS258">
            <v>3.2</v>
          </cell>
          <cell r="AV258">
            <v>2.4871009215330324</v>
          </cell>
          <cell r="BS258">
            <v>2.5680000000000001</v>
          </cell>
        </row>
        <row r="259">
          <cell r="A259">
            <v>331</v>
          </cell>
          <cell r="B259">
            <v>40211</v>
          </cell>
          <cell r="D259">
            <v>1500.5</v>
          </cell>
          <cell r="E259">
            <v>1421.9</v>
          </cell>
          <cell r="G259" t="str">
            <v>Parcheo elaboración de fallos en vías urbanas y rurales del municipio de Medellín.</v>
          </cell>
          <cell r="H259" t="str">
            <v>1/2</v>
          </cell>
          <cell r="I259">
            <v>0</v>
          </cell>
          <cell r="J259">
            <v>142.6</v>
          </cell>
          <cell r="K259">
            <v>120.7</v>
          </cell>
          <cell r="L259">
            <v>321.39999999999998</v>
          </cell>
          <cell r="M259">
            <v>316</v>
          </cell>
          <cell r="N259">
            <v>270.7</v>
          </cell>
          <cell r="O259">
            <v>94.8</v>
          </cell>
          <cell r="P259">
            <v>67</v>
          </cell>
          <cell r="Q259">
            <v>88.7</v>
          </cell>
          <cell r="S259">
            <v>25</v>
          </cell>
          <cell r="T259" t="str">
            <v>1</v>
          </cell>
          <cell r="U259">
            <v>1235.4000000000001</v>
          </cell>
          <cell r="V259">
            <v>1236.0999999999999</v>
          </cell>
          <cell r="W259">
            <v>739.1</v>
          </cell>
          <cell r="Y259">
            <v>3.09</v>
          </cell>
          <cell r="Z259">
            <v>1236.2</v>
          </cell>
          <cell r="AA259">
            <v>1237.7</v>
          </cell>
          <cell r="AB259">
            <v>735.4</v>
          </cell>
          <cell r="AD259">
            <v>3.4</v>
          </cell>
          <cell r="AE259">
            <v>1236.2</v>
          </cell>
          <cell r="AF259">
            <v>1237.4000000000001</v>
          </cell>
          <cell r="AG259">
            <v>736.7</v>
          </cell>
          <cell r="AI259">
            <v>3.24</v>
          </cell>
          <cell r="AK259">
            <v>1680.48208</v>
          </cell>
          <cell r="AM259">
            <v>1419.43632</v>
          </cell>
          <cell r="AO259">
            <v>1550.97891</v>
          </cell>
          <cell r="AP259" t="str">
            <v>Muestra tomada en el elevador</v>
          </cell>
          <cell r="AR259">
            <v>1634</v>
          </cell>
          <cell r="AS259">
            <v>3.2</v>
          </cell>
          <cell r="AV259">
            <v>2.464681923710728</v>
          </cell>
          <cell r="BS259">
            <v>2.58</v>
          </cell>
        </row>
        <row r="260">
          <cell r="A260">
            <v>332</v>
          </cell>
          <cell r="B260">
            <v>40211</v>
          </cell>
          <cell r="D260">
            <v>1500.2</v>
          </cell>
          <cell r="E260">
            <v>1427.8</v>
          </cell>
          <cell r="G260" t="str">
            <v>Parcheo elaboración de fallos en vías urbanas y rurales del municipio de Medellín.</v>
          </cell>
          <cell r="H260" t="str">
            <v>2/2</v>
          </cell>
          <cell r="I260">
            <v>0</v>
          </cell>
          <cell r="J260">
            <v>104</v>
          </cell>
          <cell r="K260">
            <v>180.8</v>
          </cell>
          <cell r="L260">
            <v>365.8</v>
          </cell>
          <cell r="M260">
            <v>324.2</v>
          </cell>
          <cell r="N260">
            <v>215.6</v>
          </cell>
          <cell r="O260">
            <v>75.5</v>
          </cell>
          <cell r="P260">
            <v>70.900000000000006</v>
          </cell>
          <cell r="Q260">
            <v>91</v>
          </cell>
          <cell r="S260">
            <v>25</v>
          </cell>
          <cell r="T260" t="str">
            <v>1</v>
          </cell>
          <cell r="U260">
            <v>1236.2</v>
          </cell>
          <cell r="V260">
            <v>1237.8</v>
          </cell>
          <cell r="W260">
            <v>738.5</v>
          </cell>
          <cell r="Y260">
            <v>3.5</v>
          </cell>
          <cell r="Z260">
            <v>1238.9000000000001</v>
          </cell>
          <cell r="AA260">
            <v>1241.7</v>
          </cell>
          <cell r="AB260">
            <v>737.9</v>
          </cell>
          <cell r="AD260">
            <v>3.8</v>
          </cell>
          <cell r="AE260">
            <v>1236.2</v>
          </cell>
          <cell r="AF260">
            <v>1237.7</v>
          </cell>
          <cell r="AG260">
            <v>738.7</v>
          </cell>
          <cell r="AI260">
            <v>3.6</v>
          </cell>
          <cell r="AK260">
            <v>1361.31285</v>
          </cell>
          <cell r="AM260">
            <v>1521.40732</v>
          </cell>
          <cell r="AO260">
            <v>1569.3336900000002</v>
          </cell>
          <cell r="AP260" t="str">
            <v>Muestra tomada en la volqueta</v>
          </cell>
          <cell r="AR260">
            <v>1560</v>
          </cell>
          <cell r="AS260">
            <v>3.6</v>
          </cell>
          <cell r="AV260">
            <v>2.4635502033963257</v>
          </cell>
          <cell r="BS260">
            <v>2.58</v>
          </cell>
        </row>
        <row r="261">
          <cell r="A261">
            <v>333</v>
          </cell>
          <cell r="B261">
            <v>40212</v>
          </cell>
          <cell r="D261">
            <v>1501.5</v>
          </cell>
          <cell r="E261">
            <v>1428.3</v>
          </cell>
          <cell r="G261" t="str">
            <v>Parcheo elaboración de fallos en vías urbanas y rurales del municipio de Medellín.</v>
          </cell>
          <cell r="H261" t="str">
            <v>1/2</v>
          </cell>
          <cell r="I261">
            <v>0</v>
          </cell>
          <cell r="J261">
            <v>177.8</v>
          </cell>
          <cell r="K261">
            <v>148.69999999999999</v>
          </cell>
          <cell r="L261">
            <v>321.3</v>
          </cell>
          <cell r="M261">
            <v>310.7</v>
          </cell>
          <cell r="N261">
            <v>226.9</v>
          </cell>
          <cell r="O261">
            <v>80.7</v>
          </cell>
          <cell r="P261">
            <v>72.900000000000006</v>
          </cell>
          <cell r="Q261">
            <v>89.3</v>
          </cell>
          <cell r="S261">
            <v>25</v>
          </cell>
          <cell r="T261" t="str">
            <v>1</v>
          </cell>
          <cell r="U261">
            <v>1237.3</v>
          </cell>
          <cell r="V261">
            <v>1238.0999999999999</v>
          </cell>
          <cell r="W261">
            <v>741.3</v>
          </cell>
          <cell r="Y261">
            <v>3.2</v>
          </cell>
          <cell r="Z261">
            <v>1235</v>
          </cell>
          <cell r="AA261">
            <v>1236.2</v>
          </cell>
          <cell r="AB261">
            <v>736.4</v>
          </cell>
          <cell r="AD261">
            <v>3.4</v>
          </cell>
          <cell r="AE261">
            <v>1236.8</v>
          </cell>
          <cell r="AF261">
            <v>1237.4000000000001</v>
          </cell>
          <cell r="AG261">
            <v>735.1</v>
          </cell>
          <cell r="AI261">
            <v>3.4</v>
          </cell>
          <cell r="AK261">
            <v>1854.8524900000002</v>
          </cell>
          <cell r="AM261">
            <v>1557.09717</v>
          </cell>
          <cell r="AO261">
            <v>1523.4467400000001</v>
          </cell>
          <cell r="AP261" t="str">
            <v>Muestra tomada en el elevador</v>
          </cell>
          <cell r="AR261">
            <v>1737</v>
          </cell>
          <cell r="AS261">
            <v>3.3</v>
          </cell>
          <cell r="AV261">
            <v>2.467362256832597</v>
          </cell>
          <cell r="BS261">
            <v>2.5779999999999998</v>
          </cell>
        </row>
        <row r="262">
          <cell r="A262">
            <v>334</v>
          </cell>
          <cell r="B262">
            <v>40212</v>
          </cell>
          <cell r="D262">
            <v>1500.9</v>
          </cell>
          <cell r="E262">
            <v>1430.6</v>
          </cell>
          <cell r="G262" t="str">
            <v>Parcheo elaboración de fallos en vías urbanas y rurales del municipio de Medellín.</v>
          </cell>
          <cell r="H262" t="str">
            <v>2/2</v>
          </cell>
          <cell r="I262">
            <v>0</v>
          </cell>
          <cell r="J262">
            <v>211.5</v>
          </cell>
          <cell r="K262">
            <v>155.19999999999999</v>
          </cell>
          <cell r="L262">
            <v>323.10000000000002</v>
          </cell>
          <cell r="M262">
            <v>296.3</v>
          </cell>
          <cell r="N262">
            <v>211</v>
          </cell>
          <cell r="O262">
            <v>77.400000000000006</v>
          </cell>
          <cell r="P262">
            <v>65.8</v>
          </cell>
          <cell r="Q262">
            <v>90.3</v>
          </cell>
          <cell r="S262">
            <v>25</v>
          </cell>
          <cell r="T262" t="str">
            <v>1</v>
          </cell>
          <cell r="U262">
            <v>1234.5999999999999</v>
          </cell>
          <cell r="V262">
            <v>1235.3</v>
          </cell>
          <cell r="W262">
            <v>737.3</v>
          </cell>
          <cell r="Y262">
            <v>3.4</v>
          </cell>
          <cell r="Z262">
            <v>1236.5999999999999</v>
          </cell>
          <cell r="AA262">
            <v>1238.0999999999999</v>
          </cell>
          <cell r="AB262">
            <v>740.2</v>
          </cell>
          <cell r="AD262">
            <v>3.2</v>
          </cell>
          <cell r="AE262">
            <v>1236.8</v>
          </cell>
          <cell r="AF262">
            <v>1237.7</v>
          </cell>
          <cell r="AG262">
            <v>738.9</v>
          </cell>
          <cell r="AI262">
            <v>3.2</v>
          </cell>
          <cell r="AK262">
            <v>1484.69776</v>
          </cell>
          <cell r="AM262">
            <v>1609.10238</v>
          </cell>
          <cell r="AO262">
            <v>1669.2652700000001</v>
          </cell>
          <cell r="AP262" t="str">
            <v>Muestra tomada en la volqueta</v>
          </cell>
          <cell r="AR262">
            <v>1683</v>
          </cell>
          <cell r="AS262">
            <v>3.3</v>
          </cell>
          <cell r="AV262">
            <v>2.4735099719373301</v>
          </cell>
          <cell r="BS262">
            <v>2.5779999999999998</v>
          </cell>
        </row>
        <row r="263">
          <cell r="A263">
            <v>335</v>
          </cell>
          <cell r="B263">
            <v>40213</v>
          </cell>
          <cell r="D263">
            <v>1501.4</v>
          </cell>
          <cell r="E263">
            <v>1427.9</v>
          </cell>
          <cell r="G263" t="str">
            <v>Parcheo elaboración de fallos en vías urbanas y rurales del municipio de Medellín.</v>
          </cell>
          <cell r="H263" t="str">
            <v>1/2</v>
          </cell>
          <cell r="I263">
            <v>0</v>
          </cell>
          <cell r="J263">
            <v>159.9</v>
          </cell>
          <cell r="K263">
            <v>173.6</v>
          </cell>
          <cell r="L263">
            <v>293.5</v>
          </cell>
          <cell r="M263">
            <v>302.5</v>
          </cell>
          <cell r="N263">
            <v>243.5</v>
          </cell>
          <cell r="O263">
            <v>82</v>
          </cell>
          <cell r="P263">
            <v>76.599999999999994</v>
          </cell>
          <cell r="Q263">
            <v>96.3</v>
          </cell>
          <cell r="S263">
            <v>25</v>
          </cell>
          <cell r="T263" t="str">
            <v>1</v>
          </cell>
          <cell r="U263">
            <v>1238.3</v>
          </cell>
          <cell r="V263">
            <v>1239.4000000000001</v>
          </cell>
          <cell r="W263">
            <v>737.3</v>
          </cell>
          <cell r="Y263">
            <v>3.3</v>
          </cell>
          <cell r="Z263">
            <v>1239</v>
          </cell>
          <cell r="AA263">
            <v>1240.7</v>
          </cell>
          <cell r="AB263">
            <v>736.2</v>
          </cell>
          <cell r="AD263">
            <v>3</v>
          </cell>
          <cell r="AE263">
            <v>1234.0999999999999</v>
          </cell>
          <cell r="AF263">
            <v>1235.3</v>
          </cell>
          <cell r="AG263">
            <v>735.5</v>
          </cell>
          <cell r="AI263">
            <v>3.3</v>
          </cell>
          <cell r="AK263">
            <v>1623.37832</v>
          </cell>
          <cell r="AM263">
            <v>1426.57429</v>
          </cell>
          <cell r="AO263">
            <v>1682.5215000000001</v>
          </cell>
          <cell r="AP263" t="str">
            <v>Muestra tomada en el elevador</v>
          </cell>
          <cell r="AQ263" t="str">
            <v>-</v>
          </cell>
          <cell r="AR263">
            <v>1651</v>
          </cell>
          <cell r="AS263">
            <v>3.2</v>
          </cell>
          <cell r="AV263">
            <v>2.4565689191812026</v>
          </cell>
          <cell r="BS263">
            <v>2.5779999999999998</v>
          </cell>
        </row>
        <row r="264">
          <cell r="A264">
            <v>336</v>
          </cell>
          <cell r="B264">
            <v>40213</v>
          </cell>
          <cell r="D264">
            <v>1501.4</v>
          </cell>
          <cell r="E264">
            <v>1427.9</v>
          </cell>
          <cell r="G264" t="str">
            <v>Parcheo elaboración de fallos en vías urbanas y rurales del municipio de Medellín.</v>
          </cell>
          <cell r="H264" t="str">
            <v>2/2</v>
          </cell>
          <cell r="I264">
            <v>0</v>
          </cell>
          <cell r="J264">
            <v>141.19999999999999</v>
          </cell>
          <cell r="K264">
            <v>238.2</v>
          </cell>
          <cell r="L264">
            <v>224.3</v>
          </cell>
          <cell r="M264">
            <v>291.10000000000002</v>
          </cell>
          <cell r="N264">
            <v>274.3</v>
          </cell>
          <cell r="O264">
            <v>92.8</v>
          </cell>
          <cell r="P264">
            <v>69.3</v>
          </cell>
          <cell r="Q264">
            <v>96.7</v>
          </cell>
          <cell r="S264">
            <v>25</v>
          </cell>
          <cell r="T264" t="str">
            <v>1</v>
          </cell>
          <cell r="U264">
            <v>1234.3</v>
          </cell>
          <cell r="V264">
            <v>1234.7</v>
          </cell>
          <cell r="W264">
            <v>730.4</v>
          </cell>
          <cell r="Y264">
            <v>3.2</v>
          </cell>
          <cell r="Z264">
            <v>1234.0999999999999</v>
          </cell>
          <cell r="AA264">
            <v>1234.5</v>
          </cell>
          <cell r="AB264">
            <v>733.6</v>
          </cell>
          <cell r="AD264">
            <v>3</v>
          </cell>
          <cell r="AE264">
            <v>1232.4000000000001</v>
          </cell>
          <cell r="AF264">
            <v>1232.8</v>
          </cell>
          <cell r="AG264">
            <v>732.6</v>
          </cell>
          <cell r="AI264">
            <v>3.2</v>
          </cell>
          <cell r="AK264">
            <v>1620.3191900000002</v>
          </cell>
          <cell r="AM264">
            <v>1781.43337</v>
          </cell>
          <cell r="AO264">
            <v>1689.6594700000001</v>
          </cell>
          <cell r="AP264" t="str">
            <v>Muestra tomada en la volqueta</v>
          </cell>
          <cell r="AQ264" t="str">
            <v>-</v>
          </cell>
          <cell r="AR264">
            <v>1778</v>
          </cell>
          <cell r="AS264">
            <v>3.1</v>
          </cell>
          <cell r="AV264">
            <v>2.4511861667399559</v>
          </cell>
          <cell r="BS264">
            <v>2.5779999999999998</v>
          </cell>
        </row>
        <row r="265">
          <cell r="A265">
            <v>337</v>
          </cell>
          <cell r="B265">
            <v>40214</v>
          </cell>
          <cell r="D265">
            <v>1500.5</v>
          </cell>
          <cell r="E265">
            <v>1424.7</v>
          </cell>
          <cell r="G265" t="str">
            <v>Parcheo elaboración de fallos en vías urbanas y rurales del municipio de Medellín.</v>
          </cell>
          <cell r="H265" t="str">
            <v>1/2</v>
          </cell>
          <cell r="I265">
            <v>0</v>
          </cell>
          <cell r="J265">
            <v>205.3</v>
          </cell>
          <cell r="K265">
            <v>237.6</v>
          </cell>
          <cell r="L265">
            <v>246.2</v>
          </cell>
          <cell r="M265">
            <v>266.2</v>
          </cell>
          <cell r="N265">
            <v>229</v>
          </cell>
          <cell r="O265">
            <v>86.3</v>
          </cell>
          <cell r="P265">
            <v>66.900000000000006</v>
          </cell>
          <cell r="Q265">
            <v>87.2</v>
          </cell>
          <cell r="S265">
            <v>25</v>
          </cell>
          <cell r="T265" t="str">
            <v>1</v>
          </cell>
          <cell r="U265">
            <v>1238.2</v>
          </cell>
          <cell r="V265">
            <v>1239.0999999999999</v>
          </cell>
          <cell r="W265">
            <v>742.2</v>
          </cell>
          <cell r="Y265">
            <v>2.7</v>
          </cell>
          <cell r="Z265">
            <v>1237.4000000000001</v>
          </cell>
          <cell r="AA265">
            <v>1238.4000000000001</v>
          </cell>
          <cell r="AB265">
            <v>742</v>
          </cell>
          <cell r="AD265">
            <v>3.4</v>
          </cell>
          <cell r="AE265">
            <v>1235.2</v>
          </cell>
          <cell r="AF265">
            <v>1235.8</v>
          </cell>
          <cell r="AG265">
            <v>740.3</v>
          </cell>
          <cell r="AI265">
            <v>3.2</v>
          </cell>
          <cell r="AK265">
            <v>1720.2507700000001</v>
          </cell>
          <cell r="AM265">
            <v>1592.78702</v>
          </cell>
          <cell r="AO265">
            <v>1706.9945399999999</v>
          </cell>
          <cell r="AP265" t="str">
            <v>Muestra tomada en el elevador</v>
          </cell>
          <cell r="AQ265" t="str">
            <v>-</v>
          </cell>
          <cell r="AR265">
            <v>1785</v>
          </cell>
          <cell r="AS265">
            <v>3.1</v>
          </cell>
          <cell r="AV265">
            <v>2.485187093187418</v>
          </cell>
          <cell r="BS265">
            <v>2.581</v>
          </cell>
        </row>
        <row r="266">
          <cell r="A266">
            <v>338</v>
          </cell>
          <cell r="B266">
            <v>40214</v>
          </cell>
          <cell r="D266">
            <v>1501.6</v>
          </cell>
          <cell r="E266">
            <v>1421.8</v>
          </cell>
          <cell r="G266" t="str">
            <v>Parcheo elaboración de fallos en vías urbanas y rurales del municipio de Medellín.</v>
          </cell>
          <cell r="H266" t="str">
            <v>2/2</v>
          </cell>
          <cell r="I266">
            <v>0</v>
          </cell>
          <cell r="J266">
            <v>181.5</v>
          </cell>
          <cell r="K266">
            <v>197.3</v>
          </cell>
          <cell r="L266">
            <v>219.4</v>
          </cell>
          <cell r="M266">
            <v>304.8</v>
          </cell>
          <cell r="N266">
            <v>257.60000000000002</v>
          </cell>
          <cell r="O266">
            <v>85.4</v>
          </cell>
          <cell r="P266">
            <v>78.599999999999994</v>
          </cell>
          <cell r="Q266">
            <v>97.2</v>
          </cell>
          <cell r="S266">
            <v>25</v>
          </cell>
          <cell r="T266" t="str">
            <v>1</v>
          </cell>
          <cell r="U266">
            <v>1231.2</v>
          </cell>
          <cell r="V266">
            <v>1231.5999999999999</v>
          </cell>
          <cell r="W266">
            <v>737</v>
          </cell>
          <cell r="Y266">
            <v>3.3</v>
          </cell>
          <cell r="Z266">
            <v>1235.0999999999999</v>
          </cell>
          <cell r="AA266">
            <v>1235.5</v>
          </cell>
          <cell r="AB266">
            <v>740.9</v>
          </cell>
          <cell r="AD266">
            <v>3.5</v>
          </cell>
          <cell r="AE266">
            <v>1234.3</v>
          </cell>
          <cell r="AF266">
            <v>1234.5999999999999</v>
          </cell>
          <cell r="AG266">
            <v>739</v>
          </cell>
          <cell r="AI266">
            <v>3.4</v>
          </cell>
          <cell r="AK266">
            <v>1636.6345500000002</v>
          </cell>
          <cell r="AM266">
            <v>1843.6356799999999</v>
          </cell>
          <cell r="AO266">
            <v>1704.9551199999999</v>
          </cell>
          <cell r="AP266" t="str">
            <v>Muestra tomada en la volqueta</v>
          </cell>
          <cell r="AQ266" t="str">
            <v>-</v>
          </cell>
          <cell r="AR266">
            <v>1852</v>
          </cell>
          <cell r="AS266">
            <v>3.4</v>
          </cell>
          <cell r="AV266">
            <v>2.4850333691975299</v>
          </cell>
          <cell r="BS266">
            <v>2.581</v>
          </cell>
        </row>
        <row r="267">
          <cell r="A267">
            <v>339</v>
          </cell>
          <cell r="B267">
            <v>40215</v>
          </cell>
          <cell r="D267">
            <v>1501.7</v>
          </cell>
          <cell r="E267">
            <v>1427.9</v>
          </cell>
          <cell r="G267" t="str">
            <v>Parcheo elaboración de fallos en vías urbanas y rurales del municipio de Medellín.</v>
          </cell>
          <cell r="H267" t="str">
            <v>1/2</v>
          </cell>
          <cell r="I267">
            <v>0</v>
          </cell>
          <cell r="J267">
            <v>172.2</v>
          </cell>
          <cell r="K267">
            <v>219.3</v>
          </cell>
          <cell r="L267">
            <v>302.7</v>
          </cell>
          <cell r="M267">
            <v>281</v>
          </cell>
          <cell r="N267">
            <v>222.7</v>
          </cell>
          <cell r="O267">
            <v>80.400000000000006</v>
          </cell>
          <cell r="P267">
            <v>60.3</v>
          </cell>
          <cell r="Q267">
            <v>89.3</v>
          </cell>
          <cell r="S267">
            <v>25</v>
          </cell>
          <cell r="T267" t="str">
            <v>1</v>
          </cell>
          <cell r="U267">
            <v>1236.2</v>
          </cell>
          <cell r="V267">
            <v>1237.5999999999999</v>
          </cell>
          <cell r="W267">
            <v>740</v>
          </cell>
          <cell r="Y267">
            <v>3.5</v>
          </cell>
          <cell r="Z267">
            <v>1236.8</v>
          </cell>
          <cell r="AA267">
            <v>1238.2</v>
          </cell>
          <cell r="AB267">
            <v>739.8</v>
          </cell>
          <cell r="AD267">
            <v>3.5</v>
          </cell>
          <cell r="AE267">
            <v>1233.5999999999999</v>
          </cell>
          <cell r="AF267">
            <v>1237.7</v>
          </cell>
          <cell r="AG267">
            <v>735.6</v>
          </cell>
          <cell r="AI267">
            <v>3.1</v>
          </cell>
          <cell r="AK267">
            <v>1994.55276</v>
          </cell>
          <cell r="AM267">
            <v>1628.4768700000002</v>
          </cell>
          <cell r="AO267">
            <v>1467.3626900000002</v>
          </cell>
          <cell r="AP267" t="str">
            <v>Muestra tomada en el elevador</v>
          </cell>
          <cell r="AQ267" t="str">
            <v>-</v>
          </cell>
          <cell r="AR267">
            <v>1793</v>
          </cell>
          <cell r="AS267">
            <v>3.4</v>
          </cell>
          <cell r="AV267">
            <v>2.4670117516152494</v>
          </cell>
          <cell r="BS267">
            <v>2.58</v>
          </cell>
        </row>
        <row r="268">
          <cell r="A268">
            <v>340</v>
          </cell>
          <cell r="B268">
            <v>40215</v>
          </cell>
          <cell r="D268">
            <v>1500.9</v>
          </cell>
          <cell r="E268">
            <v>1428</v>
          </cell>
          <cell r="G268" t="str">
            <v>Parcheo elaboración de fallos en vías urbanas y rurales del municipio de Medellín.</v>
          </cell>
          <cell r="H268" t="str">
            <v>2/2</v>
          </cell>
          <cell r="I268">
            <v>0</v>
          </cell>
          <cell r="J268">
            <v>126.1</v>
          </cell>
          <cell r="K268">
            <v>223.4</v>
          </cell>
          <cell r="L268">
            <v>304.8</v>
          </cell>
          <cell r="M268">
            <v>290.89999999999998</v>
          </cell>
          <cell r="N268">
            <v>241.1</v>
          </cell>
          <cell r="O268">
            <v>78.599999999999994</v>
          </cell>
          <cell r="P268">
            <v>71.3</v>
          </cell>
          <cell r="Q268">
            <v>91.8</v>
          </cell>
          <cell r="S268">
            <v>25</v>
          </cell>
          <cell r="T268" t="str">
            <v>1</v>
          </cell>
          <cell r="U268">
            <v>1234.5</v>
          </cell>
          <cell r="V268">
            <v>1235.0999999999999</v>
          </cell>
          <cell r="W268">
            <v>738</v>
          </cell>
          <cell r="Y268">
            <v>3.1</v>
          </cell>
          <cell r="Z268">
            <v>1234.5</v>
          </cell>
          <cell r="AA268">
            <v>1235.7</v>
          </cell>
          <cell r="AB268">
            <v>735.4</v>
          </cell>
          <cell r="AD268">
            <v>3.4</v>
          </cell>
          <cell r="AE268">
            <v>1233.2</v>
          </cell>
          <cell r="AF268">
            <v>1235.2</v>
          </cell>
          <cell r="AG268">
            <v>735.1</v>
          </cell>
          <cell r="AI268">
            <v>3.6</v>
          </cell>
          <cell r="AK268">
            <v>1959.8826199999999</v>
          </cell>
          <cell r="AM268">
            <v>1811.0049600000002</v>
          </cell>
          <cell r="AO268">
            <v>1808.9655399999999</v>
          </cell>
          <cell r="AP268" t="str">
            <v>Muestra tomada en la volqueta</v>
          </cell>
          <cell r="AQ268" t="str">
            <v>-</v>
          </cell>
          <cell r="AR268">
            <v>1966</v>
          </cell>
          <cell r="AS268">
            <v>3.4</v>
          </cell>
          <cell r="AV268">
            <v>2.4650452735842912</v>
          </cell>
          <cell r="BS268">
            <v>2.58</v>
          </cell>
        </row>
        <row r="269">
          <cell r="A269">
            <v>341</v>
          </cell>
          <cell r="B269">
            <v>40216</v>
          </cell>
          <cell r="D269">
            <v>1500.4</v>
          </cell>
          <cell r="E269">
            <v>1427.1</v>
          </cell>
          <cell r="G269" t="str">
            <v>Parcheo elaboración de fallos en vías urbanas y rurales del municipio de Medellín.</v>
          </cell>
          <cell r="H269" t="str">
            <v>1/2</v>
          </cell>
          <cell r="I269">
            <v>0</v>
          </cell>
          <cell r="J269">
            <v>160.9</v>
          </cell>
          <cell r="K269">
            <v>150.69999999999999</v>
          </cell>
          <cell r="L269">
            <v>298.8</v>
          </cell>
          <cell r="M269">
            <v>330.5</v>
          </cell>
          <cell r="N269">
            <v>227.2</v>
          </cell>
          <cell r="O269">
            <v>84.5</v>
          </cell>
          <cell r="P269">
            <v>74.099999999999994</v>
          </cell>
          <cell r="Q269">
            <v>100.4</v>
          </cell>
          <cell r="S269">
            <v>25</v>
          </cell>
          <cell r="T269" t="str">
            <v>1</v>
          </cell>
          <cell r="U269">
            <v>1234.7</v>
          </cell>
          <cell r="V269">
            <v>1236.5</v>
          </cell>
          <cell r="W269">
            <v>739.1</v>
          </cell>
          <cell r="Y269">
            <v>3.3</v>
          </cell>
          <cell r="Z269">
            <v>1234</v>
          </cell>
          <cell r="AA269">
            <v>1236.0999999999999</v>
          </cell>
          <cell r="AB269">
            <v>737</v>
          </cell>
          <cell r="AD269">
            <v>3.2</v>
          </cell>
          <cell r="AE269">
            <v>1237.2</v>
          </cell>
          <cell r="AF269">
            <v>1239.2</v>
          </cell>
          <cell r="AG269">
            <v>737.7</v>
          </cell>
          <cell r="AI269">
            <v>2.9</v>
          </cell>
          <cell r="AK269">
            <v>1976.1979799999999</v>
          </cell>
          <cell r="AM269">
            <v>1753.9012</v>
          </cell>
          <cell r="AO269">
            <v>1699.8565700000001</v>
          </cell>
          <cell r="AP269" t="str">
            <v>Muestra tomada en el elevador</v>
          </cell>
          <cell r="AQ269" t="str">
            <v>-</v>
          </cell>
          <cell r="AR269">
            <v>1912</v>
          </cell>
          <cell r="AS269">
            <v>3.1</v>
          </cell>
          <cell r="AV269">
            <v>2.4666829249662858</v>
          </cell>
          <cell r="BS269">
            <v>2.5880000000000001</v>
          </cell>
        </row>
        <row r="270">
          <cell r="A270">
            <v>342</v>
          </cell>
          <cell r="B270">
            <v>40216</v>
          </cell>
          <cell r="D270">
            <v>1501</v>
          </cell>
          <cell r="E270">
            <v>1424.8</v>
          </cell>
          <cell r="G270" t="str">
            <v>Parcheo elaboración de fallos en vías urbanas y rurales del municipio de Medellín.</v>
          </cell>
          <cell r="H270" t="str">
            <v>2/2</v>
          </cell>
          <cell r="I270">
            <v>0</v>
          </cell>
          <cell r="J270">
            <v>129.4</v>
          </cell>
          <cell r="K270">
            <v>172.8</v>
          </cell>
          <cell r="L270">
            <v>287.39999999999998</v>
          </cell>
          <cell r="M270">
            <v>287.7</v>
          </cell>
          <cell r="N270">
            <v>288.5</v>
          </cell>
          <cell r="O270">
            <v>93.7</v>
          </cell>
          <cell r="P270">
            <v>69.5</v>
          </cell>
          <cell r="Q270">
            <v>95.8</v>
          </cell>
          <cell r="S270">
            <v>25</v>
          </cell>
          <cell r="T270" t="str">
            <v>1</v>
          </cell>
          <cell r="U270">
            <v>1228</v>
          </cell>
          <cell r="V270">
            <v>1229</v>
          </cell>
          <cell r="W270">
            <v>732.9</v>
          </cell>
          <cell r="Y270">
            <v>2.8</v>
          </cell>
          <cell r="Z270">
            <v>1234</v>
          </cell>
          <cell r="AA270">
            <v>1235</v>
          </cell>
          <cell r="AB270">
            <v>735.4</v>
          </cell>
          <cell r="AD270">
            <v>3</v>
          </cell>
          <cell r="AE270">
            <v>1233.0999999999999</v>
          </cell>
          <cell r="AF270">
            <v>1234.0999999999999</v>
          </cell>
          <cell r="AG270">
            <v>733.9</v>
          </cell>
          <cell r="AI270">
            <v>3.21</v>
          </cell>
          <cell r="AK270">
            <v>1561.1760100000001</v>
          </cell>
          <cell r="AM270">
            <v>1792.6501799999999</v>
          </cell>
          <cell r="AO270">
            <v>1582.5899200000001</v>
          </cell>
          <cell r="AP270" t="str">
            <v>Muestra tomada en la volqueta</v>
          </cell>
          <cell r="AQ270" t="str">
            <v>-</v>
          </cell>
          <cell r="AR270">
            <v>1741</v>
          </cell>
          <cell r="AS270">
            <v>3</v>
          </cell>
          <cell r="AV270">
            <v>2.4629405294463789</v>
          </cell>
          <cell r="BS270">
            <v>2.5880000000000001</v>
          </cell>
        </row>
        <row r="271">
          <cell r="A271">
            <v>343</v>
          </cell>
          <cell r="B271">
            <v>40217</v>
          </cell>
          <cell r="D271">
            <v>1500.9</v>
          </cell>
          <cell r="E271">
            <v>1422.9</v>
          </cell>
          <cell r="G271" t="str">
            <v>Parcheo elaboración de fallos en vías urbanas y rurales del municipio de Medellín.</v>
          </cell>
          <cell r="H271" t="str">
            <v>1/2</v>
          </cell>
          <cell r="I271">
            <v>0</v>
          </cell>
          <cell r="J271">
            <v>125.2</v>
          </cell>
          <cell r="K271">
            <v>153.30000000000001</v>
          </cell>
          <cell r="L271">
            <v>309.8</v>
          </cell>
          <cell r="M271">
            <v>333.6</v>
          </cell>
          <cell r="N271">
            <v>249</v>
          </cell>
          <cell r="O271">
            <v>77.7</v>
          </cell>
          <cell r="P271">
            <v>72</v>
          </cell>
          <cell r="Q271">
            <v>102.3</v>
          </cell>
          <cell r="S271">
            <v>25</v>
          </cell>
          <cell r="T271" t="str">
            <v>1</v>
          </cell>
          <cell r="U271">
            <v>1235.8</v>
          </cell>
          <cell r="V271">
            <v>1236.8</v>
          </cell>
          <cell r="W271">
            <v>740.7</v>
          </cell>
          <cell r="Y271">
            <v>3</v>
          </cell>
          <cell r="Z271">
            <v>1234.5</v>
          </cell>
          <cell r="AA271">
            <v>1235.7</v>
          </cell>
          <cell r="AB271">
            <v>738</v>
          </cell>
          <cell r="AD271">
            <v>3.1</v>
          </cell>
          <cell r="AE271">
            <v>1233.8</v>
          </cell>
          <cell r="AF271">
            <v>1235.5</v>
          </cell>
          <cell r="AG271">
            <v>735.6</v>
          </cell>
          <cell r="AI271">
            <v>3.6</v>
          </cell>
          <cell r="AK271">
            <v>1873.2072700000001</v>
          </cell>
          <cell r="AM271">
            <v>1859.9510399999999</v>
          </cell>
          <cell r="AO271">
            <v>1614.20093</v>
          </cell>
          <cell r="AP271" t="str">
            <v>Muestra tomada en el elevador</v>
          </cell>
          <cell r="AR271">
            <v>1892</v>
          </cell>
          <cell r="AS271">
            <v>3.2</v>
          </cell>
          <cell r="AV271">
            <v>2.4725909676213997</v>
          </cell>
          <cell r="BS271">
            <v>2.5939999999999999</v>
          </cell>
        </row>
        <row r="272">
          <cell r="A272">
            <v>344</v>
          </cell>
          <cell r="B272">
            <v>40217</v>
          </cell>
          <cell r="D272">
            <v>1501</v>
          </cell>
          <cell r="E272">
            <v>1428.1</v>
          </cell>
          <cell r="G272" t="str">
            <v>Parcheo elaboración de fallos en vías urbanas y rurales del municipio de Medellín.</v>
          </cell>
          <cell r="H272" t="str">
            <v>2/2</v>
          </cell>
          <cell r="I272">
            <v>0</v>
          </cell>
          <cell r="J272">
            <v>166.5</v>
          </cell>
          <cell r="K272">
            <v>126</v>
          </cell>
          <cell r="L272">
            <v>335.6</v>
          </cell>
          <cell r="M272">
            <v>307.8</v>
          </cell>
          <cell r="N272">
            <v>252.3</v>
          </cell>
          <cell r="O272">
            <v>88.7</v>
          </cell>
          <cell r="P272">
            <v>66.099999999999994</v>
          </cell>
          <cell r="Q272">
            <v>85.1</v>
          </cell>
          <cell r="S272">
            <v>25</v>
          </cell>
          <cell r="T272" t="str">
            <v>1</v>
          </cell>
          <cell r="U272">
            <v>1224.8</v>
          </cell>
          <cell r="V272">
            <v>1227.0999999999999</v>
          </cell>
          <cell r="W272">
            <v>726.8</v>
          </cell>
          <cell r="Y272">
            <v>3.1</v>
          </cell>
          <cell r="Z272">
            <v>1235.2</v>
          </cell>
          <cell r="AA272">
            <v>1236.8</v>
          </cell>
          <cell r="AB272">
            <v>734.5</v>
          </cell>
          <cell r="AD272">
            <v>3.1</v>
          </cell>
          <cell r="AE272">
            <v>1234.8</v>
          </cell>
          <cell r="AF272">
            <v>1236.3</v>
          </cell>
          <cell r="AG272">
            <v>732.2</v>
          </cell>
          <cell r="AI272">
            <v>3.3</v>
          </cell>
          <cell r="AK272">
            <v>1451.0473300000001</v>
          </cell>
          <cell r="AM272">
            <v>1600.9447</v>
          </cell>
          <cell r="AO272">
            <v>1483.6780500000002</v>
          </cell>
          <cell r="AP272" t="str">
            <v>Muestra tomada en la volqueta</v>
          </cell>
          <cell r="AR272">
            <v>1581</v>
          </cell>
          <cell r="AS272">
            <v>3.2</v>
          </cell>
          <cell r="AV272">
            <v>2.4450716186828267</v>
          </cell>
          <cell r="BS272">
            <v>2.5939999999999999</v>
          </cell>
        </row>
        <row r="273">
          <cell r="A273">
            <v>345</v>
          </cell>
          <cell r="B273">
            <v>40218</v>
          </cell>
          <cell r="D273">
            <v>1500.5</v>
          </cell>
          <cell r="E273">
            <v>1424.5</v>
          </cell>
          <cell r="G273" t="str">
            <v>Parcheo elaboración de fallos en vías urbanas y rurales del municipio de Medellín.</v>
          </cell>
          <cell r="H273" t="str">
            <v>1/2</v>
          </cell>
          <cell r="I273">
            <v>0</v>
          </cell>
          <cell r="J273">
            <v>195.3</v>
          </cell>
          <cell r="K273">
            <v>194.4</v>
          </cell>
          <cell r="L273">
            <v>249.1</v>
          </cell>
          <cell r="M273">
            <v>314</v>
          </cell>
          <cell r="N273">
            <v>241.6</v>
          </cell>
          <cell r="O273">
            <v>75.5</v>
          </cell>
          <cell r="P273">
            <v>70.099999999999994</v>
          </cell>
          <cell r="Q273">
            <v>84.5</v>
          </cell>
          <cell r="S273">
            <v>25</v>
          </cell>
          <cell r="T273" t="str">
            <v>1</v>
          </cell>
          <cell r="U273">
            <v>1234.4000000000001</v>
          </cell>
          <cell r="V273">
            <v>1235.0999999999999</v>
          </cell>
          <cell r="W273">
            <v>740.9</v>
          </cell>
          <cell r="Y273">
            <v>3.5</v>
          </cell>
          <cell r="Z273">
            <v>1235.0999999999999</v>
          </cell>
          <cell r="AA273">
            <v>1235.8</v>
          </cell>
          <cell r="AB273">
            <v>736.3</v>
          </cell>
          <cell r="AD273">
            <v>3.4</v>
          </cell>
          <cell r="AE273">
            <v>1234.7</v>
          </cell>
          <cell r="AF273">
            <v>1235.7</v>
          </cell>
          <cell r="AG273">
            <v>738</v>
          </cell>
          <cell r="AI273">
            <v>3.4</v>
          </cell>
          <cell r="AK273">
            <v>1851.7933600000001</v>
          </cell>
          <cell r="AM273">
            <v>1681.5017899999998</v>
          </cell>
          <cell r="AO273">
            <v>1798.7684400000001</v>
          </cell>
          <cell r="AP273" t="str">
            <v>Muestra tomada en el elevador</v>
          </cell>
          <cell r="AR273">
            <v>1891</v>
          </cell>
          <cell r="AS273">
            <v>3.4</v>
          </cell>
          <cell r="AV273">
            <v>2.4764878852584329</v>
          </cell>
          <cell r="BS273">
            <v>2.5979999999999999</v>
          </cell>
        </row>
        <row r="274">
          <cell r="A274">
            <v>346</v>
          </cell>
          <cell r="B274">
            <v>40218</v>
          </cell>
          <cell r="D274">
            <v>1500.9</v>
          </cell>
          <cell r="E274">
            <v>1427.7</v>
          </cell>
          <cell r="G274" t="str">
            <v>Parcheo elaboración de fallos en vías urbanas y rurales del municipio de Medellín.</v>
          </cell>
          <cell r="H274" t="str">
            <v>2/2</v>
          </cell>
          <cell r="I274">
            <v>0</v>
          </cell>
          <cell r="J274">
            <v>217</v>
          </cell>
          <cell r="K274">
            <v>186.7</v>
          </cell>
          <cell r="L274">
            <v>208.9</v>
          </cell>
          <cell r="M274">
            <v>296.89999999999998</v>
          </cell>
          <cell r="N274">
            <v>274</v>
          </cell>
          <cell r="O274">
            <v>80.2</v>
          </cell>
          <cell r="P274">
            <v>71.900000000000006</v>
          </cell>
          <cell r="Q274">
            <v>92.1</v>
          </cell>
          <cell r="S274">
            <v>25</v>
          </cell>
          <cell r="T274" t="str">
            <v>1</v>
          </cell>
          <cell r="U274">
            <v>1231.9000000000001</v>
          </cell>
          <cell r="V274">
            <v>1233.8</v>
          </cell>
          <cell r="W274">
            <v>734.8</v>
          </cell>
          <cell r="Y274">
            <v>2.9</v>
          </cell>
          <cell r="Z274">
            <v>1233.8</v>
          </cell>
          <cell r="AA274">
            <v>1234.2</v>
          </cell>
          <cell r="AB274">
            <v>736.3</v>
          </cell>
          <cell r="AD274">
            <v>3.6</v>
          </cell>
          <cell r="AE274">
            <v>1237.8</v>
          </cell>
          <cell r="AF274">
            <v>1238.5</v>
          </cell>
          <cell r="AG274">
            <v>736.4</v>
          </cell>
          <cell r="AI274">
            <v>3.1</v>
          </cell>
          <cell r="AK274">
            <v>1450.0276200000001</v>
          </cell>
          <cell r="AM274">
            <v>1871.1678500000003</v>
          </cell>
          <cell r="AO274">
            <v>1532.6241299999999</v>
          </cell>
          <cell r="AP274" t="str">
            <v>Muestra tomada en la volqueta</v>
          </cell>
          <cell r="AR274">
            <v>1707</v>
          </cell>
          <cell r="AS274">
            <v>3.2</v>
          </cell>
          <cell r="AV274">
            <v>2.4634370000173669</v>
          </cell>
          <cell r="BS274">
            <v>2.5979999999999999</v>
          </cell>
        </row>
        <row r="275">
          <cell r="A275">
            <v>347</v>
          </cell>
          <cell r="B275">
            <v>40219</v>
          </cell>
          <cell r="D275">
            <v>1500.1</v>
          </cell>
          <cell r="E275">
            <v>1427</v>
          </cell>
          <cell r="G275" t="str">
            <v>Parcheo elaboración de fallos en vías urbanas y rurales del municipio de Medellín.</v>
          </cell>
          <cell r="H275" t="str">
            <v>1/2</v>
          </cell>
          <cell r="I275">
            <v>0</v>
          </cell>
          <cell r="J275">
            <v>190.9</v>
          </cell>
          <cell r="K275">
            <v>193</v>
          </cell>
          <cell r="L275">
            <v>262.89999999999998</v>
          </cell>
          <cell r="M275">
            <v>300.39999999999998</v>
          </cell>
          <cell r="N275">
            <v>239.7</v>
          </cell>
          <cell r="O275">
            <v>77.7</v>
          </cell>
          <cell r="P275">
            <v>70.2</v>
          </cell>
          <cell r="Q275">
            <v>92.2</v>
          </cell>
          <cell r="S275">
            <v>25</v>
          </cell>
          <cell r="T275" t="str">
            <v>1</v>
          </cell>
          <cell r="U275">
            <v>1237.5999999999999</v>
          </cell>
          <cell r="V275">
            <v>1238.4000000000001</v>
          </cell>
          <cell r="W275">
            <v>742.2</v>
          </cell>
          <cell r="Y275">
            <v>3</v>
          </cell>
          <cell r="Z275">
            <v>1230.5</v>
          </cell>
          <cell r="AA275">
            <v>1232.3</v>
          </cell>
          <cell r="AB275">
            <v>732.9</v>
          </cell>
          <cell r="AD275">
            <v>3.6</v>
          </cell>
          <cell r="AE275">
            <v>1235.5</v>
          </cell>
          <cell r="AF275">
            <v>1236.9000000000001</v>
          </cell>
          <cell r="AG275">
            <v>735</v>
          </cell>
          <cell r="AI275">
            <v>3.2</v>
          </cell>
          <cell r="AK275">
            <v>1910.9365399999999</v>
          </cell>
          <cell r="AM275">
            <v>1625.4177400000001</v>
          </cell>
          <cell r="AO275">
            <v>1742.6843900000001</v>
          </cell>
          <cell r="AP275" t="str">
            <v>Muestra tomada en el elevador</v>
          </cell>
          <cell r="AR275">
            <v>1860</v>
          </cell>
          <cell r="AS275">
            <v>3.3</v>
          </cell>
          <cell r="AV275">
            <v>2.4660184281048059</v>
          </cell>
          <cell r="BS275">
            <v>2.5910000000000002</v>
          </cell>
        </row>
        <row r="276">
          <cell r="A276">
            <v>348</v>
          </cell>
          <cell r="B276">
            <v>40219</v>
          </cell>
          <cell r="D276">
            <v>1501.7</v>
          </cell>
          <cell r="E276">
            <v>1429.4</v>
          </cell>
          <cell r="G276" t="str">
            <v>Parcheo elaboración de fallos en vías urbanas y rurales del municipio de Medellín.</v>
          </cell>
          <cell r="H276" t="str">
            <v>2/2</v>
          </cell>
          <cell r="I276">
            <v>0</v>
          </cell>
          <cell r="J276">
            <v>209.4</v>
          </cell>
          <cell r="K276">
            <v>202</v>
          </cell>
          <cell r="L276">
            <v>255.9</v>
          </cell>
          <cell r="M276">
            <v>287.39999999999998</v>
          </cell>
          <cell r="N276">
            <v>241.8</v>
          </cell>
          <cell r="O276">
            <v>83.7</v>
          </cell>
          <cell r="P276">
            <v>62</v>
          </cell>
          <cell r="Q276">
            <v>87.2</v>
          </cell>
          <cell r="S276">
            <v>25</v>
          </cell>
          <cell r="T276" t="str">
            <v>1</v>
          </cell>
          <cell r="U276">
            <v>1234.4000000000001</v>
          </cell>
          <cell r="V276">
            <v>1235</v>
          </cell>
          <cell r="W276">
            <v>737.7</v>
          </cell>
          <cell r="Y276">
            <v>3.1</v>
          </cell>
          <cell r="Z276">
            <v>1233.7</v>
          </cell>
          <cell r="AA276">
            <v>1235.0999999999999</v>
          </cell>
          <cell r="AB276">
            <v>735.6</v>
          </cell>
          <cell r="AD276">
            <v>3.4</v>
          </cell>
          <cell r="AE276">
            <v>1232.2</v>
          </cell>
          <cell r="AF276">
            <v>1233</v>
          </cell>
          <cell r="AG276">
            <v>735.1</v>
          </cell>
          <cell r="AI276">
            <v>3.4</v>
          </cell>
          <cell r="AK276">
            <v>1742.6843900000001</v>
          </cell>
          <cell r="AM276">
            <v>1822.2217700000001</v>
          </cell>
          <cell r="AO276">
            <v>1758.9997499999999</v>
          </cell>
          <cell r="AP276" t="str">
            <v>Muestra tomada en la volqueta</v>
          </cell>
          <cell r="AR276">
            <v>1881</v>
          </cell>
          <cell r="AS276">
            <v>3.3</v>
          </cell>
          <cell r="AV276">
            <v>2.4683814392260786</v>
          </cell>
          <cell r="BS276">
            <v>2.5910000000000002</v>
          </cell>
        </row>
        <row r="277">
          <cell r="A277">
            <v>349</v>
          </cell>
          <cell r="B277">
            <v>40220</v>
          </cell>
          <cell r="D277">
            <v>1501.9</v>
          </cell>
          <cell r="E277">
            <v>1425.6</v>
          </cell>
          <cell r="G277" t="str">
            <v>Parcheo elaboración de fallos en vías urbanas y rurales del municipio de Medellín.</v>
          </cell>
          <cell r="H277" t="str">
            <v>1/2</v>
          </cell>
          <cell r="I277">
            <v>0</v>
          </cell>
          <cell r="J277">
            <v>161.5</v>
          </cell>
          <cell r="K277">
            <v>183.3</v>
          </cell>
          <cell r="L277">
            <v>289.60000000000002</v>
          </cell>
          <cell r="M277">
            <v>310.8</v>
          </cell>
          <cell r="N277">
            <v>235.1</v>
          </cell>
          <cell r="O277">
            <v>80.8</v>
          </cell>
          <cell r="P277">
            <v>72.599999999999994</v>
          </cell>
          <cell r="Q277">
            <v>91.9</v>
          </cell>
          <cell r="S277">
            <v>25</v>
          </cell>
          <cell r="T277" t="str">
            <v>1</v>
          </cell>
          <cell r="U277">
            <v>1236.2</v>
          </cell>
          <cell r="V277">
            <v>1236.8</v>
          </cell>
          <cell r="W277">
            <v>739.3</v>
          </cell>
          <cell r="Y277">
            <v>2.9</v>
          </cell>
          <cell r="Z277">
            <v>1231.2</v>
          </cell>
          <cell r="AA277">
            <v>1232.5</v>
          </cell>
          <cell r="AB277">
            <v>735.2</v>
          </cell>
          <cell r="AD277">
            <v>3</v>
          </cell>
          <cell r="AE277">
            <v>1233.9000000000001</v>
          </cell>
          <cell r="AF277">
            <v>1234.9000000000001</v>
          </cell>
          <cell r="AG277">
            <v>736</v>
          </cell>
          <cell r="AI277">
            <v>3</v>
          </cell>
          <cell r="AK277">
            <v>1809.9852500000002</v>
          </cell>
          <cell r="AM277">
            <v>1696.7974400000001</v>
          </cell>
          <cell r="AO277">
            <v>1474.5006600000002</v>
          </cell>
          <cell r="AP277" t="str">
            <v>Muestra tomada en el elevador</v>
          </cell>
          <cell r="AR277">
            <v>1762</v>
          </cell>
          <cell r="AS277">
            <v>3</v>
          </cell>
          <cell r="AV277">
            <v>2.470696812961795</v>
          </cell>
          <cell r="BS277">
            <v>2.5910000000000002</v>
          </cell>
        </row>
        <row r="278">
          <cell r="A278">
            <v>350</v>
          </cell>
          <cell r="B278">
            <v>40220</v>
          </cell>
          <cell r="D278">
            <v>1500.4</v>
          </cell>
          <cell r="E278">
            <v>1425.6</v>
          </cell>
          <cell r="G278" t="str">
            <v>Parcheo elaboración de fallos en vías urbanas y rurales del municipio de Medellín.</v>
          </cell>
          <cell r="H278" t="str">
            <v>2/2</v>
          </cell>
          <cell r="I278">
            <v>0</v>
          </cell>
          <cell r="J278">
            <v>195</v>
          </cell>
          <cell r="K278">
            <v>174.5</v>
          </cell>
          <cell r="L278">
            <v>277.5</v>
          </cell>
          <cell r="M278">
            <v>297.39999999999998</v>
          </cell>
          <cell r="N278">
            <v>246.3</v>
          </cell>
          <cell r="O278">
            <v>85.1</v>
          </cell>
          <cell r="P278">
            <v>62.3</v>
          </cell>
          <cell r="Q278">
            <v>87.5</v>
          </cell>
          <cell r="S278">
            <v>25</v>
          </cell>
          <cell r="T278" t="str">
            <v>1</v>
          </cell>
          <cell r="U278">
            <v>1232.4000000000001</v>
          </cell>
          <cell r="V278">
            <v>1233.3</v>
          </cell>
          <cell r="W278">
            <v>734.9</v>
          </cell>
          <cell r="Y278">
            <v>2.8</v>
          </cell>
          <cell r="Z278">
            <v>1230.8</v>
          </cell>
          <cell r="AA278">
            <v>1232.0999999999999</v>
          </cell>
          <cell r="AB278">
            <v>732.5</v>
          </cell>
          <cell r="AD278">
            <v>2.85</v>
          </cell>
          <cell r="AE278">
            <v>1235.0999999999999</v>
          </cell>
          <cell r="AF278">
            <v>1236</v>
          </cell>
          <cell r="AG278">
            <v>732.5</v>
          </cell>
          <cell r="AI278">
            <v>2.7</v>
          </cell>
          <cell r="AK278">
            <v>1543.84094</v>
          </cell>
          <cell r="AM278">
            <v>1523.4467400000001</v>
          </cell>
          <cell r="AO278">
            <v>1523.4467400000001</v>
          </cell>
          <cell r="AP278" t="str">
            <v>Muestra tomada en la volqueta</v>
          </cell>
          <cell r="AR278">
            <v>1610</v>
          </cell>
          <cell r="AS278">
            <v>2.8</v>
          </cell>
          <cell r="AV278">
            <v>2.4558995323641577</v>
          </cell>
          <cell r="BS278">
            <v>2.5910000000000002</v>
          </cell>
        </row>
        <row r="279">
          <cell r="A279">
            <v>351</v>
          </cell>
          <cell r="B279">
            <v>40221</v>
          </cell>
          <cell r="D279">
            <v>1500.4</v>
          </cell>
          <cell r="E279">
            <v>1428</v>
          </cell>
          <cell r="G279" t="str">
            <v>Parcheo elaboración de fallos en vías urbanas y rurales del municipio de Medellín.</v>
          </cell>
          <cell r="H279" t="str">
            <v>1/3</v>
          </cell>
          <cell r="I279">
            <v>0</v>
          </cell>
          <cell r="J279">
            <v>190.3</v>
          </cell>
          <cell r="K279">
            <v>194.8</v>
          </cell>
          <cell r="L279">
            <v>303.60000000000002</v>
          </cell>
          <cell r="M279">
            <v>292.2</v>
          </cell>
          <cell r="N279">
            <v>218</v>
          </cell>
          <cell r="O279">
            <v>75.099999999999994</v>
          </cell>
          <cell r="P279">
            <v>64.8</v>
          </cell>
          <cell r="Q279">
            <v>89.2</v>
          </cell>
          <cell r="S279">
            <v>25</v>
          </cell>
          <cell r="T279" t="str">
            <v>1</v>
          </cell>
          <cell r="U279">
            <v>1231.3</v>
          </cell>
          <cell r="V279">
            <v>1232.3</v>
          </cell>
          <cell r="W279">
            <v>733.6</v>
          </cell>
          <cell r="Y279">
            <v>3.3</v>
          </cell>
          <cell r="Z279">
            <v>1234.5</v>
          </cell>
          <cell r="AA279">
            <v>1235.7</v>
          </cell>
          <cell r="AB279">
            <v>735.6</v>
          </cell>
          <cell r="AD279">
            <v>3.3</v>
          </cell>
          <cell r="AE279">
            <v>1234.5</v>
          </cell>
          <cell r="AF279">
            <v>1235.3</v>
          </cell>
          <cell r="AG279">
            <v>735.9</v>
          </cell>
          <cell r="AI279">
            <v>3.14</v>
          </cell>
          <cell r="AK279">
            <v>1538.7423900000001</v>
          </cell>
          <cell r="AM279">
            <v>1595.8461500000001</v>
          </cell>
          <cell r="AO279">
            <v>1641.7331000000001</v>
          </cell>
          <cell r="AP279" t="str">
            <v>Muestra tomada en el elevador</v>
          </cell>
          <cell r="AR279">
            <v>1681</v>
          </cell>
          <cell r="AS279">
            <v>3.2</v>
          </cell>
          <cell r="AV279">
            <v>2.4626064481748791</v>
          </cell>
          <cell r="BS279">
            <v>2.5859999999999999</v>
          </cell>
        </row>
        <row r="280">
          <cell r="A280">
            <v>352</v>
          </cell>
          <cell r="B280">
            <v>40221</v>
          </cell>
          <cell r="D280">
            <v>1500.9</v>
          </cell>
          <cell r="E280">
            <v>1426.4</v>
          </cell>
          <cell r="G280" t="str">
            <v>Parcheo elaboración de fallos en vías urbanas y rurales del municipio de Medellín.</v>
          </cell>
          <cell r="H280" t="str">
            <v>2/3</v>
          </cell>
          <cell r="I280">
            <v>0</v>
          </cell>
          <cell r="J280">
            <v>185.4</v>
          </cell>
          <cell r="K280">
            <v>186.3</v>
          </cell>
          <cell r="L280">
            <v>319.89999999999998</v>
          </cell>
          <cell r="M280">
            <v>281.2</v>
          </cell>
          <cell r="N280">
            <v>223.2</v>
          </cell>
          <cell r="O280">
            <v>77.7</v>
          </cell>
          <cell r="P280">
            <v>70.599999999999994</v>
          </cell>
          <cell r="Q280">
            <v>82.1</v>
          </cell>
          <cell r="S280">
            <v>25</v>
          </cell>
          <cell r="T280" t="str">
            <v>1</v>
          </cell>
          <cell r="U280">
            <v>1229.8</v>
          </cell>
          <cell r="V280">
            <v>1231.3</v>
          </cell>
          <cell r="W280">
            <v>731.3</v>
          </cell>
          <cell r="Y280">
            <v>3</v>
          </cell>
          <cell r="Z280">
            <v>1229.0999999999999</v>
          </cell>
          <cell r="AA280">
            <v>1229.8</v>
          </cell>
          <cell r="AB280">
            <v>733</v>
          </cell>
          <cell r="AD280">
            <v>2.8</v>
          </cell>
          <cell r="AE280">
            <v>1236.2</v>
          </cell>
          <cell r="AF280">
            <v>1238</v>
          </cell>
          <cell r="AG280">
            <v>735.7</v>
          </cell>
          <cell r="AI280">
            <v>3.6</v>
          </cell>
          <cell r="AK280">
            <v>1455.12617</v>
          </cell>
          <cell r="AM280">
            <v>1601.96441</v>
          </cell>
          <cell r="AO280">
            <v>1689.6594700000001</v>
          </cell>
          <cell r="AP280" t="str">
            <v>Muestra tomada en la volqueta</v>
          </cell>
          <cell r="AR280">
            <v>1669</v>
          </cell>
          <cell r="AS280">
            <v>3.1</v>
          </cell>
          <cell r="AV280">
            <v>2.4576944392543081</v>
          </cell>
          <cell r="BS280">
            <v>2.5859999999999999</v>
          </cell>
        </row>
        <row r="281">
          <cell r="A281">
            <v>353</v>
          </cell>
          <cell r="B281">
            <v>40224</v>
          </cell>
          <cell r="D281">
            <v>1500.4</v>
          </cell>
          <cell r="E281">
            <v>1421.1</v>
          </cell>
          <cell r="G281" t="str">
            <v>Parcheo elaboración de fallos en vías urbanas y rurales del municipio de Medellín.</v>
          </cell>
          <cell r="H281" t="str">
            <v>1/2</v>
          </cell>
          <cell r="I281">
            <v>0</v>
          </cell>
          <cell r="J281">
            <v>155.5</v>
          </cell>
          <cell r="K281">
            <v>163.80000000000001</v>
          </cell>
          <cell r="L281">
            <v>328.9</v>
          </cell>
          <cell r="M281">
            <v>252.7</v>
          </cell>
          <cell r="N281">
            <v>267.2</v>
          </cell>
          <cell r="O281">
            <v>89.6</v>
          </cell>
          <cell r="P281">
            <v>74.5</v>
          </cell>
          <cell r="Q281">
            <v>88.9</v>
          </cell>
          <cell r="S281">
            <v>25</v>
          </cell>
          <cell r="T281" t="str">
            <v>1</v>
          </cell>
          <cell r="U281">
            <v>1235.9000000000001</v>
          </cell>
          <cell r="V281">
            <v>1237.4000000000001</v>
          </cell>
          <cell r="W281">
            <v>734.7</v>
          </cell>
          <cell r="Y281">
            <v>3.2</v>
          </cell>
          <cell r="Z281">
            <v>1236.5</v>
          </cell>
          <cell r="AA281">
            <v>1237.8</v>
          </cell>
          <cell r="AB281">
            <v>734.2</v>
          </cell>
          <cell r="AD281">
            <v>3.3</v>
          </cell>
          <cell r="AE281">
            <v>1234.5</v>
          </cell>
          <cell r="AF281">
            <v>1236.8</v>
          </cell>
          <cell r="AG281">
            <v>730.7</v>
          </cell>
          <cell r="AI281">
            <v>3.1</v>
          </cell>
          <cell r="AK281">
            <v>1511.2102200000002</v>
          </cell>
          <cell r="AM281">
            <v>1620.3191900000002</v>
          </cell>
          <cell r="AO281">
            <v>1421.4757400000001</v>
          </cell>
          <cell r="AP281" t="str">
            <v>Muestra tomada en el elevador</v>
          </cell>
          <cell r="AR281">
            <v>1578</v>
          </cell>
          <cell r="AS281">
            <v>3.2</v>
          </cell>
          <cell r="AV281">
            <v>2.4438597106295799</v>
          </cell>
          <cell r="BS281">
            <v>2.577</v>
          </cell>
        </row>
        <row r="282">
          <cell r="A282">
            <v>354</v>
          </cell>
          <cell r="B282">
            <v>40224</v>
          </cell>
          <cell r="D282">
            <v>1501</v>
          </cell>
          <cell r="E282">
            <v>1427</v>
          </cell>
          <cell r="G282" t="str">
            <v>Parcheo elaboración de fallos en vías urbanas y rurales del municipio de Medellín.</v>
          </cell>
          <cell r="H282" t="str">
            <v>2/2</v>
          </cell>
          <cell r="I282">
            <v>0</v>
          </cell>
          <cell r="J282">
            <v>156.4</v>
          </cell>
          <cell r="K282">
            <v>179</v>
          </cell>
          <cell r="L282">
            <v>314.60000000000002</v>
          </cell>
          <cell r="M282">
            <v>298.3</v>
          </cell>
          <cell r="N282">
            <v>240.6</v>
          </cell>
          <cell r="O282">
            <v>88.8</v>
          </cell>
          <cell r="P282">
            <v>63.5</v>
          </cell>
          <cell r="Q282">
            <v>85.8</v>
          </cell>
          <cell r="S282">
            <v>25</v>
          </cell>
          <cell r="T282" t="str">
            <v>1</v>
          </cell>
          <cell r="U282">
            <v>1236.7</v>
          </cell>
          <cell r="V282">
            <v>1237.3</v>
          </cell>
          <cell r="W282">
            <v>737.5</v>
          </cell>
          <cell r="Y282">
            <v>3.1</v>
          </cell>
          <cell r="Z282">
            <v>1233.0999999999999</v>
          </cell>
          <cell r="AA282">
            <v>1234.4000000000001</v>
          </cell>
          <cell r="AB282">
            <v>733.2</v>
          </cell>
          <cell r="AD282">
            <v>3</v>
          </cell>
          <cell r="AE282">
            <v>1232.5999999999999</v>
          </cell>
          <cell r="AF282">
            <v>1233.5999999999999</v>
          </cell>
          <cell r="AG282">
            <v>732.5</v>
          </cell>
          <cell r="AI282">
            <v>3.2</v>
          </cell>
          <cell r="AK282">
            <v>1648.8710700000001</v>
          </cell>
          <cell r="AM282">
            <v>1540.78181</v>
          </cell>
          <cell r="AO282">
            <v>1483.6780500000002</v>
          </cell>
          <cell r="AP282" t="str">
            <v>Muestra tomada en la volqueta</v>
          </cell>
          <cell r="AR282">
            <v>1638</v>
          </cell>
          <cell r="AS282">
            <v>3.1</v>
          </cell>
          <cell r="AV282">
            <v>2.4576148925183725</v>
          </cell>
          <cell r="BS282">
            <v>2.577</v>
          </cell>
        </row>
        <row r="283">
          <cell r="A283">
            <v>355</v>
          </cell>
          <cell r="B283">
            <v>40225</v>
          </cell>
          <cell r="D283">
            <v>1501.1</v>
          </cell>
          <cell r="E283">
            <v>1425.2</v>
          </cell>
          <cell r="G283" t="str">
            <v>Parcheo elaboración de fallos en vías urbanas y rurales del municipio de Medellín.</v>
          </cell>
          <cell r="H283" t="str">
            <v>1/2</v>
          </cell>
          <cell r="I283">
            <v>0</v>
          </cell>
          <cell r="J283">
            <v>172.1</v>
          </cell>
          <cell r="K283">
            <v>213.7</v>
          </cell>
          <cell r="L283">
            <v>282.2</v>
          </cell>
          <cell r="M283">
            <v>280.2</v>
          </cell>
          <cell r="N283">
            <v>237.2</v>
          </cell>
          <cell r="O283">
            <v>79.5</v>
          </cell>
          <cell r="P283">
            <v>73.8</v>
          </cell>
          <cell r="Q283">
            <v>86.5</v>
          </cell>
          <cell r="S283">
            <v>25</v>
          </cell>
          <cell r="T283" t="str">
            <v>1</v>
          </cell>
          <cell r="U283">
            <v>1230.7</v>
          </cell>
          <cell r="V283">
            <v>1232.2</v>
          </cell>
          <cell r="W283">
            <v>733.9</v>
          </cell>
          <cell r="Y283">
            <v>3</v>
          </cell>
          <cell r="Z283">
            <v>1227.5999999999999</v>
          </cell>
          <cell r="AA283">
            <v>1228.9000000000001</v>
          </cell>
          <cell r="AB283">
            <v>733</v>
          </cell>
          <cell r="AD283">
            <v>3.4</v>
          </cell>
          <cell r="AE283">
            <v>1229.7</v>
          </cell>
          <cell r="AF283">
            <v>1231.0999999999999</v>
          </cell>
          <cell r="AG283">
            <v>730.2</v>
          </cell>
          <cell r="AI283">
            <v>3.4</v>
          </cell>
          <cell r="AK283">
            <v>1663.1470099999999</v>
          </cell>
          <cell r="AM283">
            <v>1792.6501799999999</v>
          </cell>
          <cell r="AO283">
            <v>1460.2247200000002</v>
          </cell>
          <cell r="AP283" t="str">
            <v>Muestra tomada en el elevador</v>
          </cell>
          <cell r="AR283">
            <v>1737</v>
          </cell>
          <cell r="AS283">
            <v>3.3</v>
          </cell>
          <cell r="AV283">
            <v>2.4595438753498668</v>
          </cell>
          <cell r="BS283">
            <v>2.5737999999999999</v>
          </cell>
        </row>
        <row r="284">
          <cell r="A284">
            <v>356</v>
          </cell>
          <cell r="B284">
            <v>40225</v>
          </cell>
          <cell r="D284">
            <v>1501.3</v>
          </cell>
          <cell r="E284">
            <v>1426.8</v>
          </cell>
          <cell r="G284" t="str">
            <v>Parcheo elaboración de fallos en vías urbanas y rurales del municipio de Medellín.</v>
          </cell>
          <cell r="H284" t="str">
            <v>2/2</v>
          </cell>
          <cell r="I284">
            <v>0</v>
          </cell>
          <cell r="J284">
            <v>205.2</v>
          </cell>
          <cell r="K284">
            <v>160.30000000000001</v>
          </cell>
          <cell r="L284">
            <v>308.60000000000002</v>
          </cell>
          <cell r="M284">
            <v>285.8</v>
          </cell>
          <cell r="N284">
            <v>224.4</v>
          </cell>
          <cell r="O284">
            <v>79.7</v>
          </cell>
          <cell r="P284">
            <v>70.7</v>
          </cell>
          <cell r="Q284">
            <v>92.1</v>
          </cell>
          <cell r="S284">
            <v>25</v>
          </cell>
          <cell r="T284" t="str">
            <v>1</v>
          </cell>
          <cell r="U284">
            <v>1234.9000000000001</v>
          </cell>
          <cell r="V284">
            <v>1235.5</v>
          </cell>
          <cell r="W284">
            <v>739</v>
          </cell>
          <cell r="Y284">
            <v>3.1</v>
          </cell>
          <cell r="Z284">
            <v>1235</v>
          </cell>
          <cell r="AA284">
            <v>1235.8</v>
          </cell>
          <cell r="AB284">
            <v>734.5</v>
          </cell>
          <cell r="AD284">
            <v>3.1</v>
          </cell>
          <cell r="AE284">
            <v>1236.5999999999999</v>
          </cell>
          <cell r="AF284">
            <v>1237.8</v>
          </cell>
          <cell r="AG284">
            <v>738.4</v>
          </cell>
          <cell r="AI284">
            <v>3.1</v>
          </cell>
          <cell r="AK284">
            <v>1794.6896000000002</v>
          </cell>
          <cell r="AM284">
            <v>1422.4954499999999</v>
          </cell>
          <cell r="AO284">
            <v>1789.5910500000002</v>
          </cell>
          <cell r="AP284" t="str">
            <v>Muestra tomada en la volqueta</v>
          </cell>
          <cell r="AR284">
            <v>1765</v>
          </cell>
          <cell r="AS284">
            <v>3.1</v>
          </cell>
          <cell r="AV284">
            <v>2.4684175421803816</v>
          </cell>
          <cell r="BS284">
            <v>2.5785999999999998</v>
          </cell>
        </row>
        <row r="285">
          <cell r="A285">
            <v>357</v>
          </cell>
          <cell r="B285">
            <v>40226</v>
          </cell>
          <cell r="D285">
            <v>1501.1</v>
          </cell>
          <cell r="E285">
            <v>1429.5</v>
          </cell>
          <cell r="G285" t="str">
            <v>Parcheo elaboración de fallos en vías urbanas y rurales del municipio de Medellín.</v>
          </cell>
          <cell r="H285" t="str">
            <v>1/2</v>
          </cell>
          <cell r="I285">
            <v>0</v>
          </cell>
          <cell r="J285">
            <v>218.8</v>
          </cell>
          <cell r="K285">
            <v>196.1</v>
          </cell>
          <cell r="L285">
            <v>297.60000000000002</v>
          </cell>
          <cell r="M285">
            <v>269</v>
          </cell>
          <cell r="N285">
            <v>216.7</v>
          </cell>
          <cell r="O285">
            <v>78.599999999999994</v>
          </cell>
          <cell r="P285">
            <v>68</v>
          </cell>
          <cell r="Q285">
            <v>84.7</v>
          </cell>
          <cell r="S285">
            <v>25</v>
          </cell>
          <cell r="T285" t="str">
            <v>1</v>
          </cell>
          <cell r="U285">
            <v>1234.5</v>
          </cell>
          <cell r="V285">
            <v>1235.0999999999999</v>
          </cell>
          <cell r="W285">
            <v>734.4</v>
          </cell>
          <cell r="Y285">
            <v>3.2</v>
          </cell>
          <cell r="Z285">
            <v>1237.3</v>
          </cell>
          <cell r="AA285">
            <v>1238.0999999999999</v>
          </cell>
          <cell r="AB285">
            <v>734.2</v>
          </cell>
          <cell r="AD285">
            <v>3.1</v>
          </cell>
          <cell r="AE285">
            <v>1232.4000000000001</v>
          </cell>
          <cell r="AF285">
            <v>1234.5</v>
          </cell>
          <cell r="AG285">
            <v>729.7</v>
          </cell>
          <cell r="AI285">
            <v>3</v>
          </cell>
          <cell r="AK285">
            <v>1880.3452400000001</v>
          </cell>
          <cell r="AM285">
            <v>1643.7725200000002</v>
          </cell>
          <cell r="AO285">
            <v>1560.1563000000001</v>
          </cell>
          <cell r="AP285" t="str">
            <v>Muestra tomada en el elevador</v>
          </cell>
          <cell r="AR285">
            <v>1768</v>
          </cell>
          <cell r="AS285">
            <v>3.1</v>
          </cell>
          <cell r="AV285">
            <v>2.4469412529443235</v>
          </cell>
          <cell r="BS285">
            <v>2.5720000000000001</v>
          </cell>
        </row>
        <row r="286">
          <cell r="A286">
            <v>358</v>
          </cell>
          <cell r="B286">
            <v>40226</v>
          </cell>
          <cell r="D286">
            <v>1501.9</v>
          </cell>
          <cell r="E286">
            <v>1432.5</v>
          </cell>
          <cell r="G286" t="str">
            <v>Parcheo elaboración de fallos en vías urbanas y rurales del municipio de Medellín.</v>
          </cell>
          <cell r="H286" t="str">
            <v>2/2</v>
          </cell>
          <cell r="I286">
            <v>0</v>
          </cell>
          <cell r="J286">
            <v>146.19999999999999</v>
          </cell>
          <cell r="K286">
            <v>199.6</v>
          </cell>
          <cell r="L286">
            <v>356.2</v>
          </cell>
          <cell r="M286">
            <v>278.5</v>
          </cell>
          <cell r="N286">
            <v>214.6</v>
          </cell>
          <cell r="O286">
            <v>84.8</v>
          </cell>
          <cell r="P286">
            <v>66.3</v>
          </cell>
          <cell r="Q286">
            <v>86.3</v>
          </cell>
          <cell r="S286">
            <v>25</v>
          </cell>
          <cell r="T286" t="str">
            <v>1</v>
          </cell>
          <cell r="U286">
            <v>1233.8</v>
          </cell>
          <cell r="V286">
            <v>1235.2</v>
          </cell>
          <cell r="W286">
            <v>733.9</v>
          </cell>
          <cell r="Y286">
            <v>3.3</v>
          </cell>
          <cell r="Z286">
            <v>1235.8</v>
          </cell>
          <cell r="AA286">
            <v>1237.5</v>
          </cell>
          <cell r="AB286">
            <v>731.2</v>
          </cell>
          <cell r="AD286">
            <v>3</v>
          </cell>
          <cell r="AE286">
            <v>1229.2</v>
          </cell>
          <cell r="AF286">
            <v>1231.5</v>
          </cell>
          <cell r="AG286">
            <v>730</v>
          </cell>
          <cell r="AI286">
            <v>3.6</v>
          </cell>
          <cell r="AK286">
            <v>1865.0495900000001</v>
          </cell>
          <cell r="AM286">
            <v>1605.0235400000001</v>
          </cell>
          <cell r="AO286">
            <v>1687.6200500000002</v>
          </cell>
          <cell r="AP286" t="str">
            <v>Muestra tomada en la volqueta</v>
          </cell>
          <cell r="AR286">
            <v>1794</v>
          </cell>
          <cell r="AS286">
            <v>3.3</v>
          </cell>
          <cell r="AV286">
            <v>2.4438617628238011</v>
          </cell>
          <cell r="BS286">
            <v>2.5720000000000001</v>
          </cell>
        </row>
        <row r="287">
          <cell r="A287">
            <v>359</v>
          </cell>
          <cell r="B287">
            <v>40227</v>
          </cell>
          <cell r="D287">
            <v>1501</v>
          </cell>
          <cell r="E287">
            <v>1422.3</v>
          </cell>
          <cell r="G287" t="str">
            <v>Parcheo elaboración de fallos en vías urbanas y rurales del municipio de Medellín.</v>
          </cell>
          <cell r="H287" t="str">
            <v>1/2</v>
          </cell>
          <cell r="I287">
            <v>0</v>
          </cell>
          <cell r="J287">
            <v>153.1</v>
          </cell>
          <cell r="K287">
            <v>219.1</v>
          </cell>
          <cell r="L287">
            <v>263.60000000000002</v>
          </cell>
          <cell r="M287">
            <v>298.5</v>
          </cell>
          <cell r="N287">
            <v>248.2</v>
          </cell>
          <cell r="O287">
            <v>86.9</v>
          </cell>
          <cell r="P287">
            <v>65</v>
          </cell>
          <cell r="Q287">
            <v>87.9</v>
          </cell>
          <cell r="S287">
            <v>25</v>
          </cell>
          <cell r="T287" t="str">
            <v>1</v>
          </cell>
          <cell r="U287">
            <v>1232.9000000000001</v>
          </cell>
          <cell r="V287">
            <v>1235.3</v>
          </cell>
          <cell r="W287">
            <v>733.4</v>
          </cell>
          <cell r="Y287">
            <v>3</v>
          </cell>
          <cell r="Z287">
            <v>1230.3</v>
          </cell>
          <cell r="AA287">
            <v>1233.8</v>
          </cell>
          <cell r="AB287">
            <v>730.9</v>
          </cell>
          <cell r="AD287">
            <v>3.7</v>
          </cell>
          <cell r="AE287">
            <v>1229.0999999999999</v>
          </cell>
          <cell r="AF287">
            <v>1230.8</v>
          </cell>
          <cell r="AG287">
            <v>729.7</v>
          </cell>
          <cell r="AI287">
            <v>3.5</v>
          </cell>
          <cell r="AK287">
            <v>1711.0733800000003</v>
          </cell>
          <cell r="AM287">
            <v>1480.6189200000001</v>
          </cell>
          <cell r="AO287">
            <v>1501.0131200000001</v>
          </cell>
          <cell r="AP287" t="str">
            <v>Muestra tomada en el elevador</v>
          </cell>
          <cell r="AR287">
            <v>1638</v>
          </cell>
          <cell r="AS287">
            <v>3.4</v>
          </cell>
          <cell r="AV287">
            <v>2.4447215719855691</v>
          </cell>
          <cell r="BS287">
            <v>2.581</v>
          </cell>
        </row>
        <row r="288">
          <cell r="A288">
            <v>360</v>
          </cell>
          <cell r="B288">
            <v>40227</v>
          </cell>
          <cell r="D288">
            <v>1500.8</v>
          </cell>
          <cell r="E288">
            <v>1430</v>
          </cell>
          <cell r="G288" t="str">
            <v>Parcheo elaboración de fallos en vías urbanas y rurales del municipio de Medellín.</v>
          </cell>
          <cell r="H288" t="str">
            <v>2/2</v>
          </cell>
          <cell r="I288">
            <v>0</v>
          </cell>
          <cell r="J288">
            <v>173.6</v>
          </cell>
          <cell r="K288">
            <v>250.5</v>
          </cell>
          <cell r="L288">
            <v>277</v>
          </cell>
          <cell r="M288">
            <v>244.8</v>
          </cell>
          <cell r="N288">
            <v>227</v>
          </cell>
          <cell r="O288">
            <v>87.3</v>
          </cell>
          <cell r="P288">
            <v>69.5</v>
          </cell>
          <cell r="Q288">
            <v>100.3</v>
          </cell>
          <cell r="S288">
            <v>25</v>
          </cell>
          <cell r="T288" t="str">
            <v>1</v>
          </cell>
          <cell r="U288">
            <v>1237</v>
          </cell>
          <cell r="V288">
            <v>1237.7</v>
          </cell>
          <cell r="W288">
            <v>741.3</v>
          </cell>
          <cell r="Y288">
            <v>3.2</v>
          </cell>
          <cell r="Z288">
            <v>1233.5999999999999</v>
          </cell>
          <cell r="AA288">
            <v>1235.2</v>
          </cell>
          <cell r="AB288">
            <v>735.8</v>
          </cell>
          <cell r="AD288">
            <v>3.6</v>
          </cell>
          <cell r="AE288">
            <v>1235.0999999999999</v>
          </cell>
          <cell r="AF288">
            <v>1236.2</v>
          </cell>
          <cell r="AG288">
            <v>738.9</v>
          </cell>
          <cell r="AI288">
            <v>3.5</v>
          </cell>
          <cell r="AK288">
            <v>1890.54234</v>
          </cell>
          <cell r="AM288">
            <v>1753.9012</v>
          </cell>
          <cell r="AO288">
            <v>1956.8234900000002</v>
          </cell>
          <cell r="AP288" t="str">
            <v>Muestra tomada en la volqueta</v>
          </cell>
          <cell r="AR288">
            <v>1983</v>
          </cell>
          <cell r="AS288">
            <v>3.4</v>
          </cell>
          <cell r="AV288">
            <v>2.4746463190673507</v>
          </cell>
          <cell r="BS288">
            <v>2.581</v>
          </cell>
        </row>
        <row r="289">
          <cell r="A289">
            <v>361</v>
          </cell>
          <cell r="B289">
            <v>40228</v>
          </cell>
          <cell r="D289">
            <v>1500.6</v>
          </cell>
          <cell r="E289">
            <v>1426.6</v>
          </cell>
          <cell r="G289" t="str">
            <v>Parcheo elaboración de fallos en vías urbanas y rurales del municipio de Medellín.</v>
          </cell>
          <cell r="H289" t="str">
            <v>1/2</v>
          </cell>
          <cell r="I289">
            <v>0</v>
          </cell>
          <cell r="J289">
            <v>172.6</v>
          </cell>
          <cell r="K289">
            <v>193.8</v>
          </cell>
          <cell r="L289">
            <v>312</v>
          </cell>
          <cell r="M289">
            <v>279.8</v>
          </cell>
          <cell r="N289">
            <v>227.1</v>
          </cell>
          <cell r="O289">
            <v>78.400000000000006</v>
          </cell>
          <cell r="P289">
            <v>73.7</v>
          </cell>
          <cell r="Q289">
            <v>89.2</v>
          </cell>
          <cell r="S289">
            <v>25</v>
          </cell>
          <cell r="T289" t="str">
            <v>1</v>
          </cell>
          <cell r="U289">
            <v>1234.7</v>
          </cell>
          <cell r="V289">
            <v>1235.5</v>
          </cell>
          <cell r="W289">
            <v>735.6</v>
          </cell>
          <cell r="Y289">
            <v>3.6</v>
          </cell>
          <cell r="Z289">
            <v>1232.0999999999999</v>
          </cell>
          <cell r="AA289">
            <v>1233.2</v>
          </cell>
          <cell r="AB289">
            <v>733.1</v>
          </cell>
          <cell r="AD289">
            <v>3.5</v>
          </cell>
          <cell r="AE289">
            <v>1228.5999999999999</v>
          </cell>
          <cell r="AF289">
            <v>1229.5999999999999</v>
          </cell>
          <cell r="AG289">
            <v>731</v>
          </cell>
          <cell r="AI289">
            <v>3.4</v>
          </cell>
          <cell r="AK289">
            <v>1625.4177400000001</v>
          </cell>
          <cell r="AM289">
            <v>1487.7568900000001</v>
          </cell>
          <cell r="AO289">
            <v>1738.6055500000002</v>
          </cell>
          <cell r="AP289" t="str">
            <v>Muestra tomada en el elevador</v>
          </cell>
          <cell r="AR289">
            <v>1707</v>
          </cell>
          <cell r="AS289">
            <v>3.5</v>
          </cell>
          <cell r="AV289">
            <v>2.458687480430001</v>
          </cell>
          <cell r="BS289">
            <v>2.5760000000000001</v>
          </cell>
        </row>
        <row r="290">
          <cell r="A290">
            <v>362</v>
          </cell>
          <cell r="B290">
            <v>40228</v>
          </cell>
          <cell r="D290">
            <v>1500.8</v>
          </cell>
          <cell r="E290">
            <v>1427.9</v>
          </cell>
          <cell r="G290" t="str">
            <v>Parcheo elaboración de fallos en vías urbanas y rurales del municipio de Medellín.</v>
          </cell>
          <cell r="H290" t="str">
            <v>2/2</v>
          </cell>
          <cell r="I290">
            <v>0</v>
          </cell>
          <cell r="J290">
            <v>253.9</v>
          </cell>
          <cell r="K290">
            <v>195.8</v>
          </cell>
          <cell r="L290">
            <v>210.1</v>
          </cell>
          <cell r="M290">
            <v>284.2</v>
          </cell>
          <cell r="N290">
            <v>245.3</v>
          </cell>
          <cell r="O290">
            <v>85</v>
          </cell>
          <cell r="P290">
            <v>63.8</v>
          </cell>
          <cell r="Q290">
            <v>89.8</v>
          </cell>
          <cell r="S290">
            <v>25</v>
          </cell>
          <cell r="T290" t="str">
            <v>1</v>
          </cell>
          <cell r="U290">
            <v>1232.7</v>
          </cell>
          <cell r="V290">
            <v>1233</v>
          </cell>
          <cell r="W290">
            <v>738.2</v>
          </cell>
          <cell r="Y290">
            <v>3.1</v>
          </cell>
          <cell r="Z290">
            <v>1338.3</v>
          </cell>
          <cell r="AA290">
            <v>1328.9</v>
          </cell>
          <cell r="AB290">
            <v>792.66</v>
          </cell>
          <cell r="AD290">
            <v>3.5</v>
          </cell>
          <cell r="AE290">
            <v>1233</v>
          </cell>
          <cell r="AF290">
            <v>1233.5999999999999</v>
          </cell>
          <cell r="AG290">
            <v>736.3</v>
          </cell>
          <cell r="AI290">
            <v>3.5</v>
          </cell>
          <cell r="AK290">
            <v>1629.49658</v>
          </cell>
          <cell r="AM290">
            <v>1939.4884200000001</v>
          </cell>
          <cell r="AO290">
            <v>1718.2113500000003</v>
          </cell>
          <cell r="AP290" t="str">
            <v>Muestra tomada en la volqueta</v>
          </cell>
          <cell r="AR290">
            <v>1798</v>
          </cell>
          <cell r="AS290">
            <v>3.4</v>
          </cell>
          <cell r="AV290">
            <v>2.4815233159518697</v>
          </cell>
          <cell r="BS290">
            <v>2.5760000000000001</v>
          </cell>
        </row>
        <row r="291">
          <cell r="A291">
            <v>363</v>
          </cell>
          <cell r="B291">
            <v>40229</v>
          </cell>
          <cell r="D291">
            <v>1501.1</v>
          </cell>
          <cell r="E291">
            <v>1422.3</v>
          </cell>
          <cell r="G291" t="str">
            <v>Parcheo elaboración de fallos en vías urbanas y rurales del municipio de Medellín.</v>
          </cell>
          <cell r="H291" t="str">
            <v>1/2</v>
          </cell>
          <cell r="I291">
            <v>0</v>
          </cell>
          <cell r="J291">
            <v>144.4</v>
          </cell>
          <cell r="K291">
            <v>175.6</v>
          </cell>
          <cell r="L291">
            <v>267.7</v>
          </cell>
          <cell r="M291">
            <v>333.3</v>
          </cell>
          <cell r="N291">
            <v>242.1</v>
          </cell>
          <cell r="O291">
            <v>82.7</v>
          </cell>
          <cell r="P291">
            <v>78.900000000000006</v>
          </cell>
          <cell r="Q291">
            <v>97.6</v>
          </cell>
          <cell r="S291">
            <v>25</v>
          </cell>
          <cell r="T291" t="str">
            <v>1</v>
          </cell>
          <cell r="U291">
            <v>1235.5</v>
          </cell>
          <cell r="V291">
            <v>1239.4000000000001</v>
          </cell>
          <cell r="W291">
            <v>738.7</v>
          </cell>
          <cell r="Y291">
            <v>3.2</v>
          </cell>
          <cell r="Z291">
            <v>1237.2</v>
          </cell>
          <cell r="AA291">
            <v>1238.4000000000001</v>
          </cell>
          <cell r="AB291">
            <v>737.5</v>
          </cell>
          <cell r="AD291">
            <v>3.1</v>
          </cell>
          <cell r="AE291">
            <v>1234.7</v>
          </cell>
          <cell r="AF291">
            <v>1236.0999999999999</v>
          </cell>
          <cell r="AG291">
            <v>734.7</v>
          </cell>
          <cell r="AI291">
            <v>3.2</v>
          </cell>
          <cell r="AK291">
            <v>1955.80378</v>
          </cell>
          <cell r="AM291">
            <v>1723.3099</v>
          </cell>
          <cell r="AO291">
            <v>1904.81828</v>
          </cell>
          <cell r="AP291" t="str">
            <v>Muestra tomada en el elevador</v>
          </cell>
          <cell r="AR291">
            <v>1955</v>
          </cell>
          <cell r="AS291">
            <v>3.2</v>
          </cell>
          <cell r="AV291">
            <v>2.4594531639673392</v>
          </cell>
          <cell r="BS291">
            <v>2.573</v>
          </cell>
        </row>
        <row r="292">
          <cell r="A292">
            <v>364</v>
          </cell>
          <cell r="B292">
            <v>40229</v>
          </cell>
          <cell r="D292">
            <v>1501</v>
          </cell>
          <cell r="E292">
            <v>1424.2</v>
          </cell>
          <cell r="G292" t="str">
            <v>Parcheo elaboración de fallos en vías urbanas y rurales del municipio de Medellín.</v>
          </cell>
          <cell r="H292" t="str">
            <v>2/2</v>
          </cell>
          <cell r="I292">
            <v>0</v>
          </cell>
          <cell r="J292">
            <v>174.1</v>
          </cell>
          <cell r="K292">
            <v>197.4</v>
          </cell>
          <cell r="L292">
            <v>258.39999999999998</v>
          </cell>
          <cell r="M292">
            <v>324</v>
          </cell>
          <cell r="N292">
            <v>241.7</v>
          </cell>
          <cell r="O292">
            <v>82.3</v>
          </cell>
          <cell r="P292">
            <v>63.2</v>
          </cell>
          <cell r="Q292">
            <v>83.1</v>
          </cell>
          <cell r="S292">
            <v>25</v>
          </cell>
          <cell r="T292" t="str">
            <v>1</v>
          </cell>
          <cell r="U292">
            <v>1234.0999999999999</v>
          </cell>
          <cell r="V292">
            <v>1235.2</v>
          </cell>
          <cell r="W292">
            <v>729.2</v>
          </cell>
          <cell r="Y292">
            <v>3.5</v>
          </cell>
          <cell r="Z292">
            <v>1234.2</v>
          </cell>
          <cell r="AA292">
            <v>1235.5999999999999</v>
          </cell>
          <cell r="AB292">
            <v>729.7</v>
          </cell>
          <cell r="AD292">
            <v>3.7</v>
          </cell>
          <cell r="AE292">
            <v>1230</v>
          </cell>
          <cell r="AF292">
            <v>1232.5999999999999</v>
          </cell>
          <cell r="AG292">
            <v>723.7</v>
          </cell>
          <cell r="AI292">
            <v>3.6</v>
          </cell>
          <cell r="AK292">
            <v>1636.6345500000002</v>
          </cell>
          <cell r="AM292">
            <v>1673.34411</v>
          </cell>
          <cell r="AO292">
            <v>1462.26414</v>
          </cell>
          <cell r="AP292" t="str">
            <v>Muestra tomada en la volqueta</v>
          </cell>
          <cell r="AR292">
            <v>1639</v>
          </cell>
          <cell r="AS292">
            <v>3.6</v>
          </cell>
          <cell r="AV292">
            <v>2.4247279226471856</v>
          </cell>
          <cell r="BS292">
            <v>2.573</v>
          </cell>
        </row>
        <row r="293">
          <cell r="A293">
            <v>365</v>
          </cell>
          <cell r="B293">
            <v>40230</v>
          </cell>
          <cell r="D293">
            <v>1501.1</v>
          </cell>
          <cell r="E293">
            <v>1423.3</v>
          </cell>
          <cell r="G293" t="str">
            <v>Parcheo elaboración de fallos en vías urbanas y rurales del municipio de Medellín.</v>
          </cell>
          <cell r="H293" t="str">
            <v>1/2</v>
          </cell>
          <cell r="I293">
            <v>0</v>
          </cell>
          <cell r="J293">
            <v>168.6</v>
          </cell>
          <cell r="K293">
            <v>157.4</v>
          </cell>
          <cell r="L293">
            <v>301.89999999999998</v>
          </cell>
          <cell r="M293">
            <v>317.7</v>
          </cell>
          <cell r="N293">
            <v>214.1</v>
          </cell>
          <cell r="O293">
            <v>74.900000000000006</v>
          </cell>
          <cell r="P293">
            <v>74.599999999999994</v>
          </cell>
          <cell r="Q293">
            <v>114.1</v>
          </cell>
          <cell r="S293">
            <v>25</v>
          </cell>
          <cell r="T293" t="str">
            <v>1</v>
          </cell>
          <cell r="U293">
            <v>1233.5</v>
          </cell>
          <cell r="V293">
            <v>1235.5</v>
          </cell>
          <cell r="W293">
            <v>737.9</v>
          </cell>
          <cell r="Y293">
            <v>4</v>
          </cell>
          <cell r="Z293">
            <v>1236.5999999999999</v>
          </cell>
          <cell r="AA293">
            <v>1237.3</v>
          </cell>
          <cell r="AB293">
            <v>741.2</v>
          </cell>
          <cell r="AD293">
            <v>3.5</v>
          </cell>
          <cell r="AE293">
            <v>1233.7</v>
          </cell>
          <cell r="AF293">
            <v>1234.5999999999999</v>
          </cell>
          <cell r="AG293">
            <v>738.1</v>
          </cell>
          <cell r="AI293">
            <v>3.6</v>
          </cell>
          <cell r="AK293">
            <v>1763.0785900000001</v>
          </cell>
          <cell r="AM293">
            <v>1863.01017</v>
          </cell>
          <cell r="AO293">
            <v>1953.7643600000001</v>
          </cell>
          <cell r="AP293" t="str">
            <v>Muestra tomada en el elevador</v>
          </cell>
          <cell r="AQ293" t="str">
            <v>-</v>
          </cell>
          <cell r="AR293">
            <v>1981</v>
          </cell>
          <cell r="AS293">
            <v>3.7</v>
          </cell>
          <cell r="AV293">
            <v>2.4781750338533048</v>
          </cell>
          <cell r="BS293">
            <v>2.569</v>
          </cell>
        </row>
        <row r="294">
          <cell r="A294">
            <v>366</v>
          </cell>
          <cell r="B294">
            <v>40231</v>
          </cell>
          <cell r="D294">
            <v>1501.3</v>
          </cell>
          <cell r="E294">
            <v>1420.1</v>
          </cell>
          <cell r="G294" t="str">
            <v>Parcheo elaboración de fallos en vías urbanas y rurales del municipio de Medellín.</v>
          </cell>
          <cell r="H294" t="str">
            <v>1/2</v>
          </cell>
          <cell r="I294">
            <v>0</v>
          </cell>
          <cell r="J294">
            <v>112.4</v>
          </cell>
          <cell r="K294">
            <v>182.1</v>
          </cell>
          <cell r="L294">
            <v>250.9</v>
          </cell>
          <cell r="M294">
            <v>323</v>
          </cell>
          <cell r="N294">
            <v>253.5</v>
          </cell>
          <cell r="O294">
            <v>96.7</v>
          </cell>
          <cell r="P294">
            <v>76.599999999999994</v>
          </cell>
          <cell r="Q294">
            <v>124.9</v>
          </cell>
          <cell r="S294">
            <v>25</v>
          </cell>
          <cell r="T294" t="str">
            <v>1</v>
          </cell>
          <cell r="U294">
            <v>1234.8</v>
          </cell>
          <cell r="V294">
            <v>1235.5999999999999</v>
          </cell>
          <cell r="W294">
            <v>745.2</v>
          </cell>
          <cell r="Y294">
            <v>3.2</v>
          </cell>
          <cell r="Z294">
            <v>1235.0999999999999</v>
          </cell>
          <cell r="AA294">
            <v>1236.3</v>
          </cell>
          <cell r="AB294">
            <v>738.5</v>
          </cell>
          <cell r="AD294">
            <v>3.5</v>
          </cell>
          <cell r="AE294">
            <v>1233.5999999999999</v>
          </cell>
          <cell r="AF294">
            <v>1235.0999999999999</v>
          </cell>
          <cell r="AG294">
            <v>736</v>
          </cell>
          <cell r="AI294">
            <v>3.4</v>
          </cell>
          <cell r="AK294">
            <v>1802.84728</v>
          </cell>
          <cell r="AM294">
            <v>1926.2321900000002</v>
          </cell>
          <cell r="AO294">
            <v>1879.3255300000001</v>
          </cell>
          <cell r="AP294" t="str">
            <v>Muestra tomada en el elevador</v>
          </cell>
          <cell r="AQ294" t="str">
            <v>-</v>
          </cell>
          <cell r="AR294">
            <v>1997</v>
          </cell>
          <cell r="AS294">
            <v>3.4</v>
          </cell>
          <cell r="AV294">
            <v>2.4829528632226454</v>
          </cell>
          <cell r="BS294">
            <v>2.5640000000000001</v>
          </cell>
        </row>
        <row r="295">
          <cell r="A295">
            <v>367</v>
          </cell>
          <cell r="B295">
            <v>40231</v>
          </cell>
          <cell r="D295">
            <v>1500.7</v>
          </cell>
          <cell r="E295">
            <v>1419.5</v>
          </cell>
          <cell r="G295" t="str">
            <v>Parcheo elaboración de fallos en vías urbanas y rurales del municipio de Medellín.</v>
          </cell>
          <cell r="H295" t="str">
            <v>2/2</v>
          </cell>
          <cell r="I295">
            <v>0</v>
          </cell>
          <cell r="J295">
            <v>173.4</v>
          </cell>
          <cell r="K295">
            <v>191</v>
          </cell>
          <cell r="L295">
            <v>254.1</v>
          </cell>
          <cell r="M295">
            <v>312.89999999999998</v>
          </cell>
          <cell r="N295">
            <v>217.7</v>
          </cell>
          <cell r="O295">
            <v>87.1</v>
          </cell>
          <cell r="P295">
            <v>70.2</v>
          </cell>
          <cell r="Q295">
            <v>113.1</v>
          </cell>
          <cell r="S295">
            <v>25</v>
          </cell>
          <cell r="T295" t="str">
            <v>1</v>
          </cell>
          <cell r="U295">
            <v>1233.0999999999999</v>
          </cell>
          <cell r="V295">
            <v>1235.8</v>
          </cell>
          <cell r="W295">
            <v>735.3</v>
          </cell>
          <cell r="Y295">
            <v>3.2</v>
          </cell>
          <cell r="Z295">
            <v>1234.4000000000001</v>
          </cell>
          <cell r="AA295">
            <v>1235.5</v>
          </cell>
          <cell r="AB295">
            <v>737.6</v>
          </cell>
          <cell r="AD295">
            <v>3.5</v>
          </cell>
          <cell r="AE295">
            <v>1235.4000000000001</v>
          </cell>
          <cell r="AF295">
            <v>1236.7</v>
          </cell>
          <cell r="AG295">
            <v>737.6</v>
          </cell>
          <cell r="AI295">
            <v>3.6</v>
          </cell>
          <cell r="AK295">
            <v>1515.2890600000001</v>
          </cell>
          <cell r="AM295">
            <v>1752.8814900000002</v>
          </cell>
          <cell r="AO295">
            <v>1723.3099</v>
          </cell>
          <cell r="AP295" t="str">
            <v>Muestra tomada en la volqueta</v>
          </cell>
          <cell r="AQ295" t="str">
            <v>-</v>
          </cell>
          <cell r="AR295">
            <v>1758</v>
          </cell>
          <cell r="AS295">
            <v>3.4</v>
          </cell>
          <cell r="AV295">
            <v>2.4655020563188339</v>
          </cell>
          <cell r="BS295">
            <v>2.5640000000000001</v>
          </cell>
        </row>
        <row r="296">
          <cell r="A296">
            <v>368</v>
          </cell>
          <cell r="B296">
            <v>40232</v>
          </cell>
          <cell r="D296">
            <v>1500.8</v>
          </cell>
          <cell r="E296">
            <v>1430.3</v>
          </cell>
          <cell r="G296" t="str">
            <v>Parcheo elaboración de fallos en vías urbanas y rurales del municipio de Medellín.</v>
          </cell>
          <cell r="H296" t="str">
            <v>1/2</v>
          </cell>
          <cell r="I296">
            <v>0</v>
          </cell>
          <cell r="J296">
            <v>193</v>
          </cell>
          <cell r="K296">
            <v>176</v>
          </cell>
          <cell r="L296">
            <v>304.89999999999998</v>
          </cell>
          <cell r="M296">
            <v>290.10000000000002</v>
          </cell>
          <cell r="N296">
            <v>222.3</v>
          </cell>
          <cell r="O296">
            <v>69.7</v>
          </cell>
          <cell r="P296">
            <v>70</v>
          </cell>
          <cell r="Q296">
            <v>104.3</v>
          </cell>
          <cell r="S296">
            <v>25</v>
          </cell>
          <cell r="T296" t="str">
            <v>1</v>
          </cell>
          <cell r="U296">
            <v>1236.8</v>
          </cell>
          <cell r="V296">
            <v>1237.9000000000001</v>
          </cell>
          <cell r="W296">
            <v>740.1</v>
          </cell>
          <cell r="Y296">
            <v>3.2</v>
          </cell>
          <cell r="Z296">
            <v>1231.5</v>
          </cell>
          <cell r="AA296">
            <v>1233.7</v>
          </cell>
          <cell r="AB296">
            <v>734.1</v>
          </cell>
          <cell r="AD296">
            <v>3.1</v>
          </cell>
          <cell r="AE296">
            <v>1232.5999999999999</v>
          </cell>
          <cell r="AF296">
            <v>1233.9000000000001</v>
          </cell>
          <cell r="AG296">
            <v>735.9</v>
          </cell>
          <cell r="AI296">
            <v>3.5</v>
          </cell>
          <cell r="AK296">
            <v>1838.5371300000002</v>
          </cell>
          <cell r="AM296">
            <v>1492.85544</v>
          </cell>
          <cell r="AO296">
            <v>1662.1273000000001</v>
          </cell>
          <cell r="AP296" t="str">
            <v>Muestra tomada en el elevador</v>
          </cell>
          <cell r="AQ296" t="str">
            <v>-</v>
          </cell>
          <cell r="AR296">
            <v>1763</v>
          </cell>
          <cell r="AS296">
            <v>3.3</v>
          </cell>
          <cell r="AV296">
            <v>2.4676291173638862</v>
          </cell>
          <cell r="BS296">
            <v>2.589</v>
          </cell>
        </row>
        <row r="297">
          <cell r="A297">
            <v>369</v>
          </cell>
          <cell r="B297">
            <v>40232</v>
          </cell>
          <cell r="D297">
            <v>1500.3</v>
          </cell>
          <cell r="E297">
            <v>1419.4</v>
          </cell>
          <cell r="G297" t="str">
            <v>Parcheo elaboración de fallos en vías urbanas y rurales del municipio de Medellín.</v>
          </cell>
          <cell r="H297" t="str">
            <v>2/2</v>
          </cell>
          <cell r="I297">
            <v>0</v>
          </cell>
          <cell r="J297">
            <v>173.7</v>
          </cell>
          <cell r="K297">
            <v>115.3</v>
          </cell>
          <cell r="L297">
            <v>292.89999999999998</v>
          </cell>
          <cell r="M297">
            <v>348.7</v>
          </cell>
          <cell r="N297">
            <v>235.5</v>
          </cell>
          <cell r="O297">
            <v>90.5</v>
          </cell>
          <cell r="P297">
            <v>66.7</v>
          </cell>
          <cell r="Q297">
            <v>96.1</v>
          </cell>
          <cell r="S297">
            <v>25</v>
          </cell>
          <cell r="T297" t="str">
            <v>1</v>
          </cell>
          <cell r="U297">
            <v>1236.5</v>
          </cell>
          <cell r="V297">
            <v>1237.7</v>
          </cell>
          <cell r="W297">
            <v>737.7</v>
          </cell>
          <cell r="Y297">
            <v>3.4</v>
          </cell>
          <cell r="Z297">
            <v>1231.8</v>
          </cell>
          <cell r="AA297">
            <v>1233</v>
          </cell>
          <cell r="AB297">
            <v>732.4</v>
          </cell>
          <cell r="AD297">
            <v>3.7</v>
          </cell>
          <cell r="AE297">
            <v>1234.4000000000001</v>
          </cell>
          <cell r="AF297">
            <v>1236.0999999999999</v>
          </cell>
          <cell r="AG297">
            <v>733.1</v>
          </cell>
          <cell r="AI297">
            <v>3.7</v>
          </cell>
          <cell r="AK297">
            <v>1539.7620999999999</v>
          </cell>
          <cell r="AM297">
            <v>1543.84094</v>
          </cell>
          <cell r="AO297">
            <v>1453.0867499999999</v>
          </cell>
          <cell r="AP297" t="str">
            <v>Muestra tomada en la volqueta</v>
          </cell>
          <cell r="AQ297" t="str">
            <v>-</v>
          </cell>
          <cell r="AR297">
            <v>1587</v>
          </cell>
          <cell r="AS297">
            <v>3.6</v>
          </cell>
          <cell r="AV297">
            <v>2.455371226983095</v>
          </cell>
          <cell r="BS297">
            <v>2.589</v>
          </cell>
        </row>
        <row r="298">
          <cell r="A298">
            <v>370</v>
          </cell>
          <cell r="B298">
            <v>40233</v>
          </cell>
          <cell r="D298">
            <v>1500.7</v>
          </cell>
          <cell r="E298">
            <v>1424</v>
          </cell>
          <cell r="G298" t="str">
            <v>Parcheo elaboración de fallos en vías urbanas y rurales del municipio de Medellín.</v>
          </cell>
          <cell r="H298" t="str">
            <v>1/2</v>
          </cell>
          <cell r="I298">
            <v>0</v>
          </cell>
          <cell r="J298">
            <v>170.7</v>
          </cell>
          <cell r="K298">
            <v>163.4</v>
          </cell>
          <cell r="L298">
            <v>290</v>
          </cell>
          <cell r="M298">
            <v>295.5</v>
          </cell>
          <cell r="N298">
            <v>242.2</v>
          </cell>
          <cell r="O298">
            <v>78</v>
          </cell>
          <cell r="P298">
            <v>76.900000000000006</v>
          </cell>
          <cell r="Q298">
            <v>107.3</v>
          </cell>
          <cell r="S298">
            <v>25</v>
          </cell>
          <cell r="T298" t="str">
            <v>1</v>
          </cell>
          <cell r="U298">
            <v>1235</v>
          </cell>
          <cell r="V298">
            <v>1237.3</v>
          </cell>
          <cell r="W298">
            <v>736.7</v>
          </cell>
          <cell r="Y298">
            <v>3.2</v>
          </cell>
          <cell r="Z298">
            <v>1235.9000000000001</v>
          </cell>
          <cell r="AA298">
            <v>1236.9000000000001</v>
          </cell>
          <cell r="AB298">
            <v>740.9</v>
          </cell>
          <cell r="AD298">
            <v>3.4</v>
          </cell>
          <cell r="AE298">
            <v>1237.7</v>
          </cell>
          <cell r="AF298">
            <v>1238.5999999999999</v>
          </cell>
          <cell r="AG298">
            <v>743.7</v>
          </cell>
          <cell r="AI298">
            <v>3.3</v>
          </cell>
          <cell r="AK298">
            <v>1299.1105400000001</v>
          </cell>
          <cell r="AM298">
            <v>1636.6345500000002</v>
          </cell>
          <cell r="AO298">
            <v>1709.0339600000002</v>
          </cell>
          <cell r="AP298" t="str">
            <v>Muestra tomada en la volqueta</v>
          </cell>
          <cell r="AQ298" t="str">
            <v>-</v>
          </cell>
          <cell r="AR298">
            <v>1648</v>
          </cell>
          <cell r="AS298">
            <v>3.3</v>
          </cell>
          <cell r="AV298">
            <v>2.47928770873789</v>
          </cell>
          <cell r="BS298">
            <v>2.5870000000000002</v>
          </cell>
        </row>
        <row r="299">
          <cell r="A299">
            <v>371</v>
          </cell>
          <cell r="B299">
            <v>40233</v>
          </cell>
          <cell r="D299">
            <v>1500.3</v>
          </cell>
          <cell r="E299">
            <v>1423.5</v>
          </cell>
          <cell r="G299" t="str">
            <v>Parcheo elaboración de fallos en vías urbanas y rurales del municipio de Medellín.</v>
          </cell>
          <cell r="H299" t="str">
            <v>2/2</v>
          </cell>
          <cell r="I299">
            <v>0</v>
          </cell>
          <cell r="J299">
            <v>174.9</v>
          </cell>
          <cell r="K299">
            <v>146.1</v>
          </cell>
          <cell r="L299">
            <v>321.8</v>
          </cell>
          <cell r="M299">
            <v>314.60000000000002</v>
          </cell>
          <cell r="N299">
            <v>220.3</v>
          </cell>
          <cell r="O299">
            <v>81.099999999999994</v>
          </cell>
          <cell r="P299">
            <v>64</v>
          </cell>
          <cell r="Q299">
            <v>100.7</v>
          </cell>
          <cell r="S299">
            <v>25</v>
          </cell>
          <cell r="T299" t="str">
            <v>1</v>
          </cell>
          <cell r="U299">
            <v>1237.5999999999999</v>
          </cell>
          <cell r="V299">
            <v>1238.7</v>
          </cell>
          <cell r="W299">
            <v>740.5</v>
          </cell>
          <cell r="Y299">
            <v>3.4</v>
          </cell>
          <cell r="Z299">
            <v>1237.9000000000001</v>
          </cell>
          <cell r="AA299">
            <v>1240.5</v>
          </cell>
          <cell r="AB299">
            <v>741.1</v>
          </cell>
          <cell r="AD299">
            <v>3.5</v>
          </cell>
          <cell r="AE299">
            <v>1232.9000000000001</v>
          </cell>
          <cell r="AF299">
            <v>1235.3</v>
          </cell>
          <cell r="AG299">
            <v>738.3</v>
          </cell>
          <cell r="AI299">
            <v>3.3</v>
          </cell>
          <cell r="AK299">
            <v>1620.3191900000002</v>
          </cell>
          <cell r="AM299">
            <v>1618.2797699999999</v>
          </cell>
          <cell r="AO299">
            <v>1689.6594700000001</v>
          </cell>
          <cell r="AP299" t="str">
            <v>Muestra tomada en el elevador</v>
          </cell>
          <cell r="AQ299" t="str">
            <v>-</v>
          </cell>
          <cell r="AR299">
            <v>1741</v>
          </cell>
          <cell r="AS299">
            <v>3.4</v>
          </cell>
          <cell r="AV299">
            <v>2.4739430046752457</v>
          </cell>
          <cell r="BS299">
            <v>2.5870000000000002</v>
          </cell>
        </row>
        <row r="300">
          <cell r="A300">
            <v>372</v>
          </cell>
          <cell r="B300">
            <v>40234</v>
          </cell>
          <cell r="D300">
            <v>1500.3</v>
          </cell>
          <cell r="E300">
            <v>1427.5</v>
          </cell>
          <cell r="G300" t="str">
            <v>Parcheo elaboración de fallos en vías urbanas y rurales del municipio de Medellín.</v>
          </cell>
          <cell r="H300" t="str">
            <v>1/2</v>
          </cell>
          <cell r="I300">
            <v>0</v>
          </cell>
          <cell r="J300">
            <v>196.6</v>
          </cell>
          <cell r="K300">
            <v>157.19999999999999</v>
          </cell>
          <cell r="L300">
            <v>317.7</v>
          </cell>
          <cell r="M300">
            <v>281.89999999999998</v>
          </cell>
          <cell r="N300">
            <v>232.1</v>
          </cell>
          <cell r="O300">
            <v>76.3</v>
          </cell>
          <cell r="P300">
            <v>72.8</v>
          </cell>
          <cell r="Q300">
            <v>92.9</v>
          </cell>
          <cell r="S300">
            <v>25</v>
          </cell>
          <cell r="T300" t="str">
            <v>1</v>
          </cell>
          <cell r="U300">
            <v>1235.5</v>
          </cell>
          <cell r="V300">
            <v>1236.5</v>
          </cell>
          <cell r="W300">
            <v>739.6</v>
          </cell>
          <cell r="Y300">
            <v>3.4</v>
          </cell>
          <cell r="Z300">
            <v>1234.2</v>
          </cell>
          <cell r="AA300">
            <v>1235.8</v>
          </cell>
          <cell r="AB300">
            <v>735.2</v>
          </cell>
          <cell r="AD300">
            <v>3.1</v>
          </cell>
          <cell r="AE300">
            <v>1230.0999999999999</v>
          </cell>
          <cell r="AF300">
            <v>1231.5999999999999</v>
          </cell>
          <cell r="AG300">
            <v>732.4</v>
          </cell>
          <cell r="AI300">
            <v>2.9</v>
          </cell>
          <cell r="AK300">
            <v>1758.9997499999999</v>
          </cell>
          <cell r="AM300">
            <v>1635.61484</v>
          </cell>
          <cell r="AO300">
            <v>1511.2102200000002</v>
          </cell>
          <cell r="AP300" t="str">
            <v>Muestra tomada en la volqueta</v>
          </cell>
          <cell r="AQ300" t="str">
            <v>-</v>
          </cell>
          <cell r="AR300">
            <v>1730</v>
          </cell>
          <cell r="AS300">
            <v>3.1</v>
          </cell>
          <cell r="AV300">
            <v>2.4647693588750919</v>
          </cell>
          <cell r="BS300">
            <v>2.5910000000000002</v>
          </cell>
        </row>
        <row r="301">
          <cell r="A301">
            <v>373</v>
          </cell>
          <cell r="B301">
            <v>40234</v>
          </cell>
          <cell r="D301">
            <v>1500.4</v>
          </cell>
          <cell r="E301">
            <v>1426.9</v>
          </cell>
          <cell r="G301" t="str">
            <v>Parcheo elaboración de fallos en vías urbanas y rurales del municipio de Medellín.</v>
          </cell>
          <cell r="H301" t="str">
            <v>2/2</v>
          </cell>
          <cell r="I301">
            <v>0</v>
          </cell>
          <cell r="J301">
            <v>218.3</v>
          </cell>
          <cell r="K301">
            <v>170.8</v>
          </cell>
          <cell r="L301">
            <v>269.10000000000002</v>
          </cell>
          <cell r="M301">
            <v>297.60000000000002</v>
          </cell>
          <cell r="N301">
            <v>219.9</v>
          </cell>
          <cell r="O301">
            <v>74.400000000000006</v>
          </cell>
          <cell r="P301">
            <v>74</v>
          </cell>
          <cell r="Q301">
            <v>102.8</v>
          </cell>
          <cell r="S301">
            <v>25</v>
          </cell>
          <cell r="T301" t="str">
            <v>1</v>
          </cell>
          <cell r="U301">
            <v>1330.6</v>
          </cell>
          <cell r="V301">
            <v>1331.3</v>
          </cell>
          <cell r="W301">
            <v>798.5</v>
          </cell>
          <cell r="Y301">
            <v>3.8</v>
          </cell>
          <cell r="Z301">
            <v>1236.3</v>
          </cell>
          <cell r="AA301">
            <v>1237.0999999999999</v>
          </cell>
          <cell r="AB301">
            <v>738.5</v>
          </cell>
          <cell r="AD301">
            <v>3.86</v>
          </cell>
          <cell r="AE301">
            <v>1235.7</v>
          </cell>
          <cell r="AF301">
            <v>1238.0999999999999</v>
          </cell>
          <cell r="AG301">
            <v>738.3</v>
          </cell>
          <cell r="AI301">
            <v>3.95</v>
          </cell>
          <cell r="AK301">
            <v>2039.42</v>
          </cell>
          <cell r="AM301">
            <v>1618.2797699999999</v>
          </cell>
          <cell r="AO301">
            <v>1735.5464200000001</v>
          </cell>
          <cell r="AP301" t="str">
            <v>Muestra tomada en el elevador</v>
          </cell>
          <cell r="AQ301" t="str">
            <v>-</v>
          </cell>
          <cell r="AR301">
            <v>1826</v>
          </cell>
          <cell r="AS301">
            <v>3.9</v>
          </cell>
          <cell r="AV301">
            <v>2.475838277743462</v>
          </cell>
          <cell r="BS301">
            <v>2.5910000000000002</v>
          </cell>
        </row>
        <row r="302">
          <cell r="A302">
            <v>374</v>
          </cell>
          <cell r="B302">
            <v>40235</v>
          </cell>
          <cell r="D302">
            <v>1500.8</v>
          </cell>
          <cell r="E302">
            <v>1428.8</v>
          </cell>
          <cell r="G302" t="str">
            <v>Parcheo elaboración de fallos en vías urbanas y rurales del municipio de Medellín.</v>
          </cell>
          <cell r="H302" t="str">
            <v>1/2</v>
          </cell>
          <cell r="I302">
            <v>0</v>
          </cell>
          <cell r="J302">
            <v>107.9</v>
          </cell>
          <cell r="K302">
            <v>175.3</v>
          </cell>
          <cell r="L302">
            <v>389.8</v>
          </cell>
          <cell r="M302">
            <v>312.39999999999998</v>
          </cell>
          <cell r="N302">
            <v>218.2</v>
          </cell>
          <cell r="O302">
            <v>74.5</v>
          </cell>
          <cell r="P302">
            <v>69</v>
          </cell>
          <cell r="Q302">
            <v>81.7</v>
          </cell>
          <cell r="S302">
            <v>25</v>
          </cell>
          <cell r="T302" t="str">
            <v>1</v>
          </cell>
          <cell r="U302">
            <v>1237.4000000000001</v>
          </cell>
          <cell r="V302">
            <v>1238.8</v>
          </cell>
          <cell r="W302">
            <v>733.1</v>
          </cell>
          <cell r="Y302">
            <v>3.2</v>
          </cell>
          <cell r="Z302">
            <v>1235.9000000000001</v>
          </cell>
          <cell r="AA302">
            <v>1237.8</v>
          </cell>
          <cell r="AB302">
            <v>730.6</v>
          </cell>
          <cell r="AD302">
            <v>3.35</v>
          </cell>
          <cell r="AE302">
            <v>1234.2</v>
          </cell>
          <cell r="AF302">
            <v>1237.5999999999999</v>
          </cell>
          <cell r="AG302">
            <v>731.7</v>
          </cell>
          <cell r="AI302">
            <v>3.5</v>
          </cell>
          <cell r="AK302">
            <v>1569.3336900000002</v>
          </cell>
          <cell r="AM302">
            <v>1447.9882</v>
          </cell>
          <cell r="AO302">
            <v>1568.3139800000001</v>
          </cell>
          <cell r="AP302" t="str">
            <v>Muestra tomada en la volqueta</v>
          </cell>
          <cell r="AQ302" t="str">
            <v>-</v>
          </cell>
          <cell r="AR302">
            <v>1578</v>
          </cell>
          <cell r="AS302">
            <v>3.4</v>
          </cell>
          <cell r="AV302">
            <v>2.4339362541661069</v>
          </cell>
          <cell r="BS302">
            <v>2.5920000000000001</v>
          </cell>
        </row>
        <row r="303">
          <cell r="A303">
            <v>375</v>
          </cell>
          <cell r="B303">
            <v>40235</v>
          </cell>
          <cell r="D303">
            <v>1500.8</v>
          </cell>
          <cell r="E303">
            <v>1428.5</v>
          </cell>
          <cell r="G303" t="str">
            <v>Parcheo elaboración de fallos en vías urbanas y rurales del municipio de Medellín.</v>
          </cell>
          <cell r="H303" t="str">
            <v>2/2</v>
          </cell>
          <cell r="I303">
            <v>0</v>
          </cell>
          <cell r="J303">
            <v>143.19999999999999</v>
          </cell>
          <cell r="K303">
            <v>210.4</v>
          </cell>
          <cell r="L303">
            <v>355.5</v>
          </cell>
          <cell r="M303">
            <v>290.3</v>
          </cell>
          <cell r="N303">
            <v>205.6</v>
          </cell>
          <cell r="O303">
            <v>70.8</v>
          </cell>
          <cell r="P303">
            <v>68.400000000000006</v>
          </cell>
          <cell r="Q303">
            <v>84.3</v>
          </cell>
          <cell r="S303">
            <v>25</v>
          </cell>
          <cell r="T303" t="str">
            <v>1</v>
          </cell>
          <cell r="U303">
            <v>1236.7</v>
          </cell>
          <cell r="V303">
            <v>1237.8</v>
          </cell>
          <cell r="W303">
            <v>738.5</v>
          </cell>
          <cell r="Y303">
            <v>2.9</v>
          </cell>
          <cell r="Z303">
            <v>1235.7</v>
          </cell>
          <cell r="AA303">
            <v>1237</v>
          </cell>
          <cell r="AB303">
            <v>737.3</v>
          </cell>
          <cell r="AD303">
            <v>3.2</v>
          </cell>
          <cell r="AE303">
            <v>1230.7</v>
          </cell>
          <cell r="AF303">
            <v>1232.9000000000001</v>
          </cell>
          <cell r="AG303">
            <v>729.6</v>
          </cell>
          <cell r="AI303">
            <v>3.3</v>
          </cell>
          <cell r="AK303">
            <v>1659.06817</v>
          </cell>
          <cell r="AM303">
            <v>1652.94991</v>
          </cell>
          <cell r="AO303">
            <v>1499.99341</v>
          </cell>
          <cell r="AP303" t="str">
            <v>Muestra tomada en el elevador</v>
          </cell>
          <cell r="AQ303" t="str">
            <v>-</v>
          </cell>
          <cell r="AR303">
            <v>1686</v>
          </cell>
          <cell r="AS303">
            <v>3.1</v>
          </cell>
          <cell r="AV303">
            <v>2.4577940695216434</v>
          </cell>
          <cell r="BS303">
            <v>2.5920000000000001</v>
          </cell>
        </row>
        <row r="304">
          <cell r="A304">
            <v>376</v>
          </cell>
          <cell r="B304">
            <v>40236</v>
          </cell>
          <cell r="D304">
            <v>1500.8</v>
          </cell>
          <cell r="E304">
            <v>1425.8</v>
          </cell>
          <cell r="G304" t="str">
            <v>Parcheo elaboración de fallos en vías urbanas y rurales del municipio de Medellín.</v>
          </cell>
          <cell r="H304" t="str">
            <v>1/1</v>
          </cell>
          <cell r="I304">
            <v>0</v>
          </cell>
          <cell r="J304">
            <v>184</v>
          </cell>
          <cell r="K304">
            <v>159.19999999999999</v>
          </cell>
          <cell r="L304">
            <v>270.7</v>
          </cell>
          <cell r="M304">
            <v>336.8</v>
          </cell>
          <cell r="N304">
            <v>237.3</v>
          </cell>
          <cell r="O304">
            <v>76.5</v>
          </cell>
          <cell r="P304">
            <v>71.3</v>
          </cell>
          <cell r="Q304">
            <v>90</v>
          </cell>
          <cell r="S304">
            <v>25</v>
          </cell>
          <cell r="T304" t="str">
            <v>1</v>
          </cell>
          <cell r="U304">
            <v>1235.0999999999999</v>
          </cell>
          <cell r="V304">
            <v>1236.4000000000001</v>
          </cell>
          <cell r="W304">
            <v>734.1</v>
          </cell>
          <cell r="Y304">
            <v>3.5</v>
          </cell>
          <cell r="Z304">
            <v>1236.5999999999999</v>
          </cell>
          <cell r="AA304">
            <v>1238.0999999999999</v>
          </cell>
          <cell r="AB304">
            <v>733</v>
          </cell>
          <cell r="AD304">
            <v>3.4</v>
          </cell>
          <cell r="AE304">
            <v>1234.7</v>
          </cell>
          <cell r="AF304">
            <v>1236.8</v>
          </cell>
          <cell r="AG304">
            <v>730.9</v>
          </cell>
          <cell r="AI304">
            <v>3.3</v>
          </cell>
          <cell r="AK304">
            <v>1569.3336900000002</v>
          </cell>
          <cell r="AM304">
            <v>1456.14588</v>
          </cell>
          <cell r="AO304">
            <v>1371.5099499999999</v>
          </cell>
          <cell r="AP304" t="str">
            <v>Muestra tomada en el elevador</v>
          </cell>
          <cell r="AQ304" t="str">
            <v>-</v>
          </cell>
          <cell r="AR304">
            <v>1523</v>
          </cell>
          <cell r="AS304">
            <v>3.4</v>
          </cell>
          <cell r="AV304">
            <v>2.4420753391969652</v>
          </cell>
          <cell r="BS304">
            <v>2.5870000000000002</v>
          </cell>
        </row>
        <row r="305">
          <cell r="A305">
            <v>377</v>
          </cell>
          <cell r="B305">
            <v>40237</v>
          </cell>
          <cell r="D305">
            <v>1500.1</v>
          </cell>
          <cell r="E305">
            <v>1425.1</v>
          </cell>
          <cell r="G305" t="str">
            <v>Parcheo elaboración de fallos en vías urbanas y rurales del municipio de Medellín.</v>
          </cell>
          <cell r="H305" t="str">
            <v>1/1</v>
          </cell>
          <cell r="I305">
            <v>0</v>
          </cell>
          <cell r="J305">
            <v>129.1</v>
          </cell>
          <cell r="K305">
            <v>210.3</v>
          </cell>
          <cell r="L305">
            <v>303.2</v>
          </cell>
          <cell r="M305">
            <v>301.3</v>
          </cell>
          <cell r="N305">
            <v>238</v>
          </cell>
          <cell r="O305">
            <v>83.5</v>
          </cell>
          <cell r="P305">
            <v>66.5</v>
          </cell>
          <cell r="Q305">
            <v>93.2</v>
          </cell>
          <cell r="S305">
            <v>25</v>
          </cell>
          <cell r="T305" t="str">
            <v>1</v>
          </cell>
          <cell r="U305">
            <v>1235.9000000000001</v>
          </cell>
          <cell r="V305">
            <v>1236.5</v>
          </cell>
          <cell r="W305">
            <v>734.4</v>
          </cell>
          <cell r="Y305">
            <v>2.8</v>
          </cell>
          <cell r="Z305">
            <v>1234.2</v>
          </cell>
          <cell r="AA305">
            <v>1236.5</v>
          </cell>
          <cell r="AB305">
            <v>732.7</v>
          </cell>
          <cell r="AD305">
            <v>2.7</v>
          </cell>
          <cell r="AE305">
            <v>1236.9000000000001</v>
          </cell>
          <cell r="AF305">
            <v>1238.2</v>
          </cell>
          <cell r="AG305">
            <v>734.1</v>
          </cell>
          <cell r="AI305">
            <v>3.6</v>
          </cell>
          <cell r="AK305">
            <v>1453.0867499999999</v>
          </cell>
          <cell r="AM305">
            <v>1370.4902400000001</v>
          </cell>
          <cell r="AO305">
            <v>1466.3429800000001</v>
          </cell>
          <cell r="AP305" t="str">
            <v>Muestra tomada en el elevador</v>
          </cell>
          <cell r="AQ305" t="str">
            <v>-</v>
          </cell>
          <cell r="AR305">
            <v>1490</v>
          </cell>
          <cell r="AS305">
            <v>3</v>
          </cell>
          <cell r="AV305">
            <v>2.4477936480743923</v>
          </cell>
          <cell r="BS305">
            <v>2.585</v>
          </cell>
        </row>
        <row r="306">
          <cell r="A306">
            <v>378</v>
          </cell>
          <cell r="B306">
            <v>40238</v>
          </cell>
          <cell r="D306">
            <v>1501.3</v>
          </cell>
          <cell r="E306">
            <v>1428.8</v>
          </cell>
          <cell r="G306" t="str">
            <v>Parcheo elaboración de fallos en vías urbanas y rurales del municipio de Medellín.</v>
          </cell>
          <cell r="H306" t="str">
            <v>1/2</v>
          </cell>
          <cell r="I306">
            <v>0</v>
          </cell>
          <cell r="J306">
            <v>225.7</v>
          </cell>
          <cell r="K306">
            <v>187.2</v>
          </cell>
          <cell r="L306">
            <v>268.39999999999998</v>
          </cell>
          <cell r="M306">
            <v>274.10000000000002</v>
          </cell>
          <cell r="N306">
            <v>233.5</v>
          </cell>
          <cell r="O306">
            <v>86</v>
          </cell>
          <cell r="P306">
            <v>66.3</v>
          </cell>
          <cell r="Q306">
            <v>87.6</v>
          </cell>
          <cell r="S306">
            <v>25</v>
          </cell>
          <cell r="T306" t="str">
            <v>1</v>
          </cell>
          <cell r="U306">
            <v>1233.9000000000001</v>
          </cell>
          <cell r="V306">
            <v>1235.4000000000001</v>
          </cell>
          <cell r="W306">
            <v>733.4</v>
          </cell>
          <cell r="Y306">
            <v>3.1</v>
          </cell>
          <cell r="Z306">
            <v>1233.2</v>
          </cell>
          <cell r="AA306">
            <v>1234.5</v>
          </cell>
          <cell r="AB306">
            <v>732.9</v>
          </cell>
          <cell r="AD306">
            <v>3.6</v>
          </cell>
          <cell r="AE306">
            <v>1232.2</v>
          </cell>
          <cell r="AF306">
            <v>1233.4000000000001</v>
          </cell>
          <cell r="AG306">
            <v>733.3</v>
          </cell>
          <cell r="AI306">
            <v>3.1</v>
          </cell>
          <cell r="AK306">
            <v>1573.4125300000001</v>
          </cell>
          <cell r="AM306">
            <v>1675.3835300000001</v>
          </cell>
          <cell r="AO306">
            <v>1511.2102200000002</v>
          </cell>
          <cell r="AP306" t="str">
            <v>Muestra tomada en el elevador</v>
          </cell>
          <cell r="AQ306" t="str">
            <v>-</v>
          </cell>
          <cell r="AR306">
            <v>1665</v>
          </cell>
          <cell r="AS306">
            <v>3.3</v>
          </cell>
          <cell r="AV306">
            <v>2.4529401159666575</v>
          </cell>
          <cell r="BS306">
            <v>2.5790000000000002</v>
          </cell>
        </row>
        <row r="307">
          <cell r="A307">
            <v>379</v>
          </cell>
          <cell r="B307">
            <v>40238</v>
          </cell>
          <cell r="D307">
            <v>1500.9</v>
          </cell>
          <cell r="E307">
            <v>1427.4</v>
          </cell>
          <cell r="G307" t="str">
            <v>Parcheo elaboración de fallos en vías urbanas y rurales del municipio de Medellín.</v>
          </cell>
          <cell r="H307" t="str">
            <v>2/2</v>
          </cell>
          <cell r="I307">
            <v>0</v>
          </cell>
          <cell r="J307">
            <v>217.2</v>
          </cell>
          <cell r="K307">
            <v>183.5</v>
          </cell>
          <cell r="L307">
            <v>276.89999999999998</v>
          </cell>
          <cell r="M307">
            <v>301</v>
          </cell>
          <cell r="N307">
            <v>216.2</v>
          </cell>
          <cell r="O307">
            <v>72.2</v>
          </cell>
          <cell r="P307">
            <v>70.900000000000006</v>
          </cell>
          <cell r="Q307">
            <v>89.5</v>
          </cell>
          <cell r="S307">
            <v>25</v>
          </cell>
          <cell r="T307" t="str">
            <v>1</v>
          </cell>
          <cell r="U307">
            <v>1235</v>
          </cell>
          <cell r="V307">
            <v>1236.4000000000001</v>
          </cell>
          <cell r="W307">
            <v>736.5</v>
          </cell>
          <cell r="Y307">
            <v>3.4</v>
          </cell>
          <cell r="Z307">
            <v>1233.3</v>
          </cell>
          <cell r="AA307">
            <v>1235.2</v>
          </cell>
          <cell r="AB307">
            <v>735.2</v>
          </cell>
          <cell r="AD307">
            <v>3.3</v>
          </cell>
          <cell r="AE307">
            <v>1233.5999999999999</v>
          </cell>
          <cell r="AF307">
            <v>1235.4000000000001</v>
          </cell>
          <cell r="AG307">
            <v>736.1</v>
          </cell>
          <cell r="AI307">
            <v>2.9</v>
          </cell>
          <cell r="AK307">
            <v>1689.6594700000001</v>
          </cell>
          <cell r="AM307">
            <v>1691.6988900000001</v>
          </cell>
          <cell r="AO307">
            <v>1530.5847100000001</v>
          </cell>
          <cell r="AP307" t="str">
            <v>Muestra tomada en la volqueta</v>
          </cell>
          <cell r="AQ307" t="str">
            <v>-</v>
          </cell>
          <cell r="AR307">
            <v>1727</v>
          </cell>
          <cell r="AS307">
            <v>3.2</v>
          </cell>
          <cell r="AV307">
            <v>2.4620284479079722</v>
          </cell>
          <cell r="BS307">
            <v>2.5790000000000002</v>
          </cell>
        </row>
        <row r="308">
          <cell r="A308">
            <v>380</v>
          </cell>
          <cell r="B308">
            <v>40239</v>
          </cell>
          <cell r="D308">
            <v>1500.4</v>
          </cell>
          <cell r="E308">
            <v>1422.4</v>
          </cell>
          <cell r="G308" t="str">
            <v>Parcheo elaboración de fallos en vías urbanas y rurales del municipio de Medellín.</v>
          </cell>
          <cell r="H308" t="str">
            <v>1/2</v>
          </cell>
          <cell r="I308">
            <v>0</v>
          </cell>
          <cell r="J308">
            <v>183.5</v>
          </cell>
          <cell r="K308">
            <v>166.6</v>
          </cell>
          <cell r="L308">
            <v>273.60000000000002</v>
          </cell>
          <cell r="M308">
            <v>305.3</v>
          </cell>
          <cell r="N308">
            <v>243.5</v>
          </cell>
          <cell r="O308">
            <v>78.400000000000006</v>
          </cell>
          <cell r="P308">
            <v>75.099999999999994</v>
          </cell>
          <cell r="Q308">
            <v>96.4</v>
          </cell>
          <cell r="S308">
            <v>25</v>
          </cell>
          <cell r="T308" t="str">
            <v>1</v>
          </cell>
          <cell r="U308">
            <v>1236.2</v>
          </cell>
          <cell r="V308">
            <v>1237.8</v>
          </cell>
          <cell r="W308">
            <v>735.8</v>
          </cell>
          <cell r="Y308">
            <v>3.7</v>
          </cell>
          <cell r="Z308">
            <v>1235.2</v>
          </cell>
          <cell r="AA308">
            <v>1236.2</v>
          </cell>
          <cell r="AB308">
            <v>737.4</v>
          </cell>
          <cell r="AD308">
            <v>3.3</v>
          </cell>
          <cell r="AE308">
            <v>1235.0999999999999</v>
          </cell>
          <cell r="AF308">
            <v>1236.5</v>
          </cell>
          <cell r="AG308">
            <v>737.5</v>
          </cell>
          <cell r="AI308">
            <v>3.1</v>
          </cell>
          <cell r="AK308">
            <v>1582.5899200000001</v>
          </cell>
          <cell r="AM308">
            <v>1585.6490500000002</v>
          </cell>
          <cell r="AO308">
            <v>1492.85544</v>
          </cell>
          <cell r="AP308" t="str">
            <v>Muestra tomada en el elevador</v>
          </cell>
          <cell r="AQ308" t="str">
            <v>-</v>
          </cell>
          <cell r="AR308">
            <v>1637</v>
          </cell>
          <cell r="AS308">
            <v>3.4</v>
          </cell>
          <cell r="AV308">
            <v>2.4641190828029882</v>
          </cell>
          <cell r="BS308">
            <v>2.5790000000000002</v>
          </cell>
        </row>
        <row r="309">
          <cell r="A309">
            <v>381</v>
          </cell>
          <cell r="B309">
            <v>40239</v>
          </cell>
          <cell r="D309">
            <v>1500.5</v>
          </cell>
          <cell r="E309">
            <v>1427.1</v>
          </cell>
          <cell r="G309" t="str">
            <v>Parcheo elaboración de fallos en vías urbanas y rurales del municipio de Medellín.</v>
          </cell>
          <cell r="H309" t="str">
            <v>2/2</v>
          </cell>
          <cell r="I309">
            <v>0</v>
          </cell>
          <cell r="J309">
            <v>240</v>
          </cell>
          <cell r="K309">
            <v>206.5</v>
          </cell>
          <cell r="L309">
            <v>274.60000000000002</v>
          </cell>
          <cell r="M309">
            <v>268.8</v>
          </cell>
          <cell r="N309">
            <v>216.6</v>
          </cell>
          <cell r="O309">
            <v>81.400000000000006</v>
          </cell>
          <cell r="P309">
            <v>62.7</v>
          </cell>
          <cell r="Q309">
            <v>76.5</v>
          </cell>
          <cell r="S309">
            <v>25</v>
          </cell>
          <cell r="T309" t="str">
            <v>1</v>
          </cell>
          <cell r="U309">
            <v>1231</v>
          </cell>
          <cell r="V309">
            <v>1231.9000000000001</v>
          </cell>
          <cell r="W309">
            <v>731.6</v>
          </cell>
          <cell r="Y309">
            <v>3.4</v>
          </cell>
          <cell r="Z309">
            <v>1234</v>
          </cell>
          <cell r="AA309">
            <v>1234.5999999999999</v>
          </cell>
          <cell r="AB309">
            <v>734.4</v>
          </cell>
          <cell r="AD309">
            <v>3.1</v>
          </cell>
          <cell r="AE309">
            <v>1234.7</v>
          </cell>
          <cell r="AF309">
            <v>1235.9000000000001</v>
          </cell>
          <cell r="AG309">
            <v>730.6</v>
          </cell>
          <cell r="AI309">
            <v>3.4</v>
          </cell>
          <cell r="AK309">
            <v>1513.24964</v>
          </cell>
          <cell r="AM309">
            <v>1540.78181</v>
          </cell>
          <cell r="AO309">
            <v>1495.9145700000001</v>
          </cell>
          <cell r="AP309" t="str">
            <v>Muestra tomada en la volqueta</v>
          </cell>
          <cell r="AQ309" t="str">
            <v>-</v>
          </cell>
          <cell r="AR309">
            <v>1588</v>
          </cell>
          <cell r="AS309">
            <v>3.3</v>
          </cell>
          <cell r="AV309">
            <v>2.449825170785533</v>
          </cell>
          <cell r="BS309">
            <v>2.5790000000000002</v>
          </cell>
        </row>
        <row r="310">
          <cell r="A310">
            <v>382</v>
          </cell>
          <cell r="B310">
            <v>40240</v>
          </cell>
          <cell r="D310">
            <v>1500.4</v>
          </cell>
          <cell r="E310">
            <v>1424.9</v>
          </cell>
          <cell r="G310" t="str">
            <v>Parcheo elaboración de fallos en vías urbanas y rurales del municipio de Medellín.</v>
          </cell>
          <cell r="H310" t="str">
            <v>1/2</v>
          </cell>
          <cell r="I310">
            <v>0</v>
          </cell>
          <cell r="J310">
            <v>165.8</v>
          </cell>
          <cell r="K310">
            <v>144.69999999999999</v>
          </cell>
          <cell r="L310">
            <v>320.8</v>
          </cell>
          <cell r="M310">
            <v>341.3</v>
          </cell>
          <cell r="N310">
            <v>224.2</v>
          </cell>
          <cell r="O310">
            <v>71.3</v>
          </cell>
          <cell r="P310">
            <v>68.900000000000006</v>
          </cell>
          <cell r="Q310">
            <v>87.9</v>
          </cell>
          <cell r="S310">
            <v>25</v>
          </cell>
          <cell r="T310" t="str">
            <v>1</v>
          </cell>
          <cell r="U310">
            <v>1233.9000000000001</v>
          </cell>
          <cell r="V310">
            <v>1236.3</v>
          </cell>
          <cell r="W310">
            <v>732.2</v>
          </cell>
          <cell r="Y310">
            <v>3.3</v>
          </cell>
          <cell r="Z310">
            <v>1234.8</v>
          </cell>
          <cell r="AA310">
            <v>1236.0999999999999</v>
          </cell>
          <cell r="AB310">
            <v>731.2</v>
          </cell>
          <cell r="AD310">
            <v>3.6</v>
          </cell>
          <cell r="AE310">
            <v>1236.4000000000001</v>
          </cell>
          <cell r="AF310">
            <v>1238.5999999999999</v>
          </cell>
          <cell r="AG310">
            <v>732.3</v>
          </cell>
          <cell r="AI310">
            <v>3.1</v>
          </cell>
          <cell r="AK310">
            <v>1455.12617</v>
          </cell>
          <cell r="AM310">
            <v>1450.0276200000001</v>
          </cell>
          <cell r="AO310">
            <v>1510.1905100000001</v>
          </cell>
          <cell r="AQ310" t="str">
            <v>-</v>
          </cell>
          <cell r="AR310">
            <v>1525</v>
          </cell>
          <cell r="AS310">
            <v>3.3</v>
          </cell>
          <cell r="AV310">
            <v>2.4379786064873206</v>
          </cell>
          <cell r="BS310">
            <v>2.5739999999999998</v>
          </cell>
        </row>
        <row r="311">
          <cell r="A311">
            <v>383</v>
          </cell>
          <cell r="B311">
            <v>40240</v>
          </cell>
          <cell r="D311">
            <v>1500.6</v>
          </cell>
          <cell r="E311">
            <v>1426.1</v>
          </cell>
          <cell r="G311" t="str">
            <v>Parcheo elaboración de fallos en vías urbanas y rurales del municipio de Medellín.</v>
          </cell>
          <cell r="H311" t="str">
            <v>2/2</v>
          </cell>
          <cell r="I311">
            <v>0</v>
          </cell>
          <cell r="J311">
            <v>146.1</v>
          </cell>
          <cell r="K311">
            <v>167</v>
          </cell>
          <cell r="L311">
            <v>324</v>
          </cell>
          <cell r="M311">
            <v>336.3</v>
          </cell>
          <cell r="N311">
            <v>224.9</v>
          </cell>
          <cell r="O311">
            <v>79.8</v>
          </cell>
          <cell r="P311">
            <v>62.2</v>
          </cell>
          <cell r="Q311">
            <v>85.8</v>
          </cell>
          <cell r="S311">
            <v>25</v>
          </cell>
          <cell r="T311" t="str">
            <v>1</v>
          </cell>
          <cell r="U311">
            <v>1233.5</v>
          </cell>
          <cell r="V311">
            <v>1234.5999999999999</v>
          </cell>
          <cell r="W311">
            <v>732</v>
          </cell>
          <cell r="Y311">
            <v>3.1</v>
          </cell>
          <cell r="Z311">
            <v>1234.9000000000001</v>
          </cell>
          <cell r="AA311">
            <v>1236.4000000000001</v>
          </cell>
          <cell r="AB311">
            <v>730.5</v>
          </cell>
          <cell r="AD311">
            <v>3.3</v>
          </cell>
          <cell r="AE311">
            <v>1234</v>
          </cell>
          <cell r="AF311">
            <v>1236.4000000000001</v>
          </cell>
          <cell r="AG311">
            <v>730.5</v>
          </cell>
          <cell r="AI311">
            <v>3.3</v>
          </cell>
          <cell r="AK311">
            <v>1481.6386299999999</v>
          </cell>
          <cell r="AM311">
            <v>1455.12617</v>
          </cell>
          <cell r="AO311">
            <v>1444.9290700000001</v>
          </cell>
          <cell r="AQ311" t="str">
            <v>-</v>
          </cell>
          <cell r="AR311">
            <v>1515</v>
          </cell>
          <cell r="AS311">
            <v>3.2</v>
          </cell>
          <cell r="AV311">
            <v>2.4376660576824323</v>
          </cell>
          <cell r="BS311">
            <v>2.5739999999999998</v>
          </cell>
        </row>
        <row r="312">
          <cell r="A312">
            <v>384</v>
          </cell>
          <cell r="B312">
            <v>40241</v>
          </cell>
          <cell r="D312">
            <v>1500.8</v>
          </cell>
          <cell r="E312">
            <v>1427</v>
          </cell>
          <cell r="G312" t="str">
            <v>Parcheo elaboración de fallos en vías urbanas y rurales del municipio de Medellín.</v>
          </cell>
          <cell r="H312" t="str">
            <v>1/2</v>
          </cell>
          <cell r="I312">
            <v>0</v>
          </cell>
          <cell r="J312">
            <v>252.5</v>
          </cell>
          <cell r="K312">
            <v>212.6</v>
          </cell>
          <cell r="L312">
            <v>213.5</v>
          </cell>
          <cell r="M312">
            <v>297.60000000000002</v>
          </cell>
          <cell r="N312">
            <v>219.4</v>
          </cell>
          <cell r="O312">
            <v>73.5</v>
          </cell>
          <cell r="P312">
            <v>71.3</v>
          </cell>
          <cell r="Q312">
            <v>86.6</v>
          </cell>
          <cell r="S312">
            <v>25</v>
          </cell>
          <cell r="T312" t="str">
            <v>1</v>
          </cell>
          <cell r="U312">
            <v>1236.3</v>
          </cell>
          <cell r="V312">
            <v>1237.3</v>
          </cell>
          <cell r="W312">
            <v>736.8</v>
          </cell>
          <cell r="Y312">
            <v>3.2</v>
          </cell>
          <cell r="Z312">
            <v>1233.5999999999999</v>
          </cell>
          <cell r="AA312">
            <v>1234.5999999999999</v>
          </cell>
          <cell r="AB312">
            <v>735.4</v>
          </cell>
          <cell r="AD312">
            <v>3.3</v>
          </cell>
          <cell r="AE312">
            <v>1235.5999999999999</v>
          </cell>
          <cell r="AF312">
            <v>1236.9000000000001</v>
          </cell>
          <cell r="AG312">
            <v>735.3</v>
          </cell>
          <cell r="AI312">
            <v>3.6</v>
          </cell>
          <cell r="AK312">
            <v>1513.24964</v>
          </cell>
          <cell r="AM312">
            <v>1556.07746</v>
          </cell>
          <cell r="AO312">
            <v>1720.2507700000001</v>
          </cell>
          <cell r="AP312" t="str">
            <v>Muestra tomada en el elevador</v>
          </cell>
          <cell r="AQ312" t="str">
            <v>-</v>
          </cell>
          <cell r="AR312">
            <v>1680</v>
          </cell>
          <cell r="AS312">
            <v>3.4</v>
          </cell>
          <cell r="AV312">
            <v>2.4609808808114395</v>
          </cell>
          <cell r="BS312">
            <v>2.57</v>
          </cell>
        </row>
        <row r="313">
          <cell r="A313">
            <v>385</v>
          </cell>
          <cell r="B313">
            <v>40241</v>
          </cell>
          <cell r="D313">
            <v>1500.5</v>
          </cell>
          <cell r="E313">
            <v>1425.4</v>
          </cell>
          <cell r="G313" t="str">
            <v>Parcheo elaboración de fallos en vías urbanas y rurales del municipio de Medellín.</v>
          </cell>
          <cell r="H313" t="str">
            <v>2/2</v>
          </cell>
          <cell r="I313">
            <v>0</v>
          </cell>
          <cell r="J313">
            <v>106.6</v>
          </cell>
          <cell r="K313">
            <v>171.3</v>
          </cell>
          <cell r="L313">
            <v>368.9</v>
          </cell>
          <cell r="M313">
            <v>305.2</v>
          </cell>
          <cell r="N313">
            <v>229.8</v>
          </cell>
          <cell r="O313">
            <v>85.3</v>
          </cell>
          <cell r="P313">
            <v>66.7</v>
          </cell>
          <cell r="Q313">
            <v>91.6</v>
          </cell>
          <cell r="S313">
            <v>25</v>
          </cell>
          <cell r="T313" t="str">
            <v>1</v>
          </cell>
          <cell r="U313">
            <v>1232.5</v>
          </cell>
          <cell r="V313">
            <v>1233.5999999999999</v>
          </cell>
          <cell r="W313">
            <v>733.5</v>
          </cell>
          <cell r="Y313">
            <v>3.4</v>
          </cell>
          <cell r="Z313">
            <v>1235.2</v>
          </cell>
          <cell r="AA313">
            <v>1236.4000000000001</v>
          </cell>
          <cell r="AB313">
            <v>737.6</v>
          </cell>
          <cell r="AD313">
            <v>3.4</v>
          </cell>
          <cell r="AE313">
            <v>1235.5999999999999</v>
          </cell>
          <cell r="AF313">
            <v>1237.5</v>
          </cell>
          <cell r="AG313">
            <v>733.3</v>
          </cell>
          <cell r="AI313">
            <v>3.4</v>
          </cell>
          <cell r="AK313">
            <v>1596.8658600000001</v>
          </cell>
          <cell r="AM313">
            <v>1801.8275700000002</v>
          </cell>
          <cell r="AO313">
            <v>1575.4519499999999</v>
          </cell>
          <cell r="AP313" t="str">
            <v>Muestra tomada en la volqueta</v>
          </cell>
          <cell r="AQ313" t="str">
            <v>-</v>
          </cell>
          <cell r="AR313">
            <v>1742</v>
          </cell>
          <cell r="AS313">
            <v>3.4</v>
          </cell>
          <cell r="AV313">
            <v>2.4566150407045884</v>
          </cell>
          <cell r="BS313">
            <v>2.57</v>
          </cell>
        </row>
        <row r="314">
          <cell r="A314">
            <v>386</v>
          </cell>
          <cell r="B314">
            <v>40242</v>
          </cell>
          <cell r="D314">
            <v>1500.4</v>
          </cell>
          <cell r="E314">
            <v>1429.7</v>
          </cell>
          <cell r="G314" t="str">
            <v>Parcheo elaboración de fallos en vías urbanas y rurales del municipio de Medellín.</v>
          </cell>
          <cell r="H314" t="str">
            <v>1/2</v>
          </cell>
          <cell r="I314">
            <v>0</v>
          </cell>
          <cell r="J314">
            <v>153.6</v>
          </cell>
          <cell r="K314">
            <v>183.4</v>
          </cell>
          <cell r="L314">
            <v>311.8</v>
          </cell>
          <cell r="M314">
            <v>328.6</v>
          </cell>
          <cell r="N314">
            <v>218.4</v>
          </cell>
          <cell r="O314">
            <v>79.900000000000006</v>
          </cell>
          <cell r="P314">
            <v>70.7</v>
          </cell>
          <cell r="Q314">
            <v>83.3</v>
          </cell>
          <cell r="S314">
            <v>25</v>
          </cell>
          <cell r="T314" t="str">
            <v>1</v>
          </cell>
          <cell r="U314">
            <v>1238.5</v>
          </cell>
          <cell r="V314">
            <v>1240.3</v>
          </cell>
          <cell r="W314">
            <v>735.1</v>
          </cell>
          <cell r="Y314">
            <v>3.2</v>
          </cell>
          <cell r="Z314">
            <v>1234.8</v>
          </cell>
          <cell r="AA314">
            <v>1236.0999999999999</v>
          </cell>
          <cell r="AB314">
            <v>730.4</v>
          </cell>
          <cell r="AD314">
            <v>2.9</v>
          </cell>
          <cell r="AE314">
            <v>1234.3</v>
          </cell>
          <cell r="AF314">
            <v>1236.2</v>
          </cell>
          <cell r="AG314">
            <v>731.4</v>
          </cell>
          <cell r="AI314">
            <v>3.1</v>
          </cell>
          <cell r="AK314">
            <v>1708.0142500000002</v>
          </cell>
          <cell r="AM314">
            <v>1673.34411</v>
          </cell>
          <cell r="AO314">
            <v>1486.7371800000001</v>
          </cell>
          <cell r="AP314" t="str">
            <v>Muestra tomada en el elevador</v>
          </cell>
          <cell r="AQ314" t="str">
            <v>-</v>
          </cell>
          <cell r="AR314">
            <v>1681</v>
          </cell>
          <cell r="AS314">
            <v>3.1</v>
          </cell>
          <cell r="AV314">
            <v>2.4389767412567247</v>
          </cell>
          <cell r="BS314">
            <v>2.5790000000000002</v>
          </cell>
        </row>
        <row r="315">
          <cell r="A315">
            <v>387</v>
          </cell>
          <cell r="B315">
            <v>40242</v>
          </cell>
          <cell r="D315">
            <v>1501.7</v>
          </cell>
          <cell r="E315">
            <v>1430.1</v>
          </cell>
          <cell r="G315" t="str">
            <v>Parcheo elaboración de fallos en vías urbanas y rurales del municipio de Medellín.</v>
          </cell>
          <cell r="H315" t="str">
            <v>2/2</v>
          </cell>
          <cell r="I315">
            <v>0</v>
          </cell>
          <cell r="J315">
            <v>205.4</v>
          </cell>
          <cell r="K315">
            <v>200.6</v>
          </cell>
          <cell r="L315">
            <v>302.2</v>
          </cell>
          <cell r="M315">
            <v>266.3</v>
          </cell>
          <cell r="N315">
            <v>230.3</v>
          </cell>
          <cell r="O315">
            <v>78.8</v>
          </cell>
          <cell r="P315">
            <v>65.2</v>
          </cell>
          <cell r="Q315">
            <v>81.3</v>
          </cell>
          <cell r="S315">
            <v>25</v>
          </cell>
          <cell r="T315" t="str">
            <v>1</v>
          </cell>
          <cell r="U315">
            <v>1236.5999999999999</v>
          </cell>
          <cell r="V315">
            <v>1239.9000000000001</v>
          </cell>
          <cell r="W315">
            <v>734</v>
          </cell>
          <cell r="Y315">
            <v>3.4</v>
          </cell>
          <cell r="Z315">
            <v>1233.8</v>
          </cell>
          <cell r="AA315">
            <v>1236.2</v>
          </cell>
          <cell r="AB315">
            <v>733.1</v>
          </cell>
          <cell r="AD315">
            <v>3</v>
          </cell>
          <cell r="AE315">
            <v>1235.5</v>
          </cell>
          <cell r="AF315">
            <v>1239</v>
          </cell>
          <cell r="AG315">
            <v>732.5</v>
          </cell>
          <cell r="AI315">
            <v>3.5</v>
          </cell>
          <cell r="AK315">
            <v>1551.9986200000001</v>
          </cell>
          <cell r="AM315">
            <v>1781.43337</v>
          </cell>
          <cell r="AO315">
            <v>1662.1273000000001</v>
          </cell>
          <cell r="AP315" t="str">
            <v>Muestra tomada en la volqueta</v>
          </cell>
          <cell r="AQ315" t="str">
            <v>-</v>
          </cell>
          <cell r="AR315">
            <v>1726</v>
          </cell>
          <cell r="AS315">
            <v>3.3</v>
          </cell>
          <cell r="AV315">
            <v>2.4381943540967272</v>
          </cell>
          <cell r="BS315">
            <v>2.5790000000000002</v>
          </cell>
        </row>
        <row r="316">
          <cell r="A316">
            <v>388</v>
          </cell>
          <cell r="B316">
            <v>40243</v>
          </cell>
          <cell r="D316">
            <v>1500.6</v>
          </cell>
          <cell r="E316">
            <v>1423.7</v>
          </cell>
          <cell r="G316" t="str">
            <v>Parcheo elaboración de fallos en vías urbanas y rurales del municipio de Medellín.</v>
          </cell>
          <cell r="H316" t="str">
            <v>1/2</v>
          </cell>
          <cell r="I316">
            <v>0</v>
          </cell>
          <cell r="J316">
            <v>179.1</v>
          </cell>
          <cell r="K316">
            <v>212.8</v>
          </cell>
          <cell r="L316">
            <v>283</v>
          </cell>
          <cell r="M316">
            <v>324.5</v>
          </cell>
          <cell r="N316">
            <v>206.5</v>
          </cell>
          <cell r="O316">
            <v>69.599999999999994</v>
          </cell>
          <cell r="P316">
            <v>66.8</v>
          </cell>
          <cell r="Q316">
            <v>81.400000000000006</v>
          </cell>
          <cell r="S316">
            <v>25</v>
          </cell>
          <cell r="T316" t="str">
            <v>1</v>
          </cell>
          <cell r="U316">
            <v>1238.0999999999999</v>
          </cell>
          <cell r="V316">
            <v>1239.5999999999999</v>
          </cell>
          <cell r="W316">
            <v>732.6</v>
          </cell>
          <cell r="Y316">
            <v>3.6</v>
          </cell>
          <cell r="Z316">
            <v>1235.5999999999999</v>
          </cell>
          <cell r="AA316">
            <v>1237.5</v>
          </cell>
          <cell r="AB316">
            <v>730.2</v>
          </cell>
          <cell r="AD316">
            <v>3.4</v>
          </cell>
          <cell r="AE316">
            <v>1233.9000000000001</v>
          </cell>
          <cell r="AF316">
            <v>1236.0999999999999</v>
          </cell>
          <cell r="AG316">
            <v>731.8</v>
          </cell>
          <cell r="AI316">
            <v>3.4</v>
          </cell>
          <cell r="AK316">
            <v>1645.81194</v>
          </cell>
          <cell r="AM316">
            <v>1411.27864</v>
          </cell>
          <cell r="AO316">
            <v>1722.2901900000002</v>
          </cell>
          <cell r="AP316" t="str">
            <v>Muestra tomada en el elevador</v>
          </cell>
          <cell r="AQ316" t="str">
            <v>-</v>
          </cell>
          <cell r="AR316">
            <v>1645</v>
          </cell>
          <cell r="AS316">
            <v>3.5</v>
          </cell>
          <cell r="AV316">
            <v>2.4343284933511629</v>
          </cell>
          <cell r="BS316">
            <v>2.585</v>
          </cell>
        </row>
        <row r="317">
          <cell r="A317">
            <v>389</v>
          </cell>
          <cell r="B317">
            <v>40243</v>
          </cell>
          <cell r="D317">
            <v>1500.6</v>
          </cell>
          <cell r="E317">
            <v>1429.3</v>
          </cell>
          <cell r="G317" t="str">
            <v>Parcheo elaboración de fallos en vías urbanas y rurales del municipio de Medellín.</v>
          </cell>
          <cell r="H317" t="str">
            <v>2/2</v>
          </cell>
          <cell r="I317">
            <v>0</v>
          </cell>
          <cell r="J317">
            <v>166</v>
          </cell>
          <cell r="K317">
            <v>186.3</v>
          </cell>
          <cell r="L317">
            <v>330.5</v>
          </cell>
          <cell r="M317">
            <v>300.3</v>
          </cell>
          <cell r="N317">
            <v>202.9</v>
          </cell>
          <cell r="O317">
            <v>84.8</v>
          </cell>
          <cell r="P317">
            <v>65.8</v>
          </cell>
          <cell r="Q317">
            <v>92.7</v>
          </cell>
          <cell r="S317">
            <v>25</v>
          </cell>
          <cell r="T317" t="str">
            <v>1</v>
          </cell>
          <cell r="U317">
            <v>1234.2</v>
          </cell>
          <cell r="V317">
            <v>1237.9000000000001</v>
          </cell>
          <cell r="W317">
            <v>731.7</v>
          </cell>
          <cell r="Y317">
            <v>3.5</v>
          </cell>
          <cell r="Z317">
            <v>1232.7</v>
          </cell>
          <cell r="AA317">
            <v>1235.5999999999999</v>
          </cell>
          <cell r="AB317">
            <v>730.6</v>
          </cell>
          <cell r="AD317">
            <v>3.4</v>
          </cell>
          <cell r="AE317">
            <v>1236.9000000000001</v>
          </cell>
          <cell r="AF317">
            <v>1240.5999999999999</v>
          </cell>
          <cell r="AG317">
            <v>736.1</v>
          </cell>
          <cell r="AI317">
            <v>3.3</v>
          </cell>
          <cell r="AK317">
            <v>1609.10238</v>
          </cell>
          <cell r="AM317">
            <v>1501.0131200000001</v>
          </cell>
          <cell r="AO317">
            <v>1587.6884700000001</v>
          </cell>
          <cell r="AP317" t="str">
            <v>Muestra tomada en la volqueta</v>
          </cell>
          <cell r="AQ317" t="str">
            <v>-</v>
          </cell>
          <cell r="AR317">
            <v>1622</v>
          </cell>
          <cell r="AS317">
            <v>3.4</v>
          </cell>
          <cell r="AV317">
            <v>2.436482788395979</v>
          </cell>
          <cell r="BS317">
            <v>2.585</v>
          </cell>
        </row>
        <row r="318">
          <cell r="A318">
            <v>390</v>
          </cell>
          <cell r="B318">
            <v>40245</v>
          </cell>
          <cell r="D318">
            <v>1501.4</v>
          </cell>
          <cell r="E318">
            <v>1423.6</v>
          </cell>
          <cell r="G318" t="str">
            <v>Parcheo elaboración de fallos en vías urbanas y rurales del municipio de Medellín.</v>
          </cell>
          <cell r="H318" t="str">
            <v>1/2</v>
          </cell>
          <cell r="I318">
            <v>0</v>
          </cell>
          <cell r="J318">
            <v>108.7</v>
          </cell>
          <cell r="K318">
            <v>176.4</v>
          </cell>
          <cell r="L318">
            <v>361.5</v>
          </cell>
          <cell r="M318">
            <v>300.5</v>
          </cell>
          <cell r="N318">
            <v>227.9</v>
          </cell>
          <cell r="O318">
            <v>79</v>
          </cell>
          <cell r="P318">
            <v>75</v>
          </cell>
          <cell r="Q318">
            <v>94.6</v>
          </cell>
          <cell r="S318">
            <v>25</v>
          </cell>
          <cell r="T318" t="str">
            <v>1</v>
          </cell>
          <cell r="U318">
            <v>1234.8</v>
          </cell>
          <cell r="V318">
            <v>1236.4000000000001</v>
          </cell>
          <cell r="W318">
            <v>732.3</v>
          </cell>
          <cell r="Y318">
            <v>3.5</v>
          </cell>
          <cell r="Z318">
            <v>1237.0999999999999</v>
          </cell>
          <cell r="AA318">
            <v>1239.2</v>
          </cell>
          <cell r="AB318">
            <v>732.5</v>
          </cell>
          <cell r="AD318">
            <v>3.4</v>
          </cell>
          <cell r="AE318">
            <v>1236.2</v>
          </cell>
          <cell r="AF318">
            <v>1238.3</v>
          </cell>
          <cell r="AG318">
            <v>733.3</v>
          </cell>
          <cell r="AI318">
            <v>3.1</v>
          </cell>
          <cell r="AK318">
            <v>1554.0380400000001</v>
          </cell>
          <cell r="AM318">
            <v>1408.2195100000001</v>
          </cell>
          <cell r="AO318">
            <v>1460.2247200000002</v>
          </cell>
          <cell r="AP318" t="str">
            <v>Muestra tomada en el elevador</v>
          </cell>
          <cell r="AQ318" t="str">
            <v>-</v>
          </cell>
          <cell r="AR318">
            <v>1527</v>
          </cell>
          <cell r="AS318">
            <v>3.3</v>
          </cell>
          <cell r="AV318">
            <v>2.4391508508442667</v>
          </cell>
          <cell r="BS318">
            <v>2.5640000000000001</v>
          </cell>
        </row>
        <row r="319">
          <cell r="A319">
            <v>391</v>
          </cell>
          <cell r="B319">
            <v>40245</v>
          </cell>
          <cell r="D319">
            <v>1500.7</v>
          </cell>
          <cell r="E319">
            <v>1428.6</v>
          </cell>
          <cell r="G319" t="str">
            <v>Parcheo elaboración de fallos en vías urbanas y rurales del municipio de Medellín.</v>
          </cell>
          <cell r="H319" t="str">
            <v>2/2</v>
          </cell>
          <cell r="I319">
            <v>0</v>
          </cell>
          <cell r="J319">
            <v>163.69999999999999</v>
          </cell>
          <cell r="K319">
            <v>183.9</v>
          </cell>
          <cell r="L319">
            <v>326.8</v>
          </cell>
          <cell r="M319">
            <v>296.8</v>
          </cell>
          <cell r="N319">
            <v>210.3</v>
          </cell>
          <cell r="O319">
            <v>84.9</v>
          </cell>
          <cell r="P319">
            <v>66.2</v>
          </cell>
          <cell r="Q319">
            <v>96</v>
          </cell>
          <cell r="S319">
            <v>25</v>
          </cell>
          <cell r="T319" t="str">
            <v>1</v>
          </cell>
          <cell r="U319">
            <v>1235.9000000000001</v>
          </cell>
          <cell r="V319">
            <v>1238.2</v>
          </cell>
          <cell r="W319">
            <v>732.8</v>
          </cell>
          <cell r="Y319">
            <v>3.2</v>
          </cell>
          <cell r="Z319">
            <v>1236.2</v>
          </cell>
          <cell r="AA319">
            <v>1238.3</v>
          </cell>
          <cell r="AB319">
            <v>734.9</v>
          </cell>
          <cell r="AD319">
            <v>3.5</v>
          </cell>
          <cell r="AE319">
            <v>1236.9000000000001</v>
          </cell>
          <cell r="AF319">
            <v>1239.3</v>
          </cell>
          <cell r="AG319">
            <v>733.4</v>
          </cell>
          <cell r="AI319">
            <v>3.34</v>
          </cell>
          <cell r="AK319">
            <v>1415.3574800000001</v>
          </cell>
          <cell r="AM319">
            <v>1594.82644</v>
          </cell>
          <cell r="AO319">
            <v>1358.2537200000002</v>
          </cell>
          <cell r="AP319" t="str">
            <v>Muestra tomada en el elevador</v>
          </cell>
          <cell r="AQ319" t="str">
            <v>-</v>
          </cell>
          <cell r="AR319">
            <v>1510</v>
          </cell>
          <cell r="AS319">
            <v>3.3</v>
          </cell>
          <cell r="AV319">
            <v>2.441517815955967</v>
          </cell>
          <cell r="BS319">
            <v>2.5640000000000001</v>
          </cell>
        </row>
        <row r="320">
          <cell r="A320">
            <v>392</v>
          </cell>
          <cell r="B320">
            <v>40246</v>
          </cell>
          <cell r="D320">
            <v>1500.9</v>
          </cell>
          <cell r="E320">
            <v>1426.2</v>
          </cell>
          <cell r="G320" t="str">
            <v>Parcheo elaboración de fallos en vías urbanas y rurales del municipio de Medellín.</v>
          </cell>
          <cell r="H320" t="str">
            <v>1/2</v>
          </cell>
          <cell r="I320">
            <v>0</v>
          </cell>
          <cell r="J320">
            <v>144.19999999999999</v>
          </cell>
          <cell r="K320">
            <v>151.9</v>
          </cell>
          <cell r="L320">
            <v>322.10000000000002</v>
          </cell>
          <cell r="M320">
            <v>323.5</v>
          </cell>
          <cell r="N320">
            <v>233.4</v>
          </cell>
          <cell r="O320">
            <v>78.900000000000006</v>
          </cell>
          <cell r="P320">
            <v>77.7</v>
          </cell>
          <cell r="Q320">
            <v>94.5</v>
          </cell>
          <cell r="S320">
            <v>25</v>
          </cell>
          <cell r="T320" t="str">
            <v>1</v>
          </cell>
          <cell r="U320">
            <v>1237.4000000000001</v>
          </cell>
          <cell r="V320">
            <v>1238.4000000000001</v>
          </cell>
          <cell r="W320">
            <v>735.1</v>
          </cell>
          <cell r="Y320">
            <v>3.2</v>
          </cell>
          <cell r="Z320">
            <v>1234.5</v>
          </cell>
          <cell r="AA320">
            <v>1237</v>
          </cell>
          <cell r="AB320">
            <v>726.9</v>
          </cell>
          <cell r="AD320">
            <v>3.3</v>
          </cell>
          <cell r="AE320">
            <v>1233.7</v>
          </cell>
          <cell r="AF320">
            <v>1235.7</v>
          </cell>
          <cell r="AG320">
            <v>728</v>
          </cell>
          <cell r="AI320">
            <v>3.6</v>
          </cell>
          <cell r="AK320">
            <v>1469.40211</v>
          </cell>
          <cell r="AM320">
            <v>1250.16446</v>
          </cell>
          <cell r="AO320">
            <v>1433.71226</v>
          </cell>
          <cell r="AP320" t="str">
            <v>Muestra tomada en el elevador</v>
          </cell>
          <cell r="AQ320" t="str">
            <v>-</v>
          </cell>
          <cell r="AR320">
            <v>1427</v>
          </cell>
          <cell r="AS320">
            <v>3.4</v>
          </cell>
          <cell r="AV320">
            <v>2.4290958686223396</v>
          </cell>
          <cell r="BS320">
            <v>2.5819999999999999</v>
          </cell>
        </row>
        <row r="321">
          <cell r="A321">
            <v>393</v>
          </cell>
          <cell r="B321">
            <v>40246</v>
          </cell>
          <cell r="D321">
            <v>1500.3</v>
          </cell>
          <cell r="E321">
            <v>1421.7</v>
          </cell>
          <cell r="G321" t="str">
            <v>Parcheo elaboración de fallos en vías urbanas y rurales del municipio de Medellín.</v>
          </cell>
          <cell r="H321" t="str">
            <v>2/2</v>
          </cell>
          <cell r="I321">
            <v>0</v>
          </cell>
          <cell r="J321">
            <v>185.6</v>
          </cell>
          <cell r="K321">
            <v>188.4</v>
          </cell>
          <cell r="L321">
            <v>291.5</v>
          </cell>
          <cell r="M321">
            <v>279.5</v>
          </cell>
          <cell r="N321">
            <v>226.4</v>
          </cell>
          <cell r="O321">
            <v>83.8</v>
          </cell>
          <cell r="P321">
            <v>66.5</v>
          </cell>
          <cell r="Q321">
            <v>100</v>
          </cell>
          <cell r="S321">
            <v>25</v>
          </cell>
          <cell r="T321" t="str">
            <v>1</v>
          </cell>
          <cell r="U321">
            <v>1234.8</v>
          </cell>
          <cell r="V321">
            <v>1235.5</v>
          </cell>
          <cell r="W321">
            <v>738.5</v>
          </cell>
          <cell r="Y321">
            <v>3.4</v>
          </cell>
          <cell r="Z321">
            <v>1233.5</v>
          </cell>
          <cell r="AA321">
            <v>1235</v>
          </cell>
          <cell r="AB321">
            <v>734</v>
          </cell>
          <cell r="AD321">
            <v>3.5</v>
          </cell>
          <cell r="AE321">
            <v>1231.8</v>
          </cell>
          <cell r="AF321">
            <v>1233.8</v>
          </cell>
          <cell r="AG321">
            <v>733.3</v>
          </cell>
          <cell r="AI321">
            <v>3.4</v>
          </cell>
          <cell r="AK321">
            <v>1753.9012</v>
          </cell>
          <cell r="AM321">
            <v>1493.8751500000001</v>
          </cell>
          <cell r="AO321">
            <v>1444.9290700000001</v>
          </cell>
          <cell r="AP321" t="str">
            <v>Muestra tomada en la volqueta</v>
          </cell>
          <cell r="AQ321" t="str">
            <v>-</v>
          </cell>
          <cell r="AR321">
            <v>1652</v>
          </cell>
          <cell r="AS321">
            <v>3.4</v>
          </cell>
          <cell r="AV321">
            <v>2.4620180551906889</v>
          </cell>
          <cell r="BS321">
            <v>2.5819999999999999</v>
          </cell>
        </row>
        <row r="322">
          <cell r="A322">
            <v>394</v>
          </cell>
          <cell r="B322">
            <v>40247</v>
          </cell>
          <cell r="D322">
            <v>1500.6</v>
          </cell>
          <cell r="E322">
            <v>1428.6</v>
          </cell>
          <cell r="G322" t="str">
            <v>Parcheo elaboración de fallos en vías urbanas y rurales del municipio de Medellín.</v>
          </cell>
          <cell r="H322" t="str">
            <v>1/3</v>
          </cell>
          <cell r="I322">
            <v>0</v>
          </cell>
          <cell r="J322">
            <v>182.6</v>
          </cell>
          <cell r="K322">
            <v>224.6</v>
          </cell>
          <cell r="L322">
            <v>282.60000000000002</v>
          </cell>
          <cell r="M322">
            <v>273.60000000000002</v>
          </cell>
          <cell r="N322">
            <v>222.3</v>
          </cell>
          <cell r="O322">
            <v>82.5</v>
          </cell>
          <cell r="P322">
            <v>78.900000000000006</v>
          </cell>
          <cell r="Q322">
            <v>81.5</v>
          </cell>
          <cell r="S322">
            <v>25</v>
          </cell>
          <cell r="T322" t="str">
            <v>1</v>
          </cell>
          <cell r="U322">
            <v>1235.2</v>
          </cell>
          <cell r="V322">
            <v>1238.5</v>
          </cell>
          <cell r="W322">
            <v>729.5</v>
          </cell>
          <cell r="Y322">
            <v>3.5</v>
          </cell>
          <cell r="Z322">
            <v>1236.4000000000001</v>
          </cell>
          <cell r="AA322">
            <v>1239.0999999999999</v>
          </cell>
          <cell r="AB322">
            <v>730.4</v>
          </cell>
          <cell r="AD322">
            <v>3.3</v>
          </cell>
          <cell r="AE322">
            <v>1236.5</v>
          </cell>
          <cell r="AF322">
            <v>1239.5999999999999</v>
          </cell>
          <cell r="AG322">
            <v>732.4</v>
          </cell>
          <cell r="AI322">
            <v>3.1</v>
          </cell>
          <cell r="AK322">
            <v>1317.46532</v>
          </cell>
          <cell r="AM322">
            <v>1494.8948600000001</v>
          </cell>
          <cell r="AO322">
            <v>1452.0670400000001</v>
          </cell>
          <cell r="AP322" t="str">
            <v>Muestra tomada en el elevador</v>
          </cell>
          <cell r="AQ322" t="str">
            <v>-</v>
          </cell>
          <cell r="AR322">
            <v>1458</v>
          </cell>
          <cell r="AS322">
            <v>3.3</v>
          </cell>
          <cell r="AV322">
            <v>2.4245947621061488</v>
          </cell>
          <cell r="BS322">
            <v>2.5819999999999999</v>
          </cell>
        </row>
        <row r="323">
          <cell r="A323">
            <v>395</v>
          </cell>
          <cell r="B323">
            <v>40247</v>
          </cell>
          <cell r="D323">
            <v>1501.1</v>
          </cell>
          <cell r="E323">
            <v>1427.9</v>
          </cell>
          <cell r="G323" t="str">
            <v>Parcheo elaboración de fallos en vías urbanas y rurales del municipio de Medellín.</v>
          </cell>
          <cell r="H323" t="str">
            <v>2/3</v>
          </cell>
          <cell r="I323">
            <v>0</v>
          </cell>
          <cell r="J323">
            <v>105.7</v>
          </cell>
          <cell r="K323">
            <v>224.2</v>
          </cell>
          <cell r="L323">
            <v>321.3</v>
          </cell>
          <cell r="M323">
            <v>301</v>
          </cell>
          <cell r="N323">
            <v>229.8</v>
          </cell>
          <cell r="O323">
            <v>78.400000000000006</v>
          </cell>
          <cell r="P323">
            <v>79.7</v>
          </cell>
          <cell r="Q323">
            <v>87.8</v>
          </cell>
          <cell r="S323">
            <v>25</v>
          </cell>
          <cell r="T323" t="str">
            <v>1</v>
          </cell>
          <cell r="U323">
            <v>1235.7</v>
          </cell>
          <cell r="V323">
            <v>1236.9000000000001</v>
          </cell>
          <cell r="W323">
            <v>732.9</v>
          </cell>
          <cell r="Y323">
            <v>3.3</v>
          </cell>
          <cell r="Z323">
            <v>1235.8</v>
          </cell>
          <cell r="AA323">
            <v>1237.0999999999999</v>
          </cell>
          <cell r="AB323">
            <v>731.5</v>
          </cell>
          <cell r="AD323">
            <v>3.1</v>
          </cell>
          <cell r="AE323">
            <v>1234</v>
          </cell>
          <cell r="AF323">
            <v>1235.5999999999999</v>
          </cell>
          <cell r="AG323">
            <v>737.3</v>
          </cell>
          <cell r="AI323">
            <v>3.2</v>
          </cell>
          <cell r="AK323">
            <v>1515.2890600000001</v>
          </cell>
          <cell r="AM323">
            <v>1440.8502300000002</v>
          </cell>
          <cell r="AO323">
            <v>1367.43111</v>
          </cell>
          <cell r="AP323" t="str">
            <v>Muestra tomada en la volqueta</v>
          </cell>
          <cell r="AQ323" t="str">
            <v>-</v>
          </cell>
          <cell r="AR323">
            <v>1505</v>
          </cell>
          <cell r="AS323">
            <v>3.2</v>
          </cell>
          <cell r="AV323">
            <v>2.4502886222781286</v>
          </cell>
          <cell r="BS323">
            <v>2.5819999999999999</v>
          </cell>
        </row>
        <row r="324">
          <cell r="A324">
            <v>396</v>
          </cell>
          <cell r="B324">
            <v>40248</v>
          </cell>
          <cell r="D324">
            <v>1500.5</v>
          </cell>
          <cell r="E324">
            <v>1426.3</v>
          </cell>
          <cell r="G324" t="str">
            <v>Parcheo elaboración de fallos en vías urbanas y rurales del municipio de Medellín.</v>
          </cell>
          <cell r="H324" t="str">
            <v>1/2</v>
          </cell>
          <cell r="I324">
            <v>0</v>
          </cell>
          <cell r="J324">
            <v>150.1</v>
          </cell>
          <cell r="K324">
            <v>167.1</v>
          </cell>
          <cell r="L324">
            <v>357.9</v>
          </cell>
          <cell r="M324">
            <v>301.3</v>
          </cell>
          <cell r="N324">
            <v>213.6</v>
          </cell>
          <cell r="O324">
            <v>89.8</v>
          </cell>
          <cell r="P324">
            <v>69.2</v>
          </cell>
          <cell r="Q324">
            <v>77.3</v>
          </cell>
          <cell r="S324">
            <v>25</v>
          </cell>
          <cell r="T324" t="str">
            <v>1</v>
          </cell>
          <cell r="U324">
            <v>1235.2</v>
          </cell>
          <cell r="V324">
            <v>1238.5</v>
          </cell>
          <cell r="W324">
            <v>729.5</v>
          </cell>
          <cell r="Y324">
            <v>3.5</v>
          </cell>
          <cell r="Z324">
            <v>1236.4000000000001</v>
          </cell>
          <cell r="AA324">
            <v>1239.0999999999999</v>
          </cell>
          <cell r="AB324">
            <v>730.4</v>
          </cell>
          <cell r="AD324">
            <v>3.3</v>
          </cell>
          <cell r="AE324">
            <v>1236.5</v>
          </cell>
          <cell r="AF324">
            <v>1239.5999999999999</v>
          </cell>
          <cell r="AG324">
            <v>732.4</v>
          </cell>
          <cell r="AI324">
            <v>3.1</v>
          </cell>
          <cell r="AK324">
            <v>1317.46532</v>
          </cell>
          <cell r="AM324">
            <v>1494.8948600000001</v>
          </cell>
          <cell r="AO324">
            <v>1452.0670400000001</v>
          </cell>
          <cell r="AP324" t="str">
            <v>Muestra tomada en el elevador</v>
          </cell>
          <cell r="AQ324" t="str">
            <v>-</v>
          </cell>
          <cell r="AR324">
            <v>1458</v>
          </cell>
          <cell r="AS324">
            <v>3.3</v>
          </cell>
          <cell r="AV324">
            <v>2.4245947621061488</v>
          </cell>
          <cell r="BS324">
            <v>2.569</v>
          </cell>
        </row>
        <row r="325">
          <cell r="A325">
            <v>397</v>
          </cell>
          <cell r="B325">
            <v>40248</v>
          </cell>
          <cell r="D325">
            <v>1500.3</v>
          </cell>
          <cell r="E325">
            <v>1420.3</v>
          </cell>
          <cell r="G325" t="str">
            <v>Parcheo elaboración de fallos en vías urbanas y rurales del municipio de Medellín.</v>
          </cell>
          <cell r="H325" t="str">
            <v>2/2</v>
          </cell>
          <cell r="I325">
            <v>0</v>
          </cell>
          <cell r="J325">
            <v>171.1</v>
          </cell>
          <cell r="K325">
            <v>128.5</v>
          </cell>
          <cell r="L325">
            <v>304.8</v>
          </cell>
          <cell r="M325">
            <v>317.39999999999998</v>
          </cell>
          <cell r="N325">
            <v>245.1</v>
          </cell>
          <cell r="O325">
            <v>80</v>
          </cell>
          <cell r="P325">
            <v>82.2</v>
          </cell>
          <cell r="Q325">
            <v>91.2</v>
          </cell>
          <cell r="S325">
            <v>25</v>
          </cell>
          <cell r="T325" t="str">
            <v>1</v>
          </cell>
          <cell r="U325">
            <v>1235.7</v>
          </cell>
          <cell r="V325">
            <v>1236.7</v>
          </cell>
          <cell r="W325">
            <v>732.9</v>
          </cell>
          <cell r="Y325">
            <v>3.3</v>
          </cell>
          <cell r="Z325">
            <v>1235.8</v>
          </cell>
          <cell r="AA325">
            <v>1237.0999999999999</v>
          </cell>
          <cell r="AB325">
            <v>731.5</v>
          </cell>
          <cell r="AD325">
            <v>3.1</v>
          </cell>
          <cell r="AE325">
            <v>1234</v>
          </cell>
          <cell r="AF325">
            <v>1235.5999999999999</v>
          </cell>
          <cell r="AG325">
            <v>727.3</v>
          </cell>
          <cell r="AI325">
            <v>3.2</v>
          </cell>
          <cell r="AK325">
            <v>1617.2600600000001</v>
          </cell>
          <cell r="AM325">
            <v>1437.7910999999999</v>
          </cell>
          <cell r="AO325">
            <v>1367.43111</v>
          </cell>
          <cell r="AP325" t="str">
            <v>Muestra tomada en la volqueta</v>
          </cell>
          <cell r="AQ325" t="str">
            <v>-</v>
          </cell>
          <cell r="AR325">
            <v>1524</v>
          </cell>
          <cell r="AS325">
            <v>3.2</v>
          </cell>
          <cell r="AV325">
            <v>2.4344197305275812</v>
          </cell>
          <cell r="BS325">
            <v>2.569</v>
          </cell>
        </row>
        <row r="326">
          <cell r="A326">
            <v>398</v>
          </cell>
          <cell r="B326">
            <v>40249</v>
          </cell>
          <cell r="D326">
            <v>1500.5</v>
          </cell>
          <cell r="E326">
            <v>1425.1</v>
          </cell>
          <cell r="G326" t="str">
            <v>Parcheo elaboración de fallos en vías urbanas y rurales del municipio de Medellín.</v>
          </cell>
          <cell r="H326" t="str">
            <v>1/2</v>
          </cell>
          <cell r="I326">
            <v>0</v>
          </cell>
          <cell r="J326">
            <v>95</v>
          </cell>
          <cell r="K326">
            <v>188.7</v>
          </cell>
          <cell r="L326">
            <v>399.5</v>
          </cell>
          <cell r="M326">
            <v>306.2</v>
          </cell>
          <cell r="N326">
            <v>203</v>
          </cell>
          <cell r="O326">
            <v>70.400000000000006</v>
          </cell>
          <cell r="P326">
            <v>71.400000000000006</v>
          </cell>
          <cell r="Q326">
            <v>90.9</v>
          </cell>
          <cell r="S326">
            <v>25</v>
          </cell>
          <cell r="T326" t="str">
            <v>1</v>
          </cell>
          <cell r="U326">
            <v>1238.0999999999999</v>
          </cell>
          <cell r="V326">
            <v>1239</v>
          </cell>
          <cell r="W326">
            <v>733.8</v>
          </cell>
          <cell r="Y326">
            <v>3.1</v>
          </cell>
          <cell r="Z326">
            <v>1233.8</v>
          </cell>
          <cell r="AA326">
            <v>1235.2</v>
          </cell>
          <cell r="AB326">
            <v>730.3</v>
          </cell>
          <cell r="AD326">
            <v>3.3</v>
          </cell>
          <cell r="AE326">
            <v>1234.3</v>
          </cell>
          <cell r="AF326">
            <v>1235.9000000000001</v>
          </cell>
          <cell r="AG326">
            <v>729.8</v>
          </cell>
          <cell r="AI326">
            <v>3.5</v>
          </cell>
          <cell r="AK326">
            <v>1499.99341</v>
          </cell>
          <cell r="AM326">
            <v>1471.4415300000001</v>
          </cell>
          <cell r="AO326">
            <v>1316.44561</v>
          </cell>
          <cell r="AP326" t="str">
            <v>Muestra tomada en el elevador</v>
          </cell>
          <cell r="AQ326" t="str">
            <v>-</v>
          </cell>
          <cell r="AR326">
            <v>1480</v>
          </cell>
          <cell r="AS326">
            <v>3.3</v>
          </cell>
          <cell r="AV326">
            <v>2.437253744490584</v>
          </cell>
          <cell r="BS326">
            <v>2.5739999999999998</v>
          </cell>
        </row>
        <row r="327">
          <cell r="A327">
            <v>399</v>
          </cell>
          <cell r="B327">
            <v>40249</v>
          </cell>
          <cell r="D327">
            <v>1500.5</v>
          </cell>
          <cell r="E327">
            <v>1423.8</v>
          </cell>
          <cell r="G327" t="str">
            <v>Parcheo elaboración de fallos en vías urbanas y rurales del municipio de Medellín.</v>
          </cell>
          <cell r="H327" t="str">
            <v>2/2</v>
          </cell>
          <cell r="I327">
            <v>0</v>
          </cell>
          <cell r="J327">
            <v>141.30000000000001</v>
          </cell>
          <cell r="K327">
            <v>244.8</v>
          </cell>
          <cell r="L327">
            <v>268</v>
          </cell>
          <cell r="M327">
            <v>296.60000000000002</v>
          </cell>
          <cell r="N327">
            <v>237.5</v>
          </cell>
          <cell r="O327">
            <v>82.3</v>
          </cell>
          <cell r="P327">
            <v>65.3</v>
          </cell>
          <cell r="Q327">
            <v>88</v>
          </cell>
          <cell r="S327">
            <v>25</v>
          </cell>
          <cell r="T327" t="str">
            <v>1</v>
          </cell>
          <cell r="U327">
            <v>1236.0999999999999</v>
          </cell>
          <cell r="V327">
            <v>1237.9000000000001</v>
          </cell>
          <cell r="W327">
            <v>733.1</v>
          </cell>
          <cell r="Y327">
            <v>3</v>
          </cell>
          <cell r="Z327">
            <v>1233.8</v>
          </cell>
          <cell r="AA327">
            <v>1235.8</v>
          </cell>
          <cell r="AB327">
            <v>732</v>
          </cell>
          <cell r="AD327">
            <v>3.2</v>
          </cell>
          <cell r="AE327">
            <v>1234</v>
          </cell>
          <cell r="AF327">
            <v>1235.7</v>
          </cell>
          <cell r="AG327">
            <v>731.3</v>
          </cell>
          <cell r="AI327">
            <v>3.5</v>
          </cell>
          <cell r="AK327">
            <v>1490.81602</v>
          </cell>
          <cell r="AM327">
            <v>1434.73197</v>
          </cell>
          <cell r="AO327">
            <v>1502.0328300000001</v>
          </cell>
          <cell r="AP327" t="str">
            <v>Muestra tomada en la volqueta</v>
          </cell>
          <cell r="AQ327" t="str">
            <v>-</v>
          </cell>
          <cell r="AR327">
            <v>1533</v>
          </cell>
          <cell r="AS327">
            <v>3.2</v>
          </cell>
          <cell r="AV327">
            <v>2.4408898857338079</v>
          </cell>
          <cell r="BS327">
            <v>2.5739999999999998</v>
          </cell>
        </row>
        <row r="328">
          <cell r="A328">
            <v>400</v>
          </cell>
          <cell r="B328">
            <v>40252</v>
          </cell>
          <cell r="D328">
            <v>1500.6</v>
          </cell>
          <cell r="E328">
            <v>1424.4</v>
          </cell>
          <cell r="G328" t="str">
            <v>Parcheo elaboración de fallos en vías urbanas y rurales del municipio de Medellín.</v>
          </cell>
          <cell r="H328" t="str">
            <v>1/3</v>
          </cell>
          <cell r="I328">
            <v>0</v>
          </cell>
          <cell r="J328">
            <v>158.69999999999999</v>
          </cell>
          <cell r="K328">
            <v>234</v>
          </cell>
          <cell r="L328">
            <v>264.8</v>
          </cell>
          <cell r="M328">
            <v>324.7</v>
          </cell>
          <cell r="N328">
            <v>216.7</v>
          </cell>
          <cell r="O328">
            <v>70.900000000000006</v>
          </cell>
          <cell r="P328">
            <v>72.3</v>
          </cell>
          <cell r="Q328">
            <v>82.3</v>
          </cell>
          <cell r="S328">
            <v>25</v>
          </cell>
          <cell r="T328" t="str">
            <v>1</v>
          </cell>
          <cell r="U328">
            <v>1235.7</v>
          </cell>
          <cell r="V328">
            <v>1236.8</v>
          </cell>
          <cell r="W328">
            <v>733.3</v>
          </cell>
          <cell r="Y328">
            <v>3.4</v>
          </cell>
          <cell r="Z328">
            <v>1237.4000000000001</v>
          </cell>
          <cell r="AA328">
            <v>1239.9000000000001</v>
          </cell>
          <cell r="AB328">
            <v>731</v>
          </cell>
          <cell r="AD328">
            <v>2.92</v>
          </cell>
          <cell r="AE328">
            <v>1231.5999999999999</v>
          </cell>
          <cell r="AF328">
            <v>1233.0999999999999</v>
          </cell>
          <cell r="AG328">
            <v>725.5</v>
          </cell>
          <cell r="AI328">
            <v>3.5</v>
          </cell>
          <cell r="AK328">
            <v>1599.92499</v>
          </cell>
          <cell r="AM328">
            <v>1217.5337400000001</v>
          </cell>
          <cell r="AO328">
            <v>1361.31285</v>
          </cell>
          <cell r="AP328" t="str">
            <v>Muestra tomada en el elevador</v>
          </cell>
          <cell r="AQ328" t="str">
            <v>-</v>
          </cell>
          <cell r="AR328">
            <v>1437</v>
          </cell>
          <cell r="AS328">
            <v>3.3</v>
          </cell>
          <cell r="AV328">
            <v>2.4302238608705724</v>
          </cell>
          <cell r="BS328">
            <v>2.5680000000000001</v>
          </cell>
        </row>
        <row r="329">
          <cell r="A329">
            <v>401</v>
          </cell>
          <cell r="B329">
            <v>40252</v>
          </cell>
          <cell r="D329">
            <v>1500.5</v>
          </cell>
          <cell r="E329">
            <v>1426.9</v>
          </cell>
          <cell r="G329" t="str">
            <v>Parcheo elaboración de fallos en vías urbanas y rurales del municipio de Medellín.</v>
          </cell>
          <cell r="H329" t="str">
            <v>2/3</v>
          </cell>
          <cell r="I329">
            <v>0</v>
          </cell>
          <cell r="J329">
            <v>249.8</v>
          </cell>
          <cell r="K329">
            <v>249.4</v>
          </cell>
          <cell r="L329">
            <v>182.4</v>
          </cell>
          <cell r="M329">
            <v>288.5</v>
          </cell>
          <cell r="N329">
            <v>224</v>
          </cell>
          <cell r="O329">
            <v>79.7</v>
          </cell>
          <cell r="P329">
            <v>65</v>
          </cell>
          <cell r="Q329">
            <v>88.1</v>
          </cell>
          <cell r="S329">
            <v>25</v>
          </cell>
          <cell r="T329" t="str">
            <v>1</v>
          </cell>
          <cell r="U329">
            <v>1237.2</v>
          </cell>
          <cell r="V329">
            <v>1238.5</v>
          </cell>
          <cell r="W329">
            <v>737.2</v>
          </cell>
          <cell r="Y329">
            <v>3.3</v>
          </cell>
          <cell r="Z329">
            <v>1234.4000000000001</v>
          </cell>
          <cell r="AA329">
            <v>1236.4000000000001</v>
          </cell>
          <cell r="AB329">
            <v>734.8</v>
          </cell>
          <cell r="AD329">
            <v>3.4</v>
          </cell>
          <cell r="AE329">
            <v>1234.3</v>
          </cell>
          <cell r="AF329">
            <v>1236.3</v>
          </cell>
          <cell r="AG329">
            <v>734.6</v>
          </cell>
          <cell r="AI329">
            <v>3.6</v>
          </cell>
          <cell r="AK329">
            <v>1511.2102200000002</v>
          </cell>
          <cell r="AM329">
            <v>1369.4705300000001</v>
          </cell>
          <cell r="AO329">
            <v>1677.4229499999999</v>
          </cell>
          <cell r="AP329" t="str">
            <v>Muestra tomada en la volqueta</v>
          </cell>
          <cell r="AQ329" t="str">
            <v>-</v>
          </cell>
          <cell r="AR329">
            <v>1593</v>
          </cell>
          <cell r="AS329">
            <v>3.4</v>
          </cell>
          <cell r="AV329">
            <v>2.4558434130226865</v>
          </cell>
          <cell r="BS329">
            <v>2.5680000000000001</v>
          </cell>
        </row>
        <row r="330">
          <cell r="A330">
            <v>402</v>
          </cell>
          <cell r="B330">
            <v>40252</v>
          </cell>
          <cell r="D330">
            <v>1500.3</v>
          </cell>
          <cell r="E330">
            <v>1426.3</v>
          </cell>
          <cell r="G330" t="str">
            <v>Parcheo elaboración de fallos en vías urbanas y rurales del municipio de Medellín.</v>
          </cell>
          <cell r="H330" t="str">
            <v>3/3</v>
          </cell>
          <cell r="I330">
            <v>0</v>
          </cell>
          <cell r="J330">
            <v>180.5</v>
          </cell>
          <cell r="K330">
            <v>195.3</v>
          </cell>
          <cell r="L330">
            <v>285.10000000000002</v>
          </cell>
          <cell r="M330">
            <v>306.39999999999998</v>
          </cell>
          <cell r="N330">
            <v>221.7</v>
          </cell>
          <cell r="O330">
            <v>75.400000000000006</v>
          </cell>
          <cell r="P330">
            <v>75.400000000000006</v>
          </cell>
          <cell r="Q330">
            <v>86.5</v>
          </cell>
          <cell r="S330">
            <v>25</v>
          </cell>
          <cell r="T330" t="str">
            <v>1</v>
          </cell>
          <cell r="AK330">
            <v>0</v>
          </cell>
          <cell r="AM330">
            <v>0</v>
          </cell>
          <cell r="AO330">
            <v>0</v>
          </cell>
          <cell r="AP330" t="str">
            <v>Muestra tomada en el obra en cojunto con el Laboratorio de AIM</v>
          </cell>
          <cell r="AQ330" t="str">
            <v>Cra. 43G con calle 25A</v>
          </cell>
          <cell r="AR330">
            <v>0</v>
          </cell>
          <cell r="AS330">
            <v>0</v>
          </cell>
          <cell r="AV330">
            <v>0</v>
          </cell>
          <cell r="BS330">
            <v>2.5680000000000001</v>
          </cell>
        </row>
        <row r="331">
          <cell r="A331">
            <v>403</v>
          </cell>
          <cell r="B331">
            <v>40253</v>
          </cell>
          <cell r="D331">
            <v>1500.3</v>
          </cell>
          <cell r="E331">
            <v>1424.4</v>
          </cell>
          <cell r="G331" t="str">
            <v>Parcheo elaboración de fallos en vías urbanas y rurales del municipio de Medellín.</v>
          </cell>
          <cell r="H331" t="str">
            <v>1/3</v>
          </cell>
          <cell r="I331">
            <v>0</v>
          </cell>
          <cell r="J331">
            <v>159.30000000000001</v>
          </cell>
          <cell r="K331">
            <v>175.7</v>
          </cell>
          <cell r="L331">
            <v>293</v>
          </cell>
          <cell r="M331">
            <v>333.2</v>
          </cell>
          <cell r="N331">
            <v>230</v>
          </cell>
          <cell r="O331">
            <v>73.7</v>
          </cell>
          <cell r="P331">
            <v>74.400000000000006</v>
          </cell>
          <cell r="Q331">
            <v>85.1</v>
          </cell>
          <cell r="S331">
            <v>25</v>
          </cell>
          <cell r="T331" t="str">
            <v>1</v>
          </cell>
          <cell r="U331">
            <v>1244.5999999999999</v>
          </cell>
          <cell r="V331">
            <v>1236.7</v>
          </cell>
          <cell r="W331">
            <v>729.2</v>
          </cell>
          <cell r="Y331">
            <v>3</v>
          </cell>
          <cell r="Z331">
            <v>1234.3</v>
          </cell>
          <cell r="AA331">
            <v>1236.7</v>
          </cell>
          <cell r="AB331">
            <v>728.1</v>
          </cell>
          <cell r="AD331">
            <v>3.2</v>
          </cell>
          <cell r="AE331">
            <v>1235.8</v>
          </cell>
          <cell r="AF331">
            <v>1238.5999999999999</v>
          </cell>
          <cell r="AG331">
            <v>729.5</v>
          </cell>
          <cell r="AI331">
            <v>3.4</v>
          </cell>
          <cell r="AK331">
            <v>1428.6137100000001</v>
          </cell>
          <cell r="AM331">
            <v>1356.2143000000001</v>
          </cell>
          <cell r="AO331">
            <v>1371.5099499999999</v>
          </cell>
          <cell r="AP331" t="str">
            <v>Muestra tomada en el elevador</v>
          </cell>
          <cell r="AQ331" t="str">
            <v>-</v>
          </cell>
          <cell r="AR331">
            <v>1420</v>
          </cell>
          <cell r="AS331">
            <v>3.2</v>
          </cell>
          <cell r="AV331">
            <v>2.4284402324450793</v>
          </cell>
          <cell r="BS331">
            <v>2.58</v>
          </cell>
        </row>
        <row r="332">
          <cell r="A332">
            <v>404</v>
          </cell>
          <cell r="B332">
            <v>40253</v>
          </cell>
          <cell r="D332">
            <v>1500.4</v>
          </cell>
          <cell r="E332">
            <v>1431.6</v>
          </cell>
          <cell r="G332" t="str">
            <v>Parcheo elaboración de fallos en vías urbanas y rurales del municipio de Medellín.</v>
          </cell>
          <cell r="H332" t="str">
            <v>2/3</v>
          </cell>
          <cell r="I332">
            <v>0</v>
          </cell>
          <cell r="J332">
            <v>234.5</v>
          </cell>
          <cell r="K332">
            <v>199.6</v>
          </cell>
          <cell r="L332">
            <v>293.3</v>
          </cell>
          <cell r="M332">
            <v>258.3</v>
          </cell>
          <cell r="N332">
            <v>211.6</v>
          </cell>
          <cell r="O332">
            <v>79.900000000000006</v>
          </cell>
          <cell r="P332">
            <v>65.599999999999994</v>
          </cell>
          <cell r="Q332">
            <v>88.8</v>
          </cell>
          <cell r="S332">
            <v>25</v>
          </cell>
          <cell r="T332" t="str">
            <v>1</v>
          </cell>
          <cell r="U332">
            <v>1239.8</v>
          </cell>
          <cell r="V332">
            <v>1241.7</v>
          </cell>
          <cell r="W332">
            <v>736</v>
          </cell>
          <cell r="Y332">
            <v>3.2</v>
          </cell>
          <cell r="Z332">
            <v>1237</v>
          </cell>
          <cell r="AA332">
            <v>1239.4000000000001</v>
          </cell>
          <cell r="AB332">
            <v>734.8</v>
          </cell>
          <cell r="AD332">
            <v>3.4</v>
          </cell>
          <cell r="AE332">
            <v>1235.7</v>
          </cell>
          <cell r="AF332">
            <v>1236.5999999999999</v>
          </cell>
          <cell r="AG332">
            <v>734.6</v>
          </cell>
          <cell r="AI332">
            <v>3.4</v>
          </cell>
          <cell r="AK332">
            <v>1397.0027</v>
          </cell>
          <cell r="AM332">
            <v>1415.3574800000001</v>
          </cell>
          <cell r="AO332">
            <v>1594.82644</v>
          </cell>
          <cell r="AP332" t="str">
            <v>Muestra tomada en la volqueta</v>
          </cell>
          <cell r="AQ332" t="str">
            <v>-</v>
          </cell>
          <cell r="AR332">
            <v>1528</v>
          </cell>
          <cell r="AS332">
            <v>3.3</v>
          </cell>
          <cell r="AV332">
            <v>2.4477033486045174</v>
          </cell>
          <cell r="BS332">
            <v>2.58</v>
          </cell>
        </row>
        <row r="333">
          <cell r="A333">
            <v>405</v>
          </cell>
          <cell r="B333">
            <v>40253</v>
          </cell>
          <cell r="D333">
            <v>1504.1</v>
          </cell>
          <cell r="E333">
            <v>1427.8</v>
          </cell>
          <cell r="G333" t="str">
            <v>Parcheo elaboración de fallos en vías urbanas y rurales del municipio de Medellín.</v>
          </cell>
          <cell r="H333" t="str">
            <v>3/3</v>
          </cell>
          <cell r="I333">
            <v>0</v>
          </cell>
          <cell r="J333">
            <v>156.80000000000001</v>
          </cell>
          <cell r="K333">
            <v>179.4</v>
          </cell>
          <cell r="L333">
            <v>292.7</v>
          </cell>
          <cell r="M333">
            <v>359.1</v>
          </cell>
          <cell r="N333">
            <v>216</v>
          </cell>
          <cell r="O333">
            <v>69.099999999999994</v>
          </cell>
          <cell r="P333">
            <v>69.7</v>
          </cell>
          <cell r="Q333">
            <v>85</v>
          </cell>
          <cell r="S333">
            <v>25</v>
          </cell>
          <cell r="T333" t="str">
            <v>1</v>
          </cell>
          <cell r="AP333" t="str">
            <v>Muestra tomada en el obra en conjunto con el Laboratorio de AIM</v>
          </cell>
          <cell r="AQ333" t="str">
            <v>Calle 10 Cra. 70A  (voqueta DIG 009)</v>
          </cell>
          <cell r="AR333">
            <v>0</v>
          </cell>
          <cell r="BS333">
            <v>2.58</v>
          </cell>
        </row>
        <row r="334">
          <cell r="A334">
            <v>406</v>
          </cell>
          <cell r="B334">
            <v>40254</v>
          </cell>
          <cell r="D334">
            <v>1500.3</v>
          </cell>
          <cell r="E334">
            <v>1427</v>
          </cell>
          <cell r="G334" t="str">
            <v>Parcheo elaboración de fallos en vías urbanas y rurales del municipio de Medellín.</v>
          </cell>
          <cell r="H334" t="str">
            <v>1/3</v>
          </cell>
          <cell r="I334">
            <v>0</v>
          </cell>
          <cell r="J334">
            <v>209.3</v>
          </cell>
          <cell r="K334">
            <v>198</v>
          </cell>
          <cell r="L334">
            <v>274.8</v>
          </cell>
          <cell r="M334">
            <v>305.39999999999998</v>
          </cell>
          <cell r="N334">
            <v>213.7</v>
          </cell>
          <cell r="O334">
            <v>71.3</v>
          </cell>
          <cell r="P334">
            <v>67.3</v>
          </cell>
          <cell r="Q334">
            <v>87.2</v>
          </cell>
          <cell r="S334">
            <v>25</v>
          </cell>
          <cell r="T334" t="str">
            <v>1</v>
          </cell>
          <cell r="U334">
            <v>1237.4000000000001</v>
          </cell>
          <cell r="V334">
            <v>1238.2</v>
          </cell>
          <cell r="W334">
            <v>734.6</v>
          </cell>
          <cell r="Y334">
            <v>3.1</v>
          </cell>
          <cell r="Z334">
            <v>1237.5</v>
          </cell>
          <cell r="AA334">
            <v>1236.2</v>
          </cell>
          <cell r="AB334">
            <v>733.3</v>
          </cell>
          <cell r="AD334">
            <v>3.5</v>
          </cell>
          <cell r="AE334">
            <v>1233.3</v>
          </cell>
          <cell r="AF334">
            <v>1235.5999999999999</v>
          </cell>
          <cell r="AG334">
            <v>724.3</v>
          </cell>
          <cell r="AI334">
            <v>3.5</v>
          </cell>
          <cell r="AK334">
            <v>1577.4913700000002</v>
          </cell>
          <cell r="AM334">
            <v>1449.00791</v>
          </cell>
          <cell r="AO334">
            <v>1195.1001200000001</v>
          </cell>
          <cell r="AP334" t="str">
            <v>Muestra tomada en el elevador</v>
          </cell>
          <cell r="AQ334" t="str">
            <v>-</v>
          </cell>
          <cell r="AR334">
            <v>1456</v>
          </cell>
          <cell r="AS334">
            <v>3.4</v>
          </cell>
          <cell r="AV334">
            <v>2.4361611356118242</v>
          </cell>
          <cell r="BS334">
            <v>2.58</v>
          </cell>
        </row>
        <row r="335">
          <cell r="A335">
            <v>407</v>
          </cell>
          <cell r="B335">
            <v>40254</v>
          </cell>
          <cell r="D335">
            <v>1500.4</v>
          </cell>
          <cell r="E335">
            <v>1424.1</v>
          </cell>
          <cell r="G335" t="str">
            <v>Parcheo elaboración de fallos en vías urbanas y rurales del municipio de Medellín.</v>
          </cell>
          <cell r="H335" t="str">
            <v>2/3</v>
          </cell>
          <cell r="I335">
            <v>0</v>
          </cell>
          <cell r="J335">
            <v>137.19999999999999</v>
          </cell>
          <cell r="K335">
            <v>172.7</v>
          </cell>
          <cell r="L335">
            <v>301.7</v>
          </cell>
          <cell r="M335">
            <v>324.89999999999998</v>
          </cell>
          <cell r="N335">
            <v>243.1</v>
          </cell>
          <cell r="O335">
            <v>85</v>
          </cell>
          <cell r="P335">
            <v>67.099999999999994</v>
          </cell>
          <cell r="Q335">
            <v>92.4</v>
          </cell>
          <cell r="S335">
            <v>25</v>
          </cell>
          <cell r="T335" t="str">
            <v>1</v>
          </cell>
          <cell r="U335">
            <v>1236.7</v>
          </cell>
          <cell r="V335">
            <v>1237.8</v>
          </cell>
          <cell r="W335">
            <v>735.5</v>
          </cell>
          <cell r="Y335">
            <v>3.1</v>
          </cell>
          <cell r="Z335">
            <v>1235.0999999999999</v>
          </cell>
          <cell r="AA335">
            <v>1235.8</v>
          </cell>
          <cell r="AB335">
            <v>733.4</v>
          </cell>
          <cell r="AD335">
            <v>2.9</v>
          </cell>
          <cell r="AE335">
            <v>1230.0999999999999</v>
          </cell>
          <cell r="AF335">
            <v>1230.8</v>
          </cell>
          <cell r="AG335">
            <v>728.9</v>
          </cell>
          <cell r="AI335">
            <v>3.1</v>
          </cell>
          <cell r="AK335">
            <v>1740.6449700000001</v>
          </cell>
          <cell r="AM335">
            <v>1498.9737</v>
          </cell>
          <cell r="AO335">
            <v>1401.0815400000001</v>
          </cell>
          <cell r="AP335" t="str">
            <v>Muestra tomada en la volqueta</v>
          </cell>
          <cell r="AQ335" t="str">
            <v>-</v>
          </cell>
          <cell r="AR335">
            <v>1618</v>
          </cell>
          <cell r="AS335">
            <v>3</v>
          </cell>
          <cell r="AV335">
            <v>2.449933179858462</v>
          </cell>
          <cell r="BS335">
            <v>2.58</v>
          </cell>
        </row>
        <row r="336">
          <cell r="A336">
            <v>408</v>
          </cell>
          <cell r="B336">
            <v>40254</v>
          </cell>
          <cell r="D336">
            <v>1501.9</v>
          </cell>
          <cell r="E336">
            <v>1421.9</v>
          </cell>
          <cell r="G336" t="str">
            <v>Parcheo elaboración de fallos en vías urbanas y rurales del municipio de Medellín.</v>
          </cell>
          <cell r="H336" t="str">
            <v>3/3</v>
          </cell>
          <cell r="I336">
            <v>0</v>
          </cell>
          <cell r="J336">
            <v>131.69999999999999</v>
          </cell>
          <cell r="K336">
            <v>187.3</v>
          </cell>
          <cell r="L336">
            <v>280.2</v>
          </cell>
          <cell r="M336">
            <v>338.5</v>
          </cell>
          <cell r="N336">
            <v>232.5</v>
          </cell>
          <cell r="O336">
            <v>78.099999999999994</v>
          </cell>
          <cell r="P336">
            <v>78.5</v>
          </cell>
          <cell r="Q336">
            <v>95.1</v>
          </cell>
          <cell r="S336">
            <v>25</v>
          </cell>
          <cell r="T336" t="str">
            <v>1</v>
          </cell>
          <cell r="AK336">
            <v>0</v>
          </cell>
          <cell r="AM336">
            <v>0</v>
          </cell>
          <cell r="AO336">
            <v>0</v>
          </cell>
          <cell r="AP336" t="str">
            <v>Muestra tomada en el obra en conjunto con el Laboratorio de AIM</v>
          </cell>
          <cell r="AQ336" t="str">
            <v>-</v>
          </cell>
          <cell r="AR336">
            <v>0</v>
          </cell>
          <cell r="AS336">
            <v>0</v>
          </cell>
          <cell r="AV336">
            <v>0</v>
          </cell>
          <cell r="BS336">
            <v>2.58</v>
          </cell>
        </row>
        <row r="337">
          <cell r="A337">
            <v>409</v>
          </cell>
          <cell r="B337">
            <v>40255</v>
          </cell>
          <cell r="D337">
            <v>1500.6</v>
          </cell>
          <cell r="E337">
            <v>1427</v>
          </cell>
          <cell r="G337" t="str">
            <v>Parcheo elaboración de fallos en vías urbanas y rurales del municipio de Medellín.</v>
          </cell>
          <cell r="H337" t="str">
            <v>1/3</v>
          </cell>
          <cell r="I337">
            <v>0</v>
          </cell>
          <cell r="J337">
            <v>151.5</v>
          </cell>
          <cell r="K337">
            <v>184.9</v>
          </cell>
          <cell r="L337">
            <v>359</v>
          </cell>
          <cell r="M337">
            <v>310.39999999999998</v>
          </cell>
          <cell r="N337">
            <v>197.8</v>
          </cell>
          <cell r="O337">
            <v>70.3</v>
          </cell>
          <cell r="P337">
            <v>68.3</v>
          </cell>
          <cell r="Q337">
            <v>84.8</v>
          </cell>
          <cell r="S337">
            <v>25</v>
          </cell>
          <cell r="T337" t="str">
            <v>1</v>
          </cell>
          <cell r="U337">
            <v>1235.8</v>
          </cell>
          <cell r="V337">
            <v>1237.3</v>
          </cell>
          <cell r="W337">
            <v>731.7</v>
          </cell>
          <cell r="Y337">
            <v>3.1</v>
          </cell>
          <cell r="Z337">
            <v>1234.0999999999999</v>
          </cell>
          <cell r="AA337">
            <v>1235.9000000000001</v>
          </cell>
          <cell r="AB337">
            <v>725.7</v>
          </cell>
          <cell r="AD337">
            <v>3.5</v>
          </cell>
          <cell r="AE337">
            <v>1237.2</v>
          </cell>
          <cell r="AF337">
            <v>1239</v>
          </cell>
          <cell r="AG337">
            <v>730.3</v>
          </cell>
          <cell r="AI337">
            <v>3.3</v>
          </cell>
          <cell r="AK337">
            <v>1382.72676</v>
          </cell>
          <cell r="AM337">
            <v>1316.44561</v>
          </cell>
          <cell r="AO337">
            <v>1341.9383600000001</v>
          </cell>
          <cell r="AP337" t="str">
            <v>Muestra tomada en el elevador</v>
          </cell>
          <cell r="AQ337" t="str">
            <v>-</v>
          </cell>
          <cell r="AR337">
            <v>1382</v>
          </cell>
          <cell r="AS337">
            <v>3.3</v>
          </cell>
          <cell r="AV337">
            <v>2.4246078210558002</v>
          </cell>
          <cell r="BS337">
            <v>2.58</v>
          </cell>
        </row>
        <row r="338">
          <cell r="A338">
            <v>410</v>
          </cell>
          <cell r="B338">
            <v>40255</v>
          </cell>
          <cell r="D338">
            <v>1500.5</v>
          </cell>
          <cell r="E338">
            <v>1425.5</v>
          </cell>
          <cell r="G338" t="str">
            <v>Parcheo elaboración de fallos en vías urbanas y rurales del municipio de Medellín.</v>
          </cell>
          <cell r="H338" t="str">
            <v>2/3</v>
          </cell>
          <cell r="I338">
            <v>0</v>
          </cell>
          <cell r="J338">
            <v>194.5</v>
          </cell>
          <cell r="K338">
            <v>176.7</v>
          </cell>
          <cell r="L338">
            <v>287.8</v>
          </cell>
          <cell r="M338">
            <v>325.3</v>
          </cell>
          <cell r="N338">
            <v>207.5</v>
          </cell>
          <cell r="O338">
            <v>69.599999999999994</v>
          </cell>
          <cell r="P338">
            <v>71.900000000000006</v>
          </cell>
          <cell r="Q338">
            <v>92.2</v>
          </cell>
          <cell r="S338">
            <v>25</v>
          </cell>
          <cell r="T338" t="str">
            <v>1</v>
          </cell>
          <cell r="U338">
            <v>1234.4000000000001</v>
          </cell>
          <cell r="V338">
            <v>1235.5</v>
          </cell>
          <cell r="W338">
            <v>737.1</v>
          </cell>
          <cell r="Y338">
            <v>2.9</v>
          </cell>
          <cell r="Z338">
            <v>1236.8</v>
          </cell>
          <cell r="AA338">
            <v>1238.2</v>
          </cell>
          <cell r="AB338">
            <v>734.8</v>
          </cell>
          <cell r="AD338">
            <v>3.2</v>
          </cell>
          <cell r="AE338">
            <v>1235.5</v>
          </cell>
          <cell r="AF338">
            <v>1237.4000000000001</v>
          </cell>
          <cell r="AG338">
            <v>733.1</v>
          </cell>
          <cell r="AI338">
            <v>3.5</v>
          </cell>
          <cell r="AK338">
            <v>1504.0722500000002</v>
          </cell>
          <cell r="AM338">
            <v>1626.4374499999999</v>
          </cell>
          <cell r="AO338">
            <v>1512.22993</v>
          </cell>
          <cell r="AP338" t="str">
            <v>Muestra tomada en la volqueta</v>
          </cell>
          <cell r="AQ338" t="str">
            <v>-</v>
          </cell>
          <cell r="AR338">
            <v>1620</v>
          </cell>
          <cell r="AS338">
            <v>3.2</v>
          </cell>
          <cell r="AV338">
            <v>2.4539841212440128</v>
          </cell>
          <cell r="BS338">
            <v>2.58</v>
          </cell>
        </row>
        <row r="339">
          <cell r="A339">
            <v>411</v>
          </cell>
          <cell r="B339">
            <v>40255</v>
          </cell>
          <cell r="D339">
            <v>1501.9</v>
          </cell>
          <cell r="E339">
            <v>1421.9</v>
          </cell>
          <cell r="G339" t="str">
            <v>Parcheo elaboración de fallos en vías urbanas y rurales del municipio de Medellín.</v>
          </cell>
          <cell r="H339" t="str">
            <v>3/3</v>
          </cell>
          <cell r="I339">
            <v>0</v>
          </cell>
          <cell r="J339">
            <v>131.69999999999999</v>
          </cell>
          <cell r="K339">
            <v>187.3</v>
          </cell>
          <cell r="L339">
            <v>280.2</v>
          </cell>
          <cell r="M339">
            <v>338.5</v>
          </cell>
          <cell r="N339">
            <v>232.5</v>
          </cell>
          <cell r="O339">
            <v>78.099999999999994</v>
          </cell>
          <cell r="P339">
            <v>78.5</v>
          </cell>
          <cell r="Q339">
            <v>95.1</v>
          </cell>
          <cell r="S339">
            <v>25</v>
          </cell>
          <cell r="T339" t="str">
            <v>1</v>
          </cell>
          <cell r="AP339" t="str">
            <v>Muestra tomada en el obra en conjunto con el Laboratorio de AIM</v>
          </cell>
          <cell r="AQ339" t="str">
            <v>-</v>
          </cell>
          <cell r="AR339">
            <v>0</v>
          </cell>
        </row>
        <row r="340">
          <cell r="A340">
            <v>412</v>
          </cell>
          <cell r="B340">
            <v>40256</v>
          </cell>
          <cell r="D340">
            <v>1500.2</v>
          </cell>
          <cell r="E340">
            <v>1429.4</v>
          </cell>
          <cell r="G340" t="str">
            <v>Parcheo elaboración de fallos en vías urbanas y rurales del municipio de Medellín.</v>
          </cell>
          <cell r="H340" t="str">
            <v>1/3</v>
          </cell>
          <cell r="I340">
            <v>0</v>
          </cell>
          <cell r="J340">
            <v>205.3</v>
          </cell>
          <cell r="K340">
            <v>157.69999999999999</v>
          </cell>
          <cell r="L340">
            <v>321.8</v>
          </cell>
          <cell r="M340">
            <v>279.5</v>
          </cell>
          <cell r="N340">
            <v>242.4</v>
          </cell>
          <cell r="O340">
            <v>72.400000000000006</v>
          </cell>
          <cell r="P340">
            <v>71.3</v>
          </cell>
          <cell r="Q340">
            <v>79</v>
          </cell>
          <cell r="S340">
            <v>25</v>
          </cell>
          <cell r="T340" t="str">
            <v>1</v>
          </cell>
          <cell r="U340">
            <v>1236.9000000000001</v>
          </cell>
          <cell r="V340">
            <v>1238.2</v>
          </cell>
          <cell r="W340">
            <v>737.2</v>
          </cell>
          <cell r="Y340">
            <v>3</v>
          </cell>
          <cell r="Z340">
            <v>1234.8</v>
          </cell>
          <cell r="AA340">
            <v>1237.3</v>
          </cell>
          <cell r="AB340">
            <v>734.5</v>
          </cell>
          <cell r="AD340">
            <v>3</v>
          </cell>
          <cell r="AE340">
            <v>1235.2</v>
          </cell>
          <cell r="AF340">
            <v>1237.5999999999999</v>
          </cell>
          <cell r="AG340">
            <v>735.1</v>
          </cell>
          <cell r="AI340">
            <v>3.2</v>
          </cell>
          <cell r="AK340">
            <v>1762.0588800000003</v>
          </cell>
          <cell r="AM340">
            <v>1366.4114000000002</v>
          </cell>
          <cell r="AO340">
            <v>1441.86994</v>
          </cell>
          <cell r="AP340" t="str">
            <v>Muestra tomada en el elevador</v>
          </cell>
          <cell r="AR340">
            <v>1595</v>
          </cell>
          <cell r="AS340">
            <v>3.1</v>
          </cell>
          <cell r="AV340">
            <v>2.4537414126761501</v>
          </cell>
          <cell r="BS340">
            <v>2.6019999999999999</v>
          </cell>
        </row>
        <row r="341">
          <cell r="A341">
            <v>413</v>
          </cell>
          <cell r="B341">
            <v>40256</v>
          </cell>
          <cell r="D341">
            <v>1500.2</v>
          </cell>
          <cell r="E341">
            <v>1426.9</v>
          </cell>
          <cell r="G341" t="str">
            <v>Parcheo elaboración de fallos en vías urbanas y rurales del municipio de Medellín.</v>
          </cell>
          <cell r="H341" t="str">
            <v>2/3</v>
          </cell>
          <cell r="I341">
            <v>0</v>
          </cell>
          <cell r="J341">
            <v>227</v>
          </cell>
          <cell r="K341">
            <v>152.4</v>
          </cell>
          <cell r="L341">
            <v>303.2</v>
          </cell>
          <cell r="M341">
            <v>293</v>
          </cell>
          <cell r="N341">
            <v>226.1</v>
          </cell>
          <cell r="O341">
            <v>68.8</v>
          </cell>
          <cell r="P341">
            <v>70.7</v>
          </cell>
          <cell r="Q341">
            <v>85.7</v>
          </cell>
          <cell r="S341">
            <v>25</v>
          </cell>
          <cell r="T341" t="str">
            <v>1</v>
          </cell>
          <cell r="U341">
            <v>1235.2</v>
          </cell>
          <cell r="V341">
            <v>1236.9000000000001</v>
          </cell>
          <cell r="W341">
            <v>733.5</v>
          </cell>
          <cell r="Y341">
            <v>3.1</v>
          </cell>
          <cell r="Z341">
            <v>1235.5999999999999</v>
          </cell>
          <cell r="AA341">
            <v>1237.2</v>
          </cell>
          <cell r="AB341">
            <v>734.8</v>
          </cell>
          <cell r="AD341">
            <v>3.1</v>
          </cell>
          <cell r="AE341">
            <v>1234.3</v>
          </cell>
          <cell r="AF341">
            <v>1235.3</v>
          </cell>
          <cell r="AG341">
            <v>736.7</v>
          </cell>
          <cell r="AI341">
            <v>3.5</v>
          </cell>
          <cell r="AK341">
            <v>1605.0235400000001</v>
          </cell>
          <cell r="AM341">
            <v>1580.5505000000001</v>
          </cell>
          <cell r="AO341">
            <v>1588.7081800000001</v>
          </cell>
          <cell r="AP341" t="str">
            <v>Muestra tomada en la volqueta</v>
          </cell>
          <cell r="AR341">
            <v>1669</v>
          </cell>
          <cell r="AS341">
            <v>3.2</v>
          </cell>
          <cell r="AV341">
            <v>2.4556764523609256</v>
          </cell>
          <cell r="BS341">
            <v>2.6019999999999999</v>
          </cell>
        </row>
        <row r="342">
          <cell r="A342">
            <v>414</v>
          </cell>
          <cell r="B342">
            <v>40256</v>
          </cell>
          <cell r="D342">
            <v>1503.2</v>
          </cell>
          <cell r="E342">
            <v>1430.7</v>
          </cell>
          <cell r="G342" t="str">
            <v>Parcheo elaboración de fallos en vías urbanas y rurales del municipio de Medellín.</v>
          </cell>
          <cell r="H342" t="str">
            <v>3/3</v>
          </cell>
          <cell r="I342">
            <v>0</v>
          </cell>
          <cell r="J342">
            <v>206.5</v>
          </cell>
          <cell r="K342">
            <v>184.5</v>
          </cell>
          <cell r="L342">
            <v>276.60000000000002</v>
          </cell>
          <cell r="M342">
            <v>309.2</v>
          </cell>
          <cell r="N342">
            <v>216.9</v>
          </cell>
          <cell r="O342">
            <v>85.3</v>
          </cell>
          <cell r="P342">
            <v>81.7</v>
          </cell>
          <cell r="Q342">
            <v>70</v>
          </cell>
          <cell r="S342">
            <v>25</v>
          </cell>
          <cell r="T342" t="str">
            <v>1</v>
          </cell>
          <cell r="AQ342" t="str">
            <v>Calle 10 Cra. 70B-69  (voqueta GUE-294)</v>
          </cell>
          <cell r="AR342">
            <v>0</v>
          </cell>
          <cell r="AS342">
            <v>0</v>
          </cell>
          <cell r="AV342">
            <v>0</v>
          </cell>
          <cell r="BS342">
            <v>2.6019999999999999</v>
          </cell>
        </row>
        <row r="343">
          <cell r="A343">
            <v>415</v>
          </cell>
          <cell r="B343">
            <v>40260</v>
          </cell>
          <cell r="D343">
            <v>1500.4</v>
          </cell>
          <cell r="E343">
            <v>1422.3</v>
          </cell>
          <cell r="I343">
            <v>0</v>
          </cell>
          <cell r="J343">
            <v>167.8</v>
          </cell>
          <cell r="K343">
            <v>146.1</v>
          </cell>
          <cell r="L343">
            <v>297.8</v>
          </cell>
          <cell r="M343">
            <v>321.8</v>
          </cell>
          <cell r="N343">
            <v>250.5</v>
          </cell>
          <cell r="O343">
            <v>74</v>
          </cell>
          <cell r="P343">
            <v>75.3</v>
          </cell>
          <cell r="Q343">
            <v>89</v>
          </cell>
          <cell r="S343">
            <v>25</v>
          </cell>
          <cell r="T343" t="str">
            <v>1</v>
          </cell>
          <cell r="U343">
            <v>1234.9000000000001</v>
          </cell>
          <cell r="V343">
            <v>1236.7</v>
          </cell>
          <cell r="W343">
            <v>734.4</v>
          </cell>
          <cell r="Y343">
            <v>3.4</v>
          </cell>
          <cell r="Z343">
            <v>1235.9000000000001</v>
          </cell>
          <cell r="AA343">
            <v>1240.5</v>
          </cell>
          <cell r="AB343">
            <v>732.6</v>
          </cell>
          <cell r="AD343">
            <v>3.5</v>
          </cell>
          <cell r="AE343">
            <v>1235</v>
          </cell>
          <cell r="AF343">
            <v>1236.5999999999999</v>
          </cell>
          <cell r="AG343">
            <v>732.2</v>
          </cell>
          <cell r="AI343">
            <v>3.5</v>
          </cell>
          <cell r="AK343">
            <v>1370.4902400000001</v>
          </cell>
          <cell r="AM343">
            <v>1322.5638700000002</v>
          </cell>
          <cell r="AO343">
            <v>1439.83052</v>
          </cell>
          <cell r="AP343" t="str">
            <v>Muestra tomada en el elevador</v>
          </cell>
          <cell r="AQ343" t="str">
            <v>-</v>
          </cell>
          <cell r="AR343">
            <v>1429</v>
          </cell>
          <cell r="AS343">
            <v>3.5</v>
          </cell>
          <cell r="AV343">
            <v>2.4396090672552142</v>
          </cell>
          <cell r="BS343">
            <v>2.569</v>
          </cell>
        </row>
        <row r="344">
          <cell r="A344">
            <v>416</v>
          </cell>
          <cell r="B344">
            <v>40260</v>
          </cell>
          <cell r="D344">
            <v>1500.4</v>
          </cell>
          <cell r="E344">
            <v>1421</v>
          </cell>
          <cell r="I344">
            <v>0</v>
          </cell>
          <cell r="J344">
            <v>191.2</v>
          </cell>
          <cell r="K344">
            <v>153.30000000000001</v>
          </cell>
          <cell r="L344">
            <v>256.7</v>
          </cell>
          <cell r="M344">
            <v>328</v>
          </cell>
          <cell r="N344">
            <v>252.1</v>
          </cell>
          <cell r="O344">
            <v>75.2</v>
          </cell>
          <cell r="P344">
            <v>77</v>
          </cell>
          <cell r="Q344">
            <v>87.5</v>
          </cell>
          <cell r="S344">
            <v>25</v>
          </cell>
          <cell r="T344" t="str">
            <v>1</v>
          </cell>
          <cell r="U344">
            <v>1234.2</v>
          </cell>
          <cell r="V344">
            <v>1234.7</v>
          </cell>
          <cell r="W344">
            <v>733.3</v>
          </cell>
          <cell r="Y344">
            <v>3.2</v>
          </cell>
          <cell r="Z344">
            <v>1234.5</v>
          </cell>
          <cell r="AA344">
            <v>1236</v>
          </cell>
          <cell r="AB344">
            <v>731.2</v>
          </cell>
          <cell r="AD344">
            <v>3.22</v>
          </cell>
          <cell r="AE344">
            <v>1235.4000000000001</v>
          </cell>
          <cell r="AF344">
            <v>1236.5</v>
          </cell>
          <cell r="AG344">
            <v>732</v>
          </cell>
          <cell r="AI344">
            <v>3.4</v>
          </cell>
          <cell r="AK344">
            <v>1424.5348700000002</v>
          </cell>
          <cell r="AM344">
            <v>1299.1105400000001</v>
          </cell>
          <cell r="AO344">
            <v>1358.2537200000002</v>
          </cell>
          <cell r="AP344" t="str">
            <v>Muestra tomada en la volqueta</v>
          </cell>
          <cell r="AQ344" t="str">
            <v>-</v>
          </cell>
          <cell r="AR344">
            <v>1417</v>
          </cell>
          <cell r="AS344">
            <v>3.3</v>
          </cell>
          <cell r="AV344">
            <v>2.4447587386477054</v>
          </cell>
          <cell r="BS344">
            <v>2.569</v>
          </cell>
        </row>
        <row r="345">
          <cell r="A345">
            <v>417</v>
          </cell>
          <cell r="B345">
            <v>40261</v>
          </cell>
          <cell r="D345">
            <v>1500.9</v>
          </cell>
          <cell r="E345">
            <v>1421.6</v>
          </cell>
          <cell r="G345" t="str">
            <v>Parcheo elaboración de fallos en vías urbanas y rurales del municipio de Medellín; Consorcio Vial Santa Elena.</v>
          </cell>
          <cell r="H345" t="str">
            <v>1/2</v>
          </cell>
          <cell r="I345">
            <v>0</v>
          </cell>
          <cell r="J345">
            <v>179.3</v>
          </cell>
          <cell r="K345">
            <v>168.6</v>
          </cell>
          <cell r="L345">
            <v>241.6</v>
          </cell>
          <cell r="M345">
            <v>330.7</v>
          </cell>
          <cell r="N345">
            <v>261.39999999999998</v>
          </cell>
          <cell r="O345">
            <v>77.7</v>
          </cell>
          <cell r="P345">
            <v>74.400000000000006</v>
          </cell>
          <cell r="Q345">
            <v>87.9</v>
          </cell>
          <cell r="S345">
            <v>25</v>
          </cell>
          <cell r="T345" t="str">
            <v>1</v>
          </cell>
          <cell r="U345">
            <v>1236.3</v>
          </cell>
          <cell r="V345">
            <v>1237.5999999999999</v>
          </cell>
          <cell r="W345">
            <v>738.7</v>
          </cell>
          <cell r="Y345">
            <v>3.4</v>
          </cell>
          <cell r="Z345">
            <v>1233.2</v>
          </cell>
          <cell r="AA345">
            <v>1235.7</v>
          </cell>
          <cell r="AB345">
            <v>733.2</v>
          </cell>
          <cell r="AD345">
            <v>3.1</v>
          </cell>
          <cell r="AE345">
            <v>1231.4000000000001</v>
          </cell>
          <cell r="AF345">
            <v>1234.0999999999999</v>
          </cell>
          <cell r="AG345">
            <v>732.3</v>
          </cell>
          <cell r="AI345">
            <v>3.2</v>
          </cell>
          <cell r="AK345">
            <v>1658.0484600000002</v>
          </cell>
          <cell r="AM345">
            <v>1334.8003900000001</v>
          </cell>
          <cell r="AO345">
            <v>1407.1998000000001</v>
          </cell>
          <cell r="AP345" t="str">
            <v>Muestra tomada en el elevador</v>
          </cell>
          <cell r="AQ345" t="str">
            <v>-</v>
          </cell>
          <cell r="AR345">
            <v>1541</v>
          </cell>
          <cell r="AS345">
            <v>3.2</v>
          </cell>
          <cell r="AV345">
            <v>2.4548474370126612</v>
          </cell>
          <cell r="BS345">
            <v>2.5819999999999999</v>
          </cell>
        </row>
        <row r="346">
          <cell r="A346">
            <v>418</v>
          </cell>
          <cell r="B346">
            <v>40261</v>
          </cell>
          <cell r="D346">
            <v>1500.6</v>
          </cell>
          <cell r="E346">
            <v>1425.4</v>
          </cell>
          <cell r="G346" t="str">
            <v>Parcheo elaboración de fallos en vías urbanas y rurales del municipio de Medellín; Consorcio Vial Santa Elena.</v>
          </cell>
          <cell r="H346" t="str">
            <v>2/2</v>
          </cell>
          <cell r="I346">
            <v>0</v>
          </cell>
          <cell r="J346">
            <v>170.2</v>
          </cell>
          <cell r="K346">
            <v>184.6</v>
          </cell>
          <cell r="L346">
            <v>308.60000000000002</v>
          </cell>
          <cell r="M346">
            <v>295.2</v>
          </cell>
          <cell r="N346">
            <v>229.7</v>
          </cell>
          <cell r="O346">
            <v>72.5</v>
          </cell>
          <cell r="P346">
            <v>73.7</v>
          </cell>
          <cell r="Q346">
            <v>90.9</v>
          </cell>
          <cell r="S346">
            <v>25</v>
          </cell>
          <cell r="T346" t="str">
            <v>1</v>
          </cell>
          <cell r="U346">
            <v>1234.2</v>
          </cell>
          <cell r="V346">
            <v>1235.3</v>
          </cell>
          <cell r="W346">
            <v>735.8</v>
          </cell>
          <cell r="Y346">
            <v>3.6</v>
          </cell>
          <cell r="Z346">
            <v>1234.4000000000001</v>
          </cell>
          <cell r="AA346">
            <v>1236.2</v>
          </cell>
          <cell r="AB346">
            <v>734.1</v>
          </cell>
          <cell r="AD346">
            <v>3.4</v>
          </cell>
          <cell r="AE346">
            <v>1233.5</v>
          </cell>
          <cell r="AF346">
            <v>1236.5</v>
          </cell>
          <cell r="AG346">
            <v>733.8</v>
          </cell>
          <cell r="AI346">
            <v>3.5</v>
          </cell>
          <cell r="AK346">
            <v>1676.4032400000001</v>
          </cell>
          <cell r="AM346">
            <v>1536.7029700000001</v>
          </cell>
          <cell r="AO346">
            <v>1489.7963099999999</v>
          </cell>
          <cell r="AP346" t="str">
            <v>Muestra tomada en la volqueta</v>
          </cell>
          <cell r="AQ346" t="str">
            <v>-</v>
          </cell>
          <cell r="AR346">
            <v>1644</v>
          </cell>
          <cell r="AS346">
            <v>3.5</v>
          </cell>
          <cell r="AV346">
            <v>2.4538331589134299</v>
          </cell>
          <cell r="BS346">
            <v>2.5819999999999999</v>
          </cell>
        </row>
        <row r="347">
          <cell r="A347">
            <v>419</v>
          </cell>
          <cell r="B347">
            <v>40262</v>
          </cell>
          <cell r="D347">
            <v>1500.6</v>
          </cell>
          <cell r="E347">
            <v>1427.1</v>
          </cell>
          <cell r="G347" t="str">
            <v>Parcheo elaboración de fallos en vías urbanas y rurales del municipio de Medellín; Consorcio Vial Santa Elena.</v>
          </cell>
          <cell r="H347" t="str">
            <v>1/2</v>
          </cell>
          <cell r="I347">
            <v>0</v>
          </cell>
          <cell r="J347">
            <v>208.3</v>
          </cell>
          <cell r="K347">
            <v>190.5</v>
          </cell>
          <cell r="L347">
            <v>268.3</v>
          </cell>
          <cell r="M347">
            <v>305.60000000000002</v>
          </cell>
          <cell r="N347">
            <v>227.9</v>
          </cell>
          <cell r="O347">
            <v>72.3</v>
          </cell>
          <cell r="P347">
            <v>72.5</v>
          </cell>
          <cell r="Q347">
            <v>81.7</v>
          </cell>
          <cell r="S347">
            <v>25</v>
          </cell>
          <cell r="T347" t="str">
            <v>1</v>
          </cell>
          <cell r="U347">
            <v>1236.3</v>
          </cell>
          <cell r="V347">
            <v>1240.2</v>
          </cell>
          <cell r="W347">
            <v>739.9</v>
          </cell>
          <cell r="Y347">
            <v>3.3</v>
          </cell>
          <cell r="Z347">
            <v>1237.5</v>
          </cell>
          <cell r="AA347">
            <v>1240.9000000000001</v>
          </cell>
          <cell r="AB347">
            <v>739.7</v>
          </cell>
          <cell r="AD347">
            <v>3.5</v>
          </cell>
          <cell r="AE347">
            <v>1237.3</v>
          </cell>
          <cell r="AF347">
            <v>1239.2</v>
          </cell>
          <cell r="AG347">
            <v>730.8</v>
          </cell>
          <cell r="AI347">
            <v>2.9</v>
          </cell>
          <cell r="AK347">
            <v>1560.1563000000001</v>
          </cell>
          <cell r="AM347">
            <v>1417.3969000000002</v>
          </cell>
          <cell r="AO347">
            <v>1578.51108</v>
          </cell>
          <cell r="AP347" t="str">
            <v>Muestra tomada en el elevador</v>
          </cell>
          <cell r="AQ347" t="str">
            <v>-</v>
          </cell>
          <cell r="AR347">
            <v>1583</v>
          </cell>
          <cell r="AS347">
            <v>3.2</v>
          </cell>
          <cell r="AV347">
            <v>2.4507788300660764</v>
          </cell>
          <cell r="BS347">
            <v>2.5939999999999999</v>
          </cell>
        </row>
        <row r="348">
          <cell r="A348">
            <v>420</v>
          </cell>
          <cell r="B348">
            <v>40262</v>
          </cell>
          <cell r="D348">
            <v>1500.4</v>
          </cell>
          <cell r="E348">
            <v>1420.7</v>
          </cell>
          <cell r="G348" t="str">
            <v>Parcheo elaboración de fallos en vías urbanas y rurales del municipio de Medellín; Consorcio Vial Santa Elena.</v>
          </cell>
          <cell r="H348" t="str">
            <v>2/2</v>
          </cell>
          <cell r="I348">
            <v>0</v>
          </cell>
          <cell r="J348">
            <v>169.9</v>
          </cell>
          <cell r="K348">
            <v>126.8</v>
          </cell>
          <cell r="L348">
            <v>286.2</v>
          </cell>
          <cell r="M348">
            <v>325.8</v>
          </cell>
          <cell r="N348">
            <v>270.10000000000002</v>
          </cell>
          <cell r="O348">
            <v>74.5</v>
          </cell>
          <cell r="P348">
            <v>77</v>
          </cell>
          <cell r="Q348">
            <v>90.4</v>
          </cell>
          <cell r="S348">
            <v>25</v>
          </cell>
          <cell r="T348" t="str">
            <v>1</v>
          </cell>
          <cell r="U348">
            <v>1234.5999999999999</v>
          </cell>
          <cell r="V348">
            <v>1235.5</v>
          </cell>
          <cell r="W348">
            <v>730.2</v>
          </cell>
          <cell r="Y348">
            <v>2.9</v>
          </cell>
          <cell r="Z348">
            <v>1238.4000000000001</v>
          </cell>
          <cell r="AA348">
            <v>1239.5999999999999</v>
          </cell>
          <cell r="AB348">
            <v>734.5</v>
          </cell>
          <cell r="AD348">
            <v>3.1</v>
          </cell>
          <cell r="AE348">
            <v>1234.9000000000001</v>
          </cell>
          <cell r="AF348">
            <v>1235.8</v>
          </cell>
          <cell r="AG348">
            <v>728.4</v>
          </cell>
          <cell r="AI348">
            <v>2.8</v>
          </cell>
          <cell r="AK348">
            <v>1362.3325600000001</v>
          </cell>
          <cell r="AM348">
            <v>1284.8345999999999</v>
          </cell>
          <cell r="AO348">
            <v>1247.1053300000001</v>
          </cell>
          <cell r="AP348" t="str">
            <v>Muestra tomada en la volqueta</v>
          </cell>
          <cell r="AQ348" t="str">
            <v>-</v>
          </cell>
          <cell r="AR348">
            <v>1342</v>
          </cell>
          <cell r="AS348">
            <v>2.9</v>
          </cell>
          <cell r="AV348">
            <v>2.435811945329394</v>
          </cell>
          <cell r="BS348">
            <v>2.5939999999999999</v>
          </cell>
        </row>
        <row r="349">
          <cell r="A349">
            <v>421</v>
          </cell>
          <cell r="B349">
            <v>40263</v>
          </cell>
          <cell r="D349">
            <v>1500.3</v>
          </cell>
          <cell r="E349">
            <v>1423.7</v>
          </cell>
          <cell r="G349" t="str">
            <v>Parcheo elaboración de fallos en vías urbanas y rurales del municipio de Medellín; Consorcio Vial Santa Elena.</v>
          </cell>
          <cell r="H349" t="str">
            <v>1/2</v>
          </cell>
          <cell r="I349">
            <v>0</v>
          </cell>
          <cell r="J349">
            <v>166.2</v>
          </cell>
          <cell r="K349">
            <v>185.8</v>
          </cell>
          <cell r="L349">
            <v>287.5</v>
          </cell>
          <cell r="M349">
            <v>314.8</v>
          </cell>
          <cell r="N349">
            <v>240.5</v>
          </cell>
          <cell r="O349">
            <v>72.5</v>
          </cell>
          <cell r="P349">
            <v>72.599999999999994</v>
          </cell>
          <cell r="Q349">
            <v>83.8</v>
          </cell>
          <cell r="S349">
            <v>25</v>
          </cell>
          <cell r="T349" t="str">
            <v>1</v>
          </cell>
          <cell r="U349">
            <v>1235.0999999999999</v>
          </cell>
          <cell r="V349">
            <v>1236.9000000000001</v>
          </cell>
          <cell r="W349">
            <v>732.7</v>
          </cell>
          <cell r="Y349">
            <v>3.3</v>
          </cell>
          <cell r="Z349">
            <v>1235.4000000000001</v>
          </cell>
          <cell r="AA349">
            <v>1237.7</v>
          </cell>
          <cell r="AB349">
            <v>733.1</v>
          </cell>
          <cell r="AD349">
            <v>3</v>
          </cell>
          <cell r="AE349">
            <v>1235</v>
          </cell>
          <cell r="AF349">
            <v>1238.7</v>
          </cell>
          <cell r="AG349">
            <v>731.4</v>
          </cell>
          <cell r="AI349">
            <v>3.1</v>
          </cell>
          <cell r="AK349">
            <v>1417.3969000000002</v>
          </cell>
          <cell r="AM349">
            <v>1315.4259000000002</v>
          </cell>
          <cell r="AO349">
            <v>1447.9882</v>
          </cell>
          <cell r="AP349" t="str">
            <v>Muestra tomada en el elevador</v>
          </cell>
          <cell r="AQ349" t="str">
            <v>-</v>
          </cell>
          <cell r="AR349">
            <v>1443</v>
          </cell>
          <cell r="AS349">
            <v>3.1</v>
          </cell>
          <cell r="AV349">
            <v>2.4369696050487453</v>
          </cell>
          <cell r="BS349">
            <v>2.5920000000000001</v>
          </cell>
        </row>
        <row r="350">
          <cell r="A350">
            <v>422</v>
          </cell>
          <cell r="B350">
            <v>40263</v>
          </cell>
          <cell r="D350">
            <v>1500.2</v>
          </cell>
          <cell r="E350">
            <v>1421.3</v>
          </cell>
          <cell r="G350" t="str">
            <v>Parcheo elaboración de fallos en vías urbanas y rurales del municipio de Medellín; Consorcio Vial Santa Elena.</v>
          </cell>
          <cell r="H350" t="str">
            <v>2/2</v>
          </cell>
          <cell r="I350">
            <v>0</v>
          </cell>
          <cell r="J350">
            <v>163.6</v>
          </cell>
          <cell r="K350">
            <v>151.1</v>
          </cell>
          <cell r="L350">
            <v>306.39999999999998</v>
          </cell>
          <cell r="M350">
            <v>310.39999999999998</v>
          </cell>
          <cell r="N350">
            <v>234.5</v>
          </cell>
          <cell r="O350">
            <v>93.5</v>
          </cell>
          <cell r="P350">
            <v>75.900000000000006</v>
          </cell>
          <cell r="Q350">
            <v>85.9</v>
          </cell>
          <cell r="S350">
            <v>25</v>
          </cell>
          <cell r="T350" t="str">
            <v>1</v>
          </cell>
          <cell r="U350">
            <v>1235.8</v>
          </cell>
          <cell r="V350">
            <v>1236.0999999999999</v>
          </cell>
          <cell r="W350">
            <v>738.6</v>
          </cell>
          <cell r="Y350">
            <v>3.5</v>
          </cell>
          <cell r="Z350">
            <v>1237.0999999999999</v>
          </cell>
          <cell r="AA350">
            <v>1237.7</v>
          </cell>
          <cell r="AB350">
            <v>740</v>
          </cell>
          <cell r="AD350">
            <v>3.3</v>
          </cell>
          <cell r="AE350">
            <v>1235.7</v>
          </cell>
          <cell r="AF350">
            <v>1237.9000000000001</v>
          </cell>
          <cell r="AG350">
            <v>740.8</v>
          </cell>
          <cell r="AI350">
            <v>3.5</v>
          </cell>
          <cell r="AK350">
            <v>1269.5389499999999</v>
          </cell>
          <cell r="AM350">
            <v>1247.1053300000001</v>
          </cell>
          <cell r="AO350">
            <v>1394.9632799999999</v>
          </cell>
          <cell r="AP350" t="str">
            <v>Muestra tomada en la volqueta</v>
          </cell>
          <cell r="AQ350" t="str">
            <v>-</v>
          </cell>
          <cell r="AR350">
            <v>1386</v>
          </cell>
          <cell r="AS350">
            <v>3.4</v>
          </cell>
          <cell r="AV350">
            <v>2.4778881681762432</v>
          </cell>
          <cell r="BS350">
            <v>2.5920000000000001</v>
          </cell>
        </row>
        <row r="351">
          <cell r="A351">
            <v>423</v>
          </cell>
          <cell r="B351">
            <v>40264</v>
          </cell>
          <cell r="D351">
            <v>1500.4</v>
          </cell>
          <cell r="E351">
            <v>1425.8</v>
          </cell>
          <cell r="G351" t="str">
            <v>Consorcio Vial Santa Elena.</v>
          </cell>
          <cell r="H351" t="str">
            <v>1/1</v>
          </cell>
          <cell r="I351">
            <v>0</v>
          </cell>
          <cell r="J351">
            <v>199.8</v>
          </cell>
          <cell r="K351">
            <v>190.4</v>
          </cell>
          <cell r="L351">
            <v>257.5</v>
          </cell>
          <cell r="M351">
            <v>319.89999999999998</v>
          </cell>
          <cell r="N351">
            <v>230.7</v>
          </cell>
          <cell r="O351">
            <v>69.599999999999994</v>
          </cell>
          <cell r="P351">
            <v>72.599999999999994</v>
          </cell>
          <cell r="Q351">
            <v>85.3</v>
          </cell>
          <cell r="S351">
            <v>25</v>
          </cell>
          <cell r="T351" t="str">
            <v>1</v>
          </cell>
          <cell r="U351">
            <v>1237.0999999999999</v>
          </cell>
          <cell r="V351">
            <v>1239.4000000000001</v>
          </cell>
          <cell r="W351">
            <v>732.3</v>
          </cell>
          <cell r="Y351">
            <v>3.5</v>
          </cell>
          <cell r="Z351">
            <v>1238.5</v>
          </cell>
          <cell r="AA351">
            <v>1241.7</v>
          </cell>
          <cell r="AB351">
            <v>731.4</v>
          </cell>
          <cell r="AD351">
            <v>3.33</v>
          </cell>
          <cell r="AE351">
            <v>1234.9000000000001</v>
          </cell>
          <cell r="AF351">
            <v>1238.3</v>
          </cell>
          <cell r="AG351">
            <v>731.5</v>
          </cell>
          <cell r="AI351">
            <v>2.9</v>
          </cell>
          <cell r="AK351">
            <v>1440.8502300000002</v>
          </cell>
          <cell r="AM351">
            <v>1328.6821299999999</v>
          </cell>
          <cell r="AO351">
            <v>1248.1250400000001</v>
          </cell>
          <cell r="AP351" t="str">
            <v>Muestra tomada en el elevador</v>
          </cell>
          <cell r="AQ351" t="str">
            <v>-</v>
          </cell>
          <cell r="AR351">
            <v>1375</v>
          </cell>
          <cell r="AS351">
            <v>3.2</v>
          </cell>
          <cell r="AV351">
            <v>2.4272871574254751</v>
          </cell>
          <cell r="BS351">
            <v>2.577</v>
          </cell>
        </row>
        <row r="352">
          <cell r="A352">
            <v>424</v>
          </cell>
          <cell r="B352">
            <v>40266</v>
          </cell>
          <cell r="D352">
            <v>1502.3</v>
          </cell>
          <cell r="E352">
            <v>1429.6</v>
          </cell>
          <cell r="G352" t="str">
            <v>Consorcio Vial Santa Elena.</v>
          </cell>
          <cell r="H352" t="str">
            <v>1/1</v>
          </cell>
          <cell r="I352">
            <v>0</v>
          </cell>
          <cell r="J352">
            <v>191.3</v>
          </cell>
          <cell r="K352">
            <v>181.2</v>
          </cell>
          <cell r="L352">
            <v>318.7</v>
          </cell>
          <cell r="M352">
            <v>303.39999999999998</v>
          </cell>
          <cell r="N352">
            <v>218.5</v>
          </cell>
          <cell r="O352">
            <v>71.400000000000006</v>
          </cell>
          <cell r="P352">
            <v>67.400000000000006</v>
          </cell>
          <cell r="Q352">
            <v>77.7</v>
          </cell>
          <cell r="S352">
            <v>25</v>
          </cell>
          <cell r="T352" t="str">
            <v>1</v>
          </cell>
          <cell r="U352">
            <v>1236.4000000000001</v>
          </cell>
          <cell r="V352">
            <v>1233.7</v>
          </cell>
          <cell r="W352">
            <v>728.9</v>
          </cell>
          <cell r="Y352">
            <v>3.4</v>
          </cell>
          <cell r="Z352">
            <v>1236.5999999999999</v>
          </cell>
          <cell r="AA352">
            <v>1239.2</v>
          </cell>
          <cell r="AB352">
            <v>732.4</v>
          </cell>
          <cell r="AD352">
            <v>3</v>
          </cell>
          <cell r="AE352">
            <v>1237.4000000000001</v>
          </cell>
          <cell r="AF352">
            <v>1240.3</v>
          </cell>
          <cell r="AG352">
            <v>733.6</v>
          </cell>
          <cell r="AI352">
            <v>3.3</v>
          </cell>
          <cell r="AK352">
            <v>1550.97891</v>
          </cell>
          <cell r="AM352">
            <v>1371.5099499999999</v>
          </cell>
          <cell r="AO352">
            <v>1545.8803600000001</v>
          </cell>
          <cell r="AP352" t="str">
            <v>Muestra tomada en el elevador</v>
          </cell>
          <cell r="AR352">
            <v>1539</v>
          </cell>
          <cell r="AS352">
            <v>3.2</v>
          </cell>
          <cell r="AV352">
            <v>2.4366448425908565</v>
          </cell>
          <cell r="BS352">
            <v>2.5882000000000001</v>
          </cell>
        </row>
        <row r="353">
          <cell r="A353">
            <v>425</v>
          </cell>
          <cell r="B353">
            <v>40267</v>
          </cell>
          <cell r="D353">
            <v>1500.5</v>
          </cell>
          <cell r="E353">
            <v>1426.6</v>
          </cell>
          <cell r="G353" t="str">
            <v>Consorcio Vial Santa Elena.</v>
          </cell>
          <cell r="H353" t="str">
            <v>1/2</v>
          </cell>
          <cell r="I353">
            <v>0</v>
          </cell>
          <cell r="J353">
            <v>183.8</v>
          </cell>
          <cell r="K353">
            <v>141.19999999999999</v>
          </cell>
          <cell r="L353">
            <v>347.2</v>
          </cell>
          <cell r="M353">
            <v>309.89999999999998</v>
          </cell>
          <cell r="N353">
            <v>219.6</v>
          </cell>
          <cell r="O353">
            <v>71</v>
          </cell>
          <cell r="P353">
            <v>62.6</v>
          </cell>
          <cell r="Q353">
            <v>91.3</v>
          </cell>
          <cell r="S353">
            <v>25</v>
          </cell>
          <cell r="T353" t="str">
            <v>1</v>
          </cell>
          <cell r="U353">
            <v>1236.4000000000001</v>
          </cell>
          <cell r="V353">
            <v>1241.4000000000001</v>
          </cell>
          <cell r="W353">
            <v>732.3</v>
          </cell>
          <cell r="Y353">
            <v>2.8</v>
          </cell>
          <cell r="Z353">
            <v>1233.5</v>
          </cell>
          <cell r="AA353">
            <v>1241.5999999999999</v>
          </cell>
          <cell r="AB353">
            <v>734.5</v>
          </cell>
          <cell r="AD353">
            <v>3.1</v>
          </cell>
          <cell r="AE353">
            <v>1231.4000000000001</v>
          </cell>
          <cell r="AF353">
            <v>1239.8</v>
          </cell>
          <cell r="AG353">
            <v>735</v>
          </cell>
          <cell r="AI353">
            <v>3.4</v>
          </cell>
          <cell r="AK353">
            <v>1053.36043</v>
          </cell>
          <cell r="AM353">
            <v>1091.0897</v>
          </cell>
          <cell r="AO353">
            <v>1282.7951800000001</v>
          </cell>
          <cell r="AP353" t="str">
            <v>Muestra tomada en el elevador</v>
          </cell>
          <cell r="AQ353" t="str">
            <v>-</v>
          </cell>
          <cell r="AR353">
            <v>1177</v>
          </cell>
          <cell r="AS353">
            <v>3.1</v>
          </cell>
          <cell r="AV353">
            <v>2.4263622384364529</v>
          </cell>
          <cell r="BS353">
            <v>2.5830000000000002</v>
          </cell>
        </row>
        <row r="354">
          <cell r="A354">
            <v>426</v>
          </cell>
          <cell r="B354">
            <v>40267</v>
          </cell>
          <cell r="D354">
            <v>1500.8</v>
          </cell>
          <cell r="E354">
            <v>1430.3</v>
          </cell>
          <cell r="G354" t="str">
            <v>Consorcio Vial Santa Elena.</v>
          </cell>
          <cell r="H354" t="str">
            <v>2/2</v>
          </cell>
          <cell r="I354">
            <v>0</v>
          </cell>
          <cell r="J354">
            <v>241.2</v>
          </cell>
          <cell r="K354">
            <v>163.19999999999999</v>
          </cell>
          <cell r="L354">
            <v>299.89999999999998</v>
          </cell>
          <cell r="M354">
            <v>296.5</v>
          </cell>
          <cell r="N354">
            <v>216.9</v>
          </cell>
          <cell r="O354">
            <v>62.9</v>
          </cell>
          <cell r="P354">
            <v>66.599999999999994</v>
          </cell>
          <cell r="Q354">
            <v>83.1</v>
          </cell>
          <cell r="S354">
            <v>25</v>
          </cell>
          <cell r="T354" t="str">
            <v>1</v>
          </cell>
          <cell r="U354">
            <v>1235.8</v>
          </cell>
          <cell r="V354">
            <v>1238.5</v>
          </cell>
          <cell r="W354">
            <v>735.9</v>
          </cell>
          <cell r="Y354">
            <v>3</v>
          </cell>
          <cell r="Z354">
            <v>1250.7</v>
          </cell>
          <cell r="AA354">
            <v>1251.0999999999999</v>
          </cell>
          <cell r="AB354">
            <v>743.6</v>
          </cell>
          <cell r="AD354">
            <v>3.6</v>
          </cell>
          <cell r="AE354">
            <v>1217.9000000000001</v>
          </cell>
          <cell r="AF354">
            <v>1218.2</v>
          </cell>
          <cell r="AG354">
            <v>730.4</v>
          </cell>
          <cell r="AI354">
            <v>3.4</v>
          </cell>
          <cell r="AK354">
            <v>1762.0588800000003</v>
          </cell>
          <cell r="AM354">
            <v>1854.8524900000002</v>
          </cell>
          <cell r="AO354">
            <v>1843.6356799999999</v>
          </cell>
          <cell r="AP354" t="str">
            <v>Tama en obra, Perque Arví K7+800 primera capa (volqueta SNN 859)</v>
          </cell>
          <cell r="AQ354" t="str">
            <v>-</v>
          </cell>
          <cell r="AR354">
            <v>1924</v>
          </cell>
          <cell r="AS354">
            <v>3.3</v>
          </cell>
          <cell r="AV354">
            <v>2.4660880752502639</v>
          </cell>
          <cell r="BS354">
            <v>2.5830000000000002</v>
          </cell>
        </row>
        <row r="355">
          <cell r="A355">
            <v>427</v>
          </cell>
          <cell r="B355">
            <v>40268</v>
          </cell>
          <cell r="D355">
            <v>1500.5</v>
          </cell>
          <cell r="E355">
            <v>1429.7</v>
          </cell>
          <cell r="G355" t="str">
            <v>Consorcio Vial Santa Elena.</v>
          </cell>
          <cell r="H355" t="str">
            <v>1/1</v>
          </cell>
          <cell r="I355">
            <v>0</v>
          </cell>
          <cell r="J355">
            <v>245.7</v>
          </cell>
          <cell r="K355">
            <v>148.4</v>
          </cell>
          <cell r="L355">
            <v>322.7</v>
          </cell>
          <cell r="M355">
            <v>279.2</v>
          </cell>
          <cell r="N355">
            <v>214.5</v>
          </cell>
          <cell r="O355">
            <v>68.2</v>
          </cell>
          <cell r="P355">
            <v>70.599999999999994</v>
          </cell>
          <cell r="Q355">
            <v>80.400000000000006</v>
          </cell>
          <cell r="S355">
            <v>25</v>
          </cell>
          <cell r="T355" t="str">
            <v>1</v>
          </cell>
          <cell r="U355">
            <v>1236.0999999999999</v>
          </cell>
          <cell r="V355">
            <v>1237.5999999999999</v>
          </cell>
          <cell r="W355">
            <v>732.8</v>
          </cell>
          <cell r="Y355">
            <v>3.2</v>
          </cell>
          <cell r="Z355">
            <v>1232.3</v>
          </cell>
          <cell r="AA355">
            <v>1234.5999999999999</v>
          </cell>
          <cell r="AB355">
            <v>730.9</v>
          </cell>
          <cell r="AD355">
            <v>3.5</v>
          </cell>
          <cell r="AE355">
            <v>1233.8</v>
          </cell>
          <cell r="AF355">
            <v>1236</v>
          </cell>
          <cell r="AG355">
            <v>732.3</v>
          </cell>
          <cell r="AI355">
            <v>3</v>
          </cell>
          <cell r="AK355">
            <v>1713.1128000000001</v>
          </cell>
          <cell r="AM355">
            <v>1473.4809499999999</v>
          </cell>
          <cell r="AO355">
            <v>1359.27343</v>
          </cell>
          <cell r="AP355" t="str">
            <v>Muestra tomada en el elevador</v>
          </cell>
          <cell r="AQ355" t="str">
            <v>-</v>
          </cell>
          <cell r="AR355">
            <v>1575</v>
          </cell>
          <cell r="AS355">
            <v>3.2</v>
          </cell>
          <cell r="AV355">
            <v>2.4410597457889143</v>
          </cell>
          <cell r="BS355">
            <v>2.593</v>
          </cell>
        </row>
        <row r="356">
          <cell r="A356">
            <v>428</v>
          </cell>
          <cell r="B356">
            <v>40273</v>
          </cell>
          <cell r="D356">
            <v>1500.5</v>
          </cell>
          <cell r="E356">
            <v>1423.2</v>
          </cell>
          <cell r="G356" t="str">
            <v>Parcheo elaboración de fallos en vías urbanas y rurales del municipio de Medellín.</v>
          </cell>
          <cell r="H356" t="str">
            <v>1/3</v>
          </cell>
          <cell r="I356">
            <v>0</v>
          </cell>
          <cell r="J356">
            <v>168.5</v>
          </cell>
          <cell r="K356">
            <v>166.4</v>
          </cell>
          <cell r="L356">
            <v>281.7</v>
          </cell>
          <cell r="M356">
            <v>327.7</v>
          </cell>
          <cell r="N356">
            <v>246.4</v>
          </cell>
          <cell r="O356">
            <v>70.400000000000006</v>
          </cell>
          <cell r="P356">
            <v>70.7</v>
          </cell>
          <cell r="Q356">
            <v>91.4</v>
          </cell>
          <cell r="S356">
            <v>25</v>
          </cell>
          <cell r="T356" t="str">
            <v>1</v>
          </cell>
          <cell r="U356">
            <v>1236.5999999999999</v>
          </cell>
          <cell r="V356">
            <v>1239.9000000000001</v>
          </cell>
          <cell r="W356">
            <v>732.9</v>
          </cell>
          <cell r="Y356">
            <v>2.8</v>
          </cell>
          <cell r="Z356">
            <v>1236.2</v>
          </cell>
          <cell r="AA356">
            <v>1239.5</v>
          </cell>
          <cell r="AB356">
            <v>729.5</v>
          </cell>
          <cell r="AD356">
            <v>2.9</v>
          </cell>
          <cell r="AE356">
            <v>1238.5</v>
          </cell>
          <cell r="AF356">
            <v>1243.2</v>
          </cell>
          <cell r="AG356">
            <v>733.6</v>
          </cell>
          <cell r="AI356">
            <v>3.4</v>
          </cell>
          <cell r="AK356">
            <v>1323.58358</v>
          </cell>
          <cell r="AM356">
            <v>1268.5192400000001</v>
          </cell>
          <cell r="AO356">
            <v>1359.27343</v>
          </cell>
          <cell r="AP356" t="str">
            <v>Muestra tomada en el elevador</v>
          </cell>
          <cell r="AQ356" t="str">
            <v>-</v>
          </cell>
          <cell r="AR356">
            <v>1348</v>
          </cell>
          <cell r="AS356">
            <v>3</v>
          </cell>
          <cell r="AV356">
            <v>2.4239931346953969</v>
          </cell>
          <cell r="BS356">
            <v>2.5840000000000001</v>
          </cell>
        </row>
        <row r="357">
          <cell r="A357">
            <v>429</v>
          </cell>
          <cell r="B357">
            <v>40273</v>
          </cell>
          <cell r="D357">
            <v>1500.4</v>
          </cell>
          <cell r="E357">
            <v>1422.7</v>
          </cell>
          <cell r="G357" t="str">
            <v>Parcheo elaboración de fallos en vías urbanas y rurales del municipio de Medellín.</v>
          </cell>
          <cell r="H357" t="str">
            <v>2/3</v>
          </cell>
          <cell r="I357">
            <v>0</v>
          </cell>
          <cell r="J357">
            <v>141.6</v>
          </cell>
          <cell r="K357">
            <v>161.69999999999999</v>
          </cell>
          <cell r="L357">
            <v>273.89999999999998</v>
          </cell>
          <cell r="M357">
            <v>352.9</v>
          </cell>
          <cell r="N357">
            <v>257.7</v>
          </cell>
          <cell r="O357">
            <v>73.7</v>
          </cell>
          <cell r="P357">
            <v>71.7</v>
          </cell>
          <cell r="Q357">
            <v>89.5</v>
          </cell>
          <cell r="S357">
            <v>25</v>
          </cell>
          <cell r="T357" t="str">
            <v>1</v>
          </cell>
          <cell r="U357">
            <v>1238.2</v>
          </cell>
          <cell r="V357">
            <v>1240.7</v>
          </cell>
          <cell r="W357">
            <v>732.2</v>
          </cell>
          <cell r="Y357">
            <v>3.2</v>
          </cell>
          <cell r="Z357">
            <v>1237.0999999999999</v>
          </cell>
          <cell r="AA357">
            <v>1238.7</v>
          </cell>
          <cell r="AB357">
            <v>730.9</v>
          </cell>
          <cell r="AD357">
            <v>3.2</v>
          </cell>
          <cell r="AE357">
            <v>1229.5</v>
          </cell>
          <cell r="AF357">
            <v>1232.5</v>
          </cell>
          <cell r="AG357">
            <v>727.8</v>
          </cell>
          <cell r="AI357">
            <v>3.2</v>
          </cell>
          <cell r="AK357">
            <v>1299.1105400000001</v>
          </cell>
          <cell r="AM357">
            <v>1419.43632</v>
          </cell>
          <cell r="AO357">
            <v>1507.13138</v>
          </cell>
          <cell r="AP357" t="str">
            <v>Muestra tomada en la volqueta</v>
          </cell>
          <cell r="AQ357" t="str">
            <v>-</v>
          </cell>
          <cell r="AR357">
            <v>1451</v>
          </cell>
          <cell r="AS357">
            <v>3.2</v>
          </cell>
          <cell r="AV357">
            <v>2.4286423558588286</v>
          </cell>
          <cell r="BS357">
            <v>2.5840000000000001</v>
          </cell>
        </row>
        <row r="358">
          <cell r="A358">
            <v>430</v>
          </cell>
          <cell r="B358">
            <v>40273</v>
          </cell>
          <cell r="D358">
            <v>1500.6</v>
          </cell>
          <cell r="E358">
            <v>1426.4</v>
          </cell>
          <cell r="G358" t="str">
            <v>Parcheo elaboración de fallos en vías urbanas y rurales del municipio de Medellín.</v>
          </cell>
          <cell r="H358" t="str">
            <v>3/3</v>
          </cell>
          <cell r="I358">
            <v>0</v>
          </cell>
          <cell r="J358">
            <v>213.1</v>
          </cell>
          <cell r="K358">
            <v>165.3</v>
          </cell>
          <cell r="L358">
            <v>306.89999999999998</v>
          </cell>
          <cell r="M358">
            <v>325.5</v>
          </cell>
          <cell r="N358">
            <v>227.8</v>
          </cell>
          <cell r="O358">
            <v>63.3</v>
          </cell>
          <cell r="P358">
            <v>54.6</v>
          </cell>
          <cell r="Q358">
            <v>69.900000000000006</v>
          </cell>
          <cell r="S358">
            <v>25</v>
          </cell>
          <cell r="T358" t="str">
            <v>1</v>
          </cell>
          <cell r="AP358" t="str">
            <v>Muestra tomada en el obra en cojunto con el Laboratorio de AIM</v>
          </cell>
          <cell r="AQ358" t="str">
            <v>Cra. 72 con calle 24</v>
          </cell>
          <cell r="AR358">
            <v>0</v>
          </cell>
          <cell r="AS358">
            <v>0</v>
          </cell>
          <cell r="AV358">
            <v>0</v>
          </cell>
          <cell r="BS358">
            <v>2.5840000000000001</v>
          </cell>
        </row>
        <row r="359">
          <cell r="A359">
            <v>431</v>
          </cell>
          <cell r="B359">
            <v>40274</v>
          </cell>
          <cell r="D359">
            <v>1500.6</v>
          </cell>
          <cell r="E359">
            <v>1428.4</v>
          </cell>
          <cell r="G359" t="str">
            <v>Parcheo elaboración de fallos en vías urbanas y rurales del municipio de Medellín.</v>
          </cell>
          <cell r="H359" t="str">
            <v>1/2</v>
          </cell>
          <cell r="I359">
            <v>0</v>
          </cell>
          <cell r="J359">
            <v>180.6</v>
          </cell>
          <cell r="K359">
            <v>158.6</v>
          </cell>
          <cell r="L359">
            <v>313.3</v>
          </cell>
          <cell r="M359">
            <v>320.10000000000002</v>
          </cell>
          <cell r="N359">
            <v>241.3</v>
          </cell>
          <cell r="O359">
            <v>65.7</v>
          </cell>
          <cell r="P359">
            <v>64.5</v>
          </cell>
          <cell r="Q359">
            <v>84.3</v>
          </cell>
          <cell r="S359">
            <v>25</v>
          </cell>
          <cell r="T359" t="str">
            <v>1</v>
          </cell>
          <cell r="U359">
            <v>1235.9000000000001</v>
          </cell>
          <cell r="V359">
            <v>1239.5</v>
          </cell>
          <cell r="W359">
            <v>732.3</v>
          </cell>
          <cell r="Y359">
            <v>3</v>
          </cell>
          <cell r="Z359">
            <v>1238.9000000000001</v>
          </cell>
          <cell r="AA359">
            <v>1243</v>
          </cell>
          <cell r="AB359">
            <v>734.7</v>
          </cell>
          <cell r="AD359">
            <v>3.2</v>
          </cell>
          <cell r="AE359">
            <v>1235.7</v>
          </cell>
          <cell r="AF359">
            <v>1241.2</v>
          </cell>
          <cell r="AG359">
            <v>733.4</v>
          </cell>
          <cell r="AI359">
            <v>3.1</v>
          </cell>
          <cell r="AK359">
            <v>1306.2485100000001</v>
          </cell>
          <cell r="AM359">
            <v>1207.33664</v>
          </cell>
          <cell r="AO359">
            <v>1247.1053300000001</v>
          </cell>
          <cell r="AQ359" t="str">
            <v>-</v>
          </cell>
          <cell r="AR359">
            <v>1288</v>
          </cell>
          <cell r="AS359">
            <v>3.1</v>
          </cell>
          <cell r="AV359">
            <v>2.4287051545350518</v>
          </cell>
          <cell r="BS359">
            <v>2.5859999999999999</v>
          </cell>
        </row>
        <row r="360">
          <cell r="A360">
            <v>432</v>
          </cell>
          <cell r="B360">
            <v>40274</v>
          </cell>
          <cell r="D360">
            <v>1500.4</v>
          </cell>
          <cell r="E360">
            <v>1426.6</v>
          </cell>
          <cell r="G360" t="str">
            <v>Parcheo elaboración de fallos en vías urbanas y rurales del municipio de Medellín.</v>
          </cell>
          <cell r="H360" t="str">
            <v>2/2</v>
          </cell>
          <cell r="I360">
            <v>0</v>
          </cell>
          <cell r="J360">
            <v>159.4</v>
          </cell>
          <cell r="K360">
            <v>159.6</v>
          </cell>
          <cell r="L360">
            <v>328</v>
          </cell>
          <cell r="M360">
            <v>322</v>
          </cell>
          <cell r="N360">
            <v>233.3</v>
          </cell>
          <cell r="O360">
            <v>70.599999999999994</v>
          </cell>
          <cell r="P360">
            <v>69.099999999999994</v>
          </cell>
          <cell r="Q360">
            <v>84.6</v>
          </cell>
          <cell r="S360">
            <v>25</v>
          </cell>
          <cell r="T360" t="str">
            <v>1</v>
          </cell>
          <cell r="U360">
            <v>1236.8</v>
          </cell>
          <cell r="V360">
            <v>1241.5</v>
          </cell>
          <cell r="W360">
            <v>735.2</v>
          </cell>
          <cell r="Y360">
            <v>3.6</v>
          </cell>
          <cell r="Z360">
            <v>1235.2</v>
          </cell>
          <cell r="AA360">
            <v>1238.2</v>
          </cell>
          <cell r="AB360">
            <v>733.8</v>
          </cell>
          <cell r="AD360">
            <v>3.1</v>
          </cell>
          <cell r="AE360">
            <v>1235</v>
          </cell>
          <cell r="AF360">
            <v>1238.4000000000001</v>
          </cell>
          <cell r="AG360">
            <v>730.2</v>
          </cell>
          <cell r="AI360">
            <v>3.1</v>
          </cell>
          <cell r="AK360">
            <v>1329.7018399999999</v>
          </cell>
          <cell r="AM360">
            <v>1343.9777799999999</v>
          </cell>
          <cell r="AO360">
            <v>1454.10646</v>
          </cell>
          <cell r="AQ360" t="str">
            <v>-</v>
          </cell>
          <cell r="AR360">
            <v>1420</v>
          </cell>
          <cell r="AS360">
            <v>3.3</v>
          </cell>
          <cell r="AV360">
            <v>2.4334666269095941</v>
          </cell>
          <cell r="BS360">
            <v>2.5859999999999999</v>
          </cell>
        </row>
        <row r="361">
          <cell r="A361">
            <v>433</v>
          </cell>
          <cell r="B361">
            <v>40275</v>
          </cell>
          <cell r="D361">
            <v>1500.3</v>
          </cell>
          <cell r="E361">
            <v>1429.2</v>
          </cell>
          <cell r="G361" t="str">
            <v>Parcheo elaboración de fallos en vías urbanas y rurales del municipio de Medellín.</v>
          </cell>
          <cell r="H361" t="str">
            <v>1/2</v>
          </cell>
          <cell r="I361">
            <v>0</v>
          </cell>
          <cell r="J361">
            <v>216.6</v>
          </cell>
          <cell r="K361">
            <v>185.5</v>
          </cell>
          <cell r="L361">
            <v>260</v>
          </cell>
          <cell r="M361">
            <v>305.89999999999998</v>
          </cell>
          <cell r="N361">
            <v>240.1</v>
          </cell>
          <cell r="O361">
            <v>77.900000000000006</v>
          </cell>
          <cell r="P361">
            <v>60.1</v>
          </cell>
          <cell r="Q361">
            <v>83.1</v>
          </cell>
          <cell r="S361">
            <v>25</v>
          </cell>
          <cell r="T361" t="str">
            <v>1</v>
          </cell>
          <cell r="U361">
            <v>1235.4000000000001</v>
          </cell>
          <cell r="V361">
            <v>1239</v>
          </cell>
          <cell r="W361">
            <v>734.4</v>
          </cell>
          <cell r="Y361">
            <v>3.2</v>
          </cell>
          <cell r="Z361">
            <v>1236.4000000000001</v>
          </cell>
          <cell r="AA361">
            <v>1239.7</v>
          </cell>
          <cell r="AB361">
            <v>735.6</v>
          </cell>
          <cell r="AD361">
            <v>2.8</v>
          </cell>
          <cell r="AE361">
            <v>1235.9000000000001</v>
          </cell>
          <cell r="AF361">
            <v>1240.4000000000001</v>
          </cell>
          <cell r="AG361">
            <v>734.7</v>
          </cell>
          <cell r="AI361">
            <v>3.4</v>
          </cell>
          <cell r="AK361">
            <v>1454.10646</v>
          </cell>
          <cell r="AM361">
            <v>1252.20388</v>
          </cell>
          <cell r="AO361">
            <v>1360.29314</v>
          </cell>
          <cell r="AQ361" t="str">
            <v>-</v>
          </cell>
          <cell r="AR361">
            <v>1406</v>
          </cell>
          <cell r="AS361">
            <v>3.1</v>
          </cell>
          <cell r="AV361">
            <v>2.4411396913684165</v>
          </cell>
          <cell r="BS361">
            <v>2.6030000000000002</v>
          </cell>
        </row>
        <row r="362">
          <cell r="A362">
            <v>434</v>
          </cell>
          <cell r="B362">
            <v>40275</v>
          </cell>
          <cell r="D362">
            <v>1500.4</v>
          </cell>
          <cell r="E362">
            <v>1428.6</v>
          </cell>
          <cell r="G362" t="str">
            <v>Parcheo elaboración de fallos en vías urbanas y rurales del municipio de Medellín.</v>
          </cell>
          <cell r="H362" t="str">
            <v>2/2</v>
          </cell>
          <cell r="I362">
            <v>0</v>
          </cell>
          <cell r="J362">
            <v>164.7</v>
          </cell>
          <cell r="K362">
            <v>194.6</v>
          </cell>
          <cell r="L362">
            <v>315.7</v>
          </cell>
          <cell r="M362">
            <v>305.89999999999998</v>
          </cell>
          <cell r="N362">
            <v>219.8</v>
          </cell>
          <cell r="O362">
            <v>79.400000000000006</v>
          </cell>
          <cell r="P362">
            <v>62.2</v>
          </cell>
          <cell r="Q362">
            <v>86.3</v>
          </cell>
          <cell r="S362">
            <v>25</v>
          </cell>
          <cell r="T362" t="str">
            <v>1</v>
          </cell>
          <cell r="U362">
            <v>1236.5</v>
          </cell>
          <cell r="V362">
            <v>1238.7</v>
          </cell>
          <cell r="W362">
            <v>734.2</v>
          </cell>
          <cell r="Y362">
            <v>2.7</v>
          </cell>
          <cell r="Z362">
            <v>1234.5999999999999</v>
          </cell>
          <cell r="AA362">
            <v>1237.4000000000001</v>
          </cell>
          <cell r="AB362">
            <v>733.6</v>
          </cell>
          <cell r="AD362">
            <v>2.9</v>
          </cell>
          <cell r="AE362">
            <v>1233.5999999999999</v>
          </cell>
          <cell r="AF362">
            <v>1235.5999999999999</v>
          </cell>
          <cell r="AG362">
            <v>731.1</v>
          </cell>
          <cell r="AI362">
            <v>3.3</v>
          </cell>
          <cell r="AK362">
            <v>1324.60329</v>
          </cell>
          <cell r="AM362">
            <v>1427.5940000000001</v>
          </cell>
          <cell r="AO362">
            <v>1460.2247200000002</v>
          </cell>
          <cell r="AQ362" t="str">
            <v>-</v>
          </cell>
          <cell r="AR362">
            <v>1459</v>
          </cell>
          <cell r="AS362">
            <v>3</v>
          </cell>
          <cell r="AV362">
            <v>2.4417404280700898</v>
          </cell>
          <cell r="BS362">
            <v>2.6030000000000002</v>
          </cell>
        </row>
        <row r="363">
          <cell r="A363">
            <v>435</v>
          </cell>
          <cell r="B363">
            <v>40276</v>
          </cell>
          <cell r="D363">
            <v>1500.5</v>
          </cell>
          <cell r="E363">
            <v>1427.9</v>
          </cell>
          <cell r="G363" t="str">
            <v>Parcheo elaboración de fallos en vías urbanas y rurales del municipio de Medellín.</v>
          </cell>
          <cell r="H363" t="str">
            <v>1/2</v>
          </cell>
          <cell r="I363">
            <v>0</v>
          </cell>
          <cell r="J363">
            <v>234.6</v>
          </cell>
          <cell r="K363">
            <v>188.9</v>
          </cell>
          <cell r="L363">
            <v>246.9</v>
          </cell>
          <cell r="M363">
            <v>308.60000000000002</v>
          </cell>
          <cell r="N363">
            <v>229.7</v>
          </cell>
          <cell r="O363">
            <v>79.2</v>
          </cell>
          <cell r="P363">
            <v>60.5</v>
          </cell>
          <cell r="Q363">
            <v>79.5</v>
          </cell>
          <cell r="S363">
            <v>25</v>
          </cell>
          <cell r="T363" t="str">
            <v>1</v>
          </cell>
          <cell r="U363">
            <v>1239.2</v>
          </cell>
          <cell r="V363">
            <v>1241.7</v>
          </cell>
          <cell r="W363">
            <v>734.1</v>
          </cell>
          <cell r="Y363">
            <v>3.1</v>
          </cell>
          <cell r="Z363">
            <v>1237.5</v>
          </cell>
          <cell r="AA363">
            <v>1241.9000000000001</v>
          </cell>
          <cell r="AB363">
            <v>734.2</v>
          </cell>
          <cell r="AD363">
            <v>2.9</v>
          </cell>
          <cell r="AE363">
            <v>1236.5</v>
          </cell>
          <cell r="AF363">
            <v>1239.5999999999999</v>
          </cell>
          <cell r="AG363">
            <v>732.7</v>
          </cell>
          <cell r="AI363">
            <v>2.7</v>
          </cell>
          <cell r="AK363">
            <v>1468.3824000000002</v>
          </cell>
          <cell r="AM363">
            <v>1451.0473300000001</v>
          </cell>
          <cell r="AO363">
            <v>1424.5348700000002</v>
          </cell>
          <cell r="AP363" t="str">
            <v>Muestra tomada en el elevador</v>
          </cell>
          <cell r="AQ363" t="str">
            <v>-</v>
          </cell>
          <cell r="AR363">
            <v>1489</v>
          </cell>
          <cell r="AS363">
            <v>2.9</v>
          </cell>
          <cell r="AV363">
            <v>2.4322290505065802</v>
          </cell>
          <cell r="BS363">
            <v>2.5859999999999999</v>
          </cell>
        </row>
        <row r="364">
          <cell r="A364">
            <v>436</v>
          </cell>
          <cell r="B364">
            <v>40276</v>
          </cell>
          <cell r="D364">
            <v>1500.5</v>
          </cell>
          <cell r="E364">
            <v>1424.6</v>
          </cell>
          <cell r="G364" t="str">
            <v>Parcheo elaboración de fallos en vías urbanas y rurales del municipio de Medellín.</v>
          </cell>
          <cell r="H364" t="str">
            <v>2/2</v>
          </cell>
          <cell r="I364">
            <v>0</v>
          </cell>
          <cell r="J364">
            <v>188</v>
          </cell>
          <cell r="K364">
            <v>138.30000000000001</v>
          </cell>
          <cell r="L364">
            <v>275.2</v>
          </cell>
          <cell r="M364">
            <v>370.7</v>
          </cell>
          <cell r="N364">
            <v>219.3</v>
          </cell>
          <cell r="O364">
            <v>72.5</v>
          </cell>
          <cell r="P364">
            <v>72.900000000000006</v>
          </cell>
          <cell r="Q364">
            <v>87.7</v>
          </cell>
          <cell r="S364">
            <v>25</v>
          </cell>
          <cell r="T364" t="str">
            <v>1</v>
          </cell>
          <cell r="U364">
            <v>1238.4000000000001</v>
          </cell>
          <cell r="V364">
            <v>1239.7</v>
          </cell>
          <cell r="W364">
            <v>735.2</v>
          </cell>
          <cell r="Y364">
            <v>3.1</v>
          </cell>
          <cell r="Z364">
            <v>1236.9000000000001</v>
          </cell>
          <cell r="AA364">
            <v>1238.5</v>
          </cell>
          <cell r="AB364">
            <v>735.4</v>
          </cell>
          <cell r="AD364">
            <v>3.1</v>
          </cell>
          <cell r="AE364">
            <v>1238.4000000000001</v>
          </cell>
          <cell r="AF364">
            <v>1240.2</v>
          </cell>
          <cell r="AG364">
            <v>734.6</v>
          </cell>
          <cell r="AI364">
            <v>2.8</v>
          </cell>
          <cell r="AK364">
            <v>1510.1905100000001</v>
          </cell>
          <cell r="AM364">
            <v>1406.1800900000001</v>
          </cell>
          <cell r="AO364">
            <v>1509.1708000000001</v>
          </cell>
          <cell r="AP364" t="str">
            <v>Muestra tomada en la volqueta</v>
          </cell>
          <cell r="AQ364" t="str">
            <v>-</v>
          </cell>
          <cell r="AR364">
            <v>1532</v>
          </cell>
          <cell r="AS364">
            <v>3</v>
          </cell>
          <cell r="AV364">
            <v>2.4470319897430737</v>
          </cell>
          <cell r="BS364">
            <v>2.5859999999999999</v>
          </cell>
        </row>
        <row r="365">
          <cell r="A365">
            <v>437</v>
          </cell>
          <cell r="B365">
            <v>40277</v>
          </cell>
          <cell r="D365">
            <v>1500.2</v>
          </cell>
          <cell r="E365">
            <v>1423.6</v>
          </cell>
          <cell r="G365" t="str">
            <v>Parcheo elaboración de fallos en vías urbanas y rurales del municipio de Medellín.</v>
          </cell>
          <cell r="H365" t="str">
            <v>1/2</v>
          </cell>
          <cell r="I365">
            <v>0</v>
          </cell>
          <cell r="J365">
            <v>180.5</v>
          </cell>
          <cell r="K365">
            <v>192.7</v>
          </cell>
          <cell r="L365">
            <v>254.1</v>
          </cell>
          <cell r="M365">
            <v>332.7</v>
          </cell>
          <cell r="N365">
            <v>227.7</v>
          </cell>
          <cell r="O365">
            <v>68.900000000000006</v>
          </cell>
          <cell r="P365">
            <v>74.8</v>
          </cell>
          <cell r="Q365">
            <v>92.2</v>
          </cell>
          <cell r="S365">
            <v>25</v>
          </cell>
          <cell r="T365" t="str">
            <v>1</v>
          </cell>
          <cell r="U365">
            <v>1238.8</v>
          </cell>
          <cell r="V365">
            <v>1240.3</v>
          </cell>
          <cell r="W365">
            <v>737.4</v>
          </cell>
          <cell r="Y365">
            <v>3.2</v>
          </cell>
          <cell r="Z365">
            <v>1237.5999999999999</v>
          </cell>
          <cell r="AA365">
            <v>1238.5999999999999</v>
          </cell>
          <cell r="AB365">
            <v>734.8</v>
          </cell>
          <cell r="AD365">
            <v>3.1</v>
          </cell>
          <cell r="AE365">
            <v>1236.5999999999999</v>
          </cell>
          <cell r="AF365">
            <v>1237.5</v>
          </cell>
          <cell r="AG365">
            <v>735.1</v>
          </cell>
          <cell r="AI365">
            <v>2.8</v>
          </cell>
          <cell r="AK365">
            <v>1754.92091</v>
          </cell>
          <cell r="AM365">
            <v>1386.8055999999999</v>
          </cell>
          <cell r="AO365">
            <v>1449.00791</v>
          </cell>
          <cell r="AP365" t="str">
            <v>Muestra tomada en el elevador</v>
          </cell>
          <cell r="AQ365" t="str">
            <v>-</v>
          </cell>
          <cell r="AR365">
            <v>1597</v>
          </cell>
          <cell r="AS365">
            <v>3</v>
          </cell>
          <cell r="AV365">
            <v>2.4532128039921828</v>
          </cell>
          <cell r="BS365">
            <v>2.589</v>
          </cell>
        </row>
        <row r="366">
          <cell r="A366">
            <v>438</v>
          </cell>
          <cell r="B366">
            <v>40277</v>
          </cell>
          <cell r="D366">
            <v>1498.2</v>
          </cell>
          <cell r="E366">
            <v>1419.2</v>
          </cell>
          <cell r="G366" t="str">
            <v>Parcheo elaboración de fallos en vías urbanas y rurales del municipio de Medellín.</v>
          </cell>
          <cell r="H366" t="str">
            <v>2/2</v>
          </cell>
          <cell r="I366">
            <v>0</v>
          </cell>
          <cell r="J366">
            <v>183.1</v>
          </cell>
          <cell r="K366">
            <v>160.9</v>
          </cell>
          <cell r="L366">
            <v>265.5</v>
          </cell>
          <cell r="M366">
            <v>343.5</v>
          </cell>
          <cell r="N366">
            <v>232.3</v>
          </cell>
          <cell r="O366">
            <v>69</v>
          </cell>
          <cell r="P366">
            <v>74.8</v>
          </cell>
          <cell r="Q366">
            <v>90.1</v>
          </cell>
          <cell r="S366">
            <v>25</v>
          </cell>
          <cell r="T366" t="str">
            <v>1</v>
          </cell>
          <cell r="U366">
            <v>1236.5999999999999</v>
          </cell>
          <cell r="V366">
            <v>1239</v>
          </cell>
          <cell r="W366">
            <v>736.1</v>
          </cell>
          <cell r="Y366">
            <v>3.5</v>
          </cell>
          <cell r="Z366">
            <v>1236.9000000000001</v>
          </cell>
          <cell r="AA366">
            <v>1239</v>
          </cell>
          <cell r="AB366">
            <v>738</v>
          </cell>
          <cell r="AD366">
            <v>3.1</v>
          </cell>
          <cell r="AE366">
            <v>1236.9000000000001</v>
          </cell>
          <cell r="AF366">
            <v>1238.9000000000001</v>
          </cell>
          <cell r="AG366">
            <v>737.1</v>
          </cell>
          <cell r="AI366">
            <v>3.5</v>
          </cell>
          <cell r="AK366">
            <v>1429.6334200000001</v>
          </cell>
          <cell r="AM366">
            <v>1423.5151600000002</v>
          </cell>
          <cell r="AO366">
            <v>1444.9290700000001</v>
          </cell>
          <cell r="AP366" t="str">
            <v>Muestra tomada en la volqueta</v>
          </cell>
          <cell r="AQ366" t="str">
            <v>-</v>
          </cell>
          <cell r="AR366">
            <v>1500</v>
          </cell>
          <cell r="AS366">
            <v>3.4</v>
          </cell>
          <cell r="AV366">
            <v>2.4570343246589696</v>
          </cell>
          <cell r="BS366">
            <v>2.589</v>
          </cell>
        </row>
        <row r="367">
          <cell r="A367">
            <v>439</v>
          </cell>
          <cell r="B367">
            <v>40280</v>
          </cell>
          <cell r="D367">
            <v>1500.4</v>
          </cell>
          <cell r="E367">
            <v>1423.8</v>
          </cell>
          <cell r="G367" t="str">
            <v>Parcheo elaboración de fallos en vías urbanas y rurales del municipio de Medellín.</v>
          </cell>
          <cell r="H367" t="str">
            <v>1/2</v>
          </cell>
          <cell r="I367">
            <v>0</v>
          </cell>
          <cell r="J367">
            <v>163</v>
          </cell>
          <cell r="K367">
            <v>179</v>
          </cell>
          <cell r="L367">
            <v>245.4</v>
          </cell>
          <cell r="M367">
            <v>373.1</v>
          </cell>
          <cell r="N367">
            <v>236.6</v>
          </cell>
          <cell r="O367">
            <v>71.5</v>
          </cell>
          <cell r="P367">
            <v>72.599999999999994</v>
          </cell>
          <cell r="Q367">
            <v>82.6</v>
          </cell>
          <cell r="S367">
            <v>25</v>
          </cell>
          <cell r="T367" t="str">
            <v>1</v>
          </cell>
          <cell r="U367">
            <v>1236.0999999999999</v>
          </cell>
          <cell r="V367">
            <v>1238.5</v>
          </cell>
          <cell r="W367">
            <v>733.9</v>
          </cell>
          <cell r="Y367">
            <v>3.4</v>
          </cell>
          <cell r="Z367">
            <v>1236.8</v>
          </cell>
          <cell r="AA367">
            <v>1241.7</v>
          </cell>
          <cell r="AB367">
            <v>734.7</v>
          </cell>
          <cell r="AD367">
            <v>3.32</v>
          </cell>
          <cell r="AE367">
            <v>1232.9000000000001</v>
          </cell>
          <cell r="AF367">
            <v>1238.0999999999999</v>
          </cell>
          <cell r="AG367">
            <v>732.5</v>
          </cell>
          <cell r="AI367">
            <v>3.46</v>
          </cell>
          <cell r="AK367">
            <v>1400.0618300000001</v>
          </cell>
          <cell r="AM367">
            <v>1353.15517</v>
          </cell>
          <cell r="AO367">
            <v>1417.3969000000002</v>
          </cell>
          <cell r="AP367" t="str">
            <v>Muestra tomada en el elevador</v>
          </cell>
          <cell r="AR367">
            <v>1438</v>
          </cell>
          <cell r="AS367">
            <v>3.4</v>
          </cell>
          <cell r="AV367">
            <v>2.4353888420021907</v>
          </cell>
          <cell r="BS367">
            <v>2.5859999999999999</v>
          </cell>
        </row>
        <row r="368">
          <cell r="A368">
            <v>440</v>
          </cell>
          <cell r="B368">
            <v>40280</v>
          </cell>
          <cell r="D368">
            <v>1500.3</v>
          </cell>
          <cell r="E368">
            <v>1423.2</v>
          </cell>
          <cell r="G368" t="str">
            <v>Parcheo elaboración de fallos en vías urbanas y rurales del municipio de Medellín.</v>
          </cell>
          <cell r="H368" t="str">
            <v>2/2</v>
          </cell>
          <cell r="I368">
            <v>0</v>
          </cell>
          <cell r="J368">
            <v>201.4</v>
          </cell>
          <cell r="K368">
            <v>153.1</v>
          </cell>
          <cell r="L368">
            <v>256.7</v>
          </cell>
          <cell r="M368">
            <v>362.6</v>
          </cell>
          <cell r="N368">
            <v>226.6</v>
          </cell>
          <cell r="O368">
            <v>66.400000000000006</v>
          </cell>
          <cell r="P368">
            <v>70.599999999999994</v>
          </cell>
          <cell r="Q368">
            <v>85.8</v>
          </cell>
          <cell r="S368">
            <v>25</v>
          </cell>
          <cell r="T368" t="str">
            <v>1</v>
          </cell>
          <cell r="U368">
            <v>1237.3</v>
          </cell>
          <cell r="V368">
            <v>1239</v>
          </cell>
          <cell r="W368">
            <v>732.1</v>
          </cell>
          <cell r="Y368">
            <v>3.6</v>
          </cell>
          <cell r="Z368">
            <v>1237.8</v>
          </cell>
          <cell r="AA368">
            <v>1240.2</v>
          </cell>
          <cell r="AB368">
            <v>732.1</v>
          </cell>
          <cell r="AD368">
            <v>3.3</v>
          </cell>
          <cell r="AE368">
            <v>1234</v>
          </cell>
          <cell r="AF368">
            <v>1237</v>
          </cell>
          <cell r="AG368">
            <v>728.7</v>
          </cell>
          <cell r="AI368">
            <v>3.5</v>
          </cell>
          <cell r="AK368">
            <v>1465.3232699999999</v>
          </cell>
          <cell r="AM368">
            <v>1455.12617</v>
          </cell>
          <cell r="AO368">
            <v>1376.6085</v>
          </cell>
          <cell r="AP368" t="str">
            <v>Muestra tomada en la volqueta</v>
          </cell>
          <cell r="AR368">
            <v>1472</v>
          </cell>
          <cell r="AS368">
            <v>3.5</v>
          </cell>
          <cell r="AV368">
            <v>2.4277945899742557</v>
          </cell>
          <cell r="BS368">
            <v>2.5859999999999999</v>
          </cell>
        </row>
        <row r="369">
          <cell r="A369">
            <v>441</v>
          </cell>
          <cell r="B369">
            <v>40282</v>
          </cell>
          <cell r="D369">
            <v>1504</v>
          </cell>
          <cell r="E369">
            <v>1425</v>
          </cell>
          <cell r="G369" t="str">
            <v>Parcheo elaboración de fallos en vías urbanas y rurales del municipio de Medellín.</v>
          </cell>
          <cell r="H369" t="str">
            <v>1/2</v>
          </cell>
          <cell r="I369">
            <v>0</v>
          </cell>
          <cell r="J369">
            <v>145.19999999999999</v>
          </cell>
          <cell r="K369">
            <v>201</v>
          </cell>
          <cell r="L369">
            <v>255.3</v>
          </cell>
          <cell r="M369">
            <v>330.3</v>
          </cell>
          <cell r="N369">
            <v>243</v>
          </cell>
          <cell r="O369">
            <v>75</v>
          </cell>
          <cell r="P369">
            <v>84.7</v>
          </cell>
          <cell r="Q369">
            <v>90.5</v>
          </cell>
          <cell r="S369">
            <v>25</v>
          </cell>
          <cell r="T369" t="str">
            <v>1</v>
          </cell>
          <cell r="U369">
            <v>1235.8</v>
          </cell>
          <cell r="V369">
            <v>1238.8</v>
          </cell>
          <cell r="W369">
            <v>733.9</v>
          </cell>
          <cell r="Y369">
            <v>3.3</v>
          </cell>
          <cell r="Z369">
            <v>1236.5</v>
          </cell>
          <cell r="AA369">
            <v>1239.8</v>
          </cell>
          <cell r="AB369">
            <v>734</v>
          </cell>
          <cell r="AD369">
            <v>3.5</v>
          </cell>
          <cell r="AE369">
            <v>1234.7</v>
          </cell>
          <cell r="AF369">
            <v>1235.8</v>
          </cell>
          <cell r="AG369">
            <v>732.6</v>
          </cell>
          <cell r="AI369">
            <v>2.8</v>
          </cell>
          <cell r="AK369">
            <v>1537.7226800000001</v>
          </cell>
          <cell r="AM369">
            <v>1542.8212300000002</v>
          </cell>
          <cell r="AO369">
            <v>1576.4716600000002</v>
          </cell>
          <cell r="AQ369" t="str">
            <v>-</v>
          </cell>
          <cell r="AR369">
            <v>1611</v>
          </cell>
          <cell r="AS369">
            <v>3.2</v>
          </cell>
          <cell r="AV369">
            <v>2.4414883246604844</v>
          </cell>
          <cell r="BS369">
            <v>2.5840000000000001</v>
          </cell>
        </row>
        <row r="370">
          <cell r="A370">
            <v>442</v>
          </cell>
          <cell r="B370">
            <v>40282</v>
          </cell>
          <cell r="D370">
            <v>1501.9</v>
          </cell>
          <cell r="E370">
            <v>1426.4</v>
          </cell>
          <cell r="G370" t="str">
            <v>Parcheo elaboración de fallos en vías urbanas y rurales del municipio de Medellín.</v>
          </cell>
          <cell r="H370" t="str">
            <v>2/2</v>
          </cell>
          <cell r="I370">
            <v>0</v>
          </cell>
          <cell r="J370">
            <v>253.3</v>
          </cell>
          <cell r="K370">
            <v>158.80000000000001</v>
          </cell>
          <cell r="L370">
            <v>187</v>
          </cell>
          <cell r="M370">
            <v>325.2</v>
          </cell>
          <cell r="N370">
            <v>255.5</v>
          </cell>
          <cell r="O370">
            <v>79.400000000000006</v>
          </cell>
          <cell r="P370">
            <v>76.099999999999994</v>
          </cell>
          <cell r="Q370">
            <v>91.1</v>
          </cell>
          <cell r="S370">
            <v>25</v>
          </cell>
          <cell r="T370" t="str">
            <v>1</v>
          </cell>
          <cell r="U370">
            <v>1238.5999999999999</v>
          </cell>
          <cell r="V370">
            <v>1239.8</v>
          </cell>
          <cell r="W370">
            <v>736.8</v>
          </cell>
          <cell r="Y370">
            <v>3.5</v>
          </cell>
          <cell r="Z370">
            <v>1237.7</v>
          </cell>
          <cell r="AA370">
            <v>1240.5</v>
          </cell>
          <cell r="AB370">
            <v>735.4</v>
          </cell>
          <cell r="AD370">
            <v>3.3</v>
          </cell>
          <cell r="AE370">
            <v>1235.5999999999999</v>
          </cell>
          <cell r="AF370">
            <v>1238.9000000000001</v>
          </cell>
          <cell r="AG370">
            <v>735.6</v>
          </cell>
          <cell r="AI370">
            <v>3.5</v>
          </cell>
          <cell r="AK370">
            <v>1687.6200500000002</v>
          </cell>
          <cell r="AM370">
            <v>1674.3638200000003</v>
          </cell>
          <cell r="AO370">
            <v>1773.2756900000002</v>
          </cell>
          <cell r="AR370">
            <v>1781</v>
          </cell>
          <cell r="AS370">
            <v>3.4</v>
          </cell>
          <cell r="AV370">
            <v>2.448759143118294</v>
          </cell>
          <cell r="BS370">
            <v>2.5840000000000001</v>
          </cell>
        </row>
        <row r="371">
          <cell r="A371">
            <v>443</v>
          </cell>
          <cell r="B371">
            <v>40283</v>
          </cell>
          <cell r="D371">
            <v>1503.5</v>
          </cell>
          <cell r="E371">
            <v>1427.9</v>
          </cell>
          <cell r="G371" t="str">
            <v>Parcheo elaboración de fallos en vías urbanas y rurales del municipio de Medellín.</v>
          </cell>
          <cell r="H371" t="str">
            <v>1/2</v>
          </cell>
          <cell r="I371">
            <v>0</v>
          </cell>
          <cell r="J371">
            <v>274.3</v>
          </cell>
          <cell r="K371">
            <v>125.9</v>
          </cell>
          <cell r="L371">
            <v>214</v>
          </cell>
          <cell r="M371">
            <v>323.5</v>
          </cell>
          <cell r="N371">
            <v>255.4</v>
          </cell>
          <cell r="O371">
            <v>74.3</v>
          </cell>
          <cell r="P371">
            <v>75.8</v>
          </cell>
          <cell r="Q371">
            <v>84.7</v>
          </cell>
          <cell r="S371">
            <v>25</v>
          </cell>
          <cell r="T371" t="str">
            <v>1</v>
          </cell>
          <cell r="U371">
            <v>1235.3</v>
          </cell>
          <cell r="V371">
            <v>1236.2</v>
          </cell>
          <cell r="W371">
            <v>734.4</v>
          </cell>
          <cell r="Y371">
            <v>3.4</v>
          </cell>
          <cell r="Z371">
            <v>1237.7</v>
          </cell>
          <cell r="AA371">
            <v>1239.8</v>
          </cell>
          <cell r="AB371">
            <v>735.1</v>
          </cell>
          <cell r="AD371">
            <v>3.1</v>
          </cell>
          <cell r="AE371">
            <v>1234.8</v>
          </cell>
          <cell r="AF371">
            <v>1238</v>
          </cell>
          <cell r="AG371">
            <v>731.2</v>
          </cell>
          <cell r="AI371">
            <v>3.2</v>
          </cell>
          <cell r="AK371">
            <v>1840.5765500000002</v>
          </cell>
          <cell r="AM371">
            <v>1740.6449700000001</v>
          </cell>
          <cell r="AO371">
            <v>1543.84094</v>
          </cell>
          <cell r="AP371" t="str">
            <v>Muestra tomada en el elevador</v>
          </cell>
          <cell r="AQ371" t="str">
            <v>Muestra tomada en planta, en cojunto con el Laboratorio de AIM, (Volqueta SNO752)</v>
          </cell>
          <cell r="AR371">
            <v>1775</v>
          </cell>
          <cell r="AS371">
            <v>3.2</v>
          </cell>
          <cell r="AV371">
            <v>2.4430164679760682</v>
          </cell>
          <cell r="BS371">
            <v>2.5939999999999999</v>
          </cell>
        </row>
        <row r="372">
          <cell r="A372">
            <v>444</v>
          </cell>
          <cell r="B372">
            <v>40283</v>
          </cell>
          <cell r="D372">
            <v>1505</v>
          </cell>
          <cell r="E372">
            <v>1432.1</v>
          </cell>
          <cell r="G372" t="str">
            <v>Parcheo elaboración de fallos en vías urbanas y rurales del municipio de Medellín.</v>
          </cell>
          <cell r="H372" t="str">
            <v>2/2</v>
          </cell>
          <cell r="I372">
            <v>0</v>
          </cell>
          <cell r="J372">
            <v>237.6</v>
          </cell>
          <cell r="K372">
            <v>141.1</v>
          </cell>
          <cell r="L372">
            <v>266</v>
          </cell>
          <cell r="M372">
            <v>310.89999999999998</v>
          </cell>
          <cell r="N372">
            <v>231.9</v>
          </cell>
          <cell r="O372">
            <v>71.599999999999994</v>
          </cell>
          <cell r="P372">
            <v>74</v>
          </cell>
          <cell r="Q372">
            <v>99</v>
          </cell>
          <cell r="S372">
            <v>25</v>
          </cell>
          <cell r="T372" t="str">
            <v>1</v>
          </cell>
          <cell r="U372">
            <v>1236.5</v>
          </cell>
          <cell r="V372">
            <v>1238.8</v>
          </cell>
          <cell r="W372">
            <v>733.2</v>
          </cell>
          <cell r="Y372">
            <v>2.6</v>
          </cell>
          <cell r="Z372">
            <v>1236.4000000000001</v>
          </cell>
          <cell r="AA372">
            <v>1238.5</v>
          </cell>
          <cell r="AB372">
            <v>733.7</v>
          </cell>
          <cell r="AD372">
            <v>3.3</v>
          </cell>
          <cell r="AE372">
            <v>1237.2</v>
          </cell>
          <cell r="AF372">
            <v>1239.8</v>
          </cell>
          <cell r="AG372">
            <v>733.8</v>
          </cell>
          <cell r="AI372">
            <v>3.2</v>
          </cell>
          <cell r="AK372">
            <v>1395.98299</v>
          </cell>
          <cell r="AM372">
            <v>1590.7475999999999</v>
          </cell>
          <cell r="AO372">
            <v>1623.37832</v>
          </cell>
          <cell r="AP372" t="str">
            <v>Muestra tomada en el elevador</v>
          </cell>
          <cell r="AQ372" t="str">
            <v>Muestra tomada en planta, en cojunto con el Laboratorio de AIM, (Volqueta CID262)</v>
          </cell>
          <cell r="AR372">
            <v>1591</v>
          </cell>
          <cell r="AS372">
            <v>3</v>
          </cell>
          <cell r="AV372">
            <v>2.4394953142469369</v>
          </cell>
          <cell r="BS372">
            <v>2.5939999999999999</v>
          </cell>
        </row>
        <row r="373">
          <cell r="A373">
            <v>445</v>
          </cell>
          <cell r="B373">
            <v>40284</v>
          </cell>
          <cell r="D373">
            <v>1508</v>
          </cell>
          <cell r="E373">
            <v>1436.5</v>
          </cell>
          <cell r="G373" t="str">
            <v>Parcheo elaboración de fallos en vías urbanas y rurales del municipio de Medellín.</v>
          </cell>
          <cell r="H373" t="str">
            <v>1/2</v>
          </cell>
          <cell r="I373">
            <v>0</v>
          </cell>
          <cell r="J373">
            <v>176.6</v>
          </cell>
          <cell r="K373">
            <v>164.3</v>
          </cell>
          <cell r="L373">
            <v>314.3</v>
          </cell>
          <cell r="M373">
            <v>311.8</v>
          </cell>
          <cell r="N373">
            <v>234.1</v>
          </cell>
          <cell r="O373">
            <v>77.7</v>
          </cell>
          <cell r="P373">
            <v>72.3</v>
          </cell>
          <cell r="Q373">
            <v>85.4</v>
          </cell>
          <cell r="S373">
            <v>25</v>
          </cell>
          <cell r="T373" t="str">
            <v>1</v>
          </cell>
          <cell r="U373">
            <v>1236.9000000000001</v>
          </cell>
          <cell r="V373">
            <v>1239.8</v>
          </cell>
          <cell r="W373">
            <v>732.3</v>
          </cell>
          <cell r="Y373">
            <v>3.3</v>
          </cell>
          <cell r="Z373">
            <v>1236.5999999999999</v>
          </cell>
          <cell r="AA373">
            <v>1239</v>
          </cell>
          <cell r="AB373">
            <v>731.3</v>
          </cell>
          <cell r="AD373">
            <v>3</v>
          </cell>
          <cell r="AE373">
            <v>1234</v>
          </cell>
          <cell r="AF373">
            <v>1235.7</v>
          </cell>
          <cell r="AG373">
            <v>730.8</v>
          </cell>
          <cell r="AI373">
            <v>2.8</v>
          </cell>
          <cell r="AK373">
            <v>1634.5951300000002</v>
          </cell>
          <cell r="AM373">
            <v>1607.06296</v>
          </cell>
          <cell r="AO373">
            <v>1881.3649499999999</v>
          </cell>
          <cell r="AP373" t="str">
            <v>Muestra tomada en el elevador</v>
          </cell>
          <cell r="AQ373" t="str">
            <v>Muestra tomada en planta, en cojunto con el Laboratorio de AIM, (Volqueta CID262)</v>
          </cell>
          <cell r="AR373">
            <v>1761</v>
          </cell>
          <cell r="AS373">
            <v>3</v>
          </cell>
          <cell r="AV373">
            <v>2.4318593024409334</v>
          </cell>
          <cell r="BS373">
            <v>2.5840000000000001</v>
          </cell>
        </row>
        <row r="374">
          <cell r="A374">
            <v>446</v>
          </cell>
          <cell r="B374">
            <v>40284</v>
          </cell>
          <cell r="D374">
            <v>1505.2</v>
          </cell>
          <cell r="E374">
            <v>1433</v>
          </cell>
          <cell r="G374" t="str">
            <v>Parcheo elaboración de fallos en vías urbanas y rurales del municipio de Medellín.</v>
          </cell>
          <cell r="H374" t="str">
            <v>2/2</v>
          </cell>
          <cell r="I374">
            <v>0</v>
          </cell>
          <cell r="J374">
            <v>198.5</v>
          </cell>
          <cell r="K374">
            <v>136.19999999999999</v>
          </cell>
          <cell r="L374">
            <v>263.60000000000002</v>
          </cell>
          <cell r="M374">
            <v>330.4</v>
          </cell>
          <cell r="N374">
            <v>258.60000000000002</v>
          </cell>
          <cell r="O374">
            <v>79.099999999999994</v>
          </cell>
          <cell r="P374">
            <v>79</v>
          </cell>
          <cell r="Q374">
            <v>87.6</v>
          </cell>
          <cell r="S374">
            <v>25</v>
          </cell>
          <cell r="T374" t="str">
            <v>1</v>
          </cell>
          <cell r="U374">
            <v>1235.7</v>
          </cell>
          <cell r="V374">
            <v>1238</v>
          </cell>
          <cell r="W374">
            <v>730.3</v>
          </cell>
          <cell r="Y374">
            <v>3.2</v>
          </cell>
          <cell r="Z374">
            <v>1237.4000000000001</v>
          </cell>
          <cell r="AA374">
            <v>1242</v>
          </cell>
          <cell r="AB374">
            <v>734</v>
          </cell>
          <cell r="AD374">
            <v>2.9</v>
          </cell>
          <cell r="AE374">
            <v>1234.9000000000001</v>
          </cell>
          <cell r="AF374">
            <v>1238</v>
          </cell>
          <cell r="AG374">
            <v>732</v>
          </cell>
          <cell r="AI374">
            <v>2.9</v>
          </cell>
          <cell r="AK374">
            <v>1639.6936799999999</v>
          </cell>
          <cell r="AM374">
            <v>1477.55979</v>
          </cell>
          <cell r="AO374">
            <v>1428.6137100000001</v>
          </cell>
          <cell r="AP374" t="str">
            <v>Muestra tomada en el elevador</v>
          </cell>
          <cell r="AQ374" t="str">
            <v>Muestra tomada en planta, en cojunto con el Laboratorio de AIM, (Volqueta CNN859)</v>
          </cell>
          <cell r="AR374">
            <v>1559</v>
          </cell>
          <cell r="AS374">
            <v>3</v>
          </cell>
          <cell r="AV374">
            <v>2.429625256036533</v>
          </cell>
          <cell r="BS374">
            <v>2.5840000000000001</v>
          </cell>
        </row>
        <row r="375">
          <cell r="A375">
            <v>447</v>
          </cell>
          <cell r="B375">
            <v>40287</v>
          </cell>
          <cell r="D375">
            <v>1689.2</v>
          </cell>
          <cell r="E375">
            <v>1605.8</v>
          </cell>
          <cell r="G375" t="str">
            <v>Parcheo elaboración de fallos en vías urbanas y rurales del municipio de Medellín.</v>
          </cell>
          <cell r="H375" t="str">
            <v>1/2</v>
          </cell>
          <cell r="I375">
            <v>0</v>
          </cell>
          <cell r="J375">
            <v>193</v>
          </cell>
          <cell r="K375">
            <v>202.1</v>
          </cell>
          <cell r="L375">
            <v>292.60000000000002</v>
          </cell>
          <cell r="M375">
            <v>356.7</v>
          </cell>
          <cell r="N375">
            <v>277.5</v>
          </cell>
          <cell r="O375">
            <v>89.7</v>
          </cell>
          <cell r="P375">
            <v>82.4</v>
          </cell>
          <cell r="Q375">
            <v>111.8</v>
          </cell>
          <cell r="S375">
            <v>25</v>
          </cell>
          <cell r="T375" t="str">
            <v>1</v>
          </cell>
          <cell r="U375">
            <v>1234.8</v>
          </cell>
          <cell r="V375">
            <v>1235.3</v>
          </cell>
          <cell r="W375">
            <v>736.4</v>
          </cell>
          <cell r="Y375">
            <v>3</v>
          </cell>
          <cell r="Z375">
            <v>1237.8</v>
          </cell>
          <cell r="AA375">
            <v>1240.0999999999999</v>
          </cell>
          <cell r="AB375">
            <v>730.6</v>
          </cell>
          <cell r="AD375">
            <v>3.2</v>
          </cell>
          <cell r="AE375">
            <v>1238.8</v>
          </cell>
          <cell r="AF375">
            <v>1240.2</v>
          </cell>
          <cell r="AG375">
            <v>734.1</v>
          </cell>
          <cell r="AI375">
            <v>3.2</v>
          </cell>
          <cell r="AK375">
            <v>1827.3203200000003</v>
          </cell>
          <cell r="AM375">
            <v>1606.0432500000002</v>
          </cell>
          <cell r="AO375">
            <v>1700.87628</v>
          </cell>
          <cell r="AP375" t="str">
            <v>Muestra tomada en el elevador</v>
          </cell>
          <cell r="AQ375" t="str">
            <v>-</v>
          </cell>
          <cell r="AR375">
            <v>1777</v>
          </cell>
          <cell r="AS375">
            <v>3.1</v>
          </cell>
          <cell r="AV375">
            <v>2.4435726917711924</v>
          </cell>
          <cell r="BS375">
            <v>2.58</v>
          </cell>
        </row>
        <row r="376">
          <cell r="A376">
            <v>448</v>
          </cell>
          <cell r="B376">
            <v>40287</v>
          </cell>
          <cell r="D376">
            <v>1752.5</v>
          </cell>
          <cell r="E376">
            <v>1667.4</v>
          </cell>
          <cell r="G376" t="str">
            <v>Parcheo elaboración de fallos en vías urbanas y rurales del municipio de Medellín.</v>
          </cell>
          <cell r="H376" t="str">
            <v>2/2</v>
          </cell>
          <cell r="I376">
            <v>0</v>
          </cell>
          <cell r="J376">
            <v>204.2</v>
          </cell>
          <cell r="K376">
            <v>196</v>
          </cell>
          <cell r="L376">
            <v>345.8</v>
          </cell>
          <cell r="M376">
            <v>367.9</v>
          </cell>
          <cell r="N376">
            <v>266.5</v>
          </cell>
          <cell r="O376">
            <v>87.2</v>
          </cell>
          <cell r="P376">
            <v>86.4</v>
          </cell>
          <cell r="Q376">
            <v>113.4</v>
          </cell>
          <cell r="S376">
            <v>25</v>
          </cell>
          <cell r="T376" t="str">
            <v>1</v>
          </cell>
          <cell r="U376">
            <v>1236.0999999999999</v>
          </cell>
          <cell r="V376">
            <v>1238.0999999999999</v>
          </cell>
          <cell r="W376">
            <v>735.9</v>
          </cell>
          <cell r="Y376">
            <v>3.1</v>
          </cell>
          <cell r="Z376">
            <v>1236.0999999999999</v>
          </cell>
          <cell r="AA376">
            <v>1239.4000000000001</v>
          </cell>
          <cell r="AB376">
            <v>735.7</v>
          </cell>
          <cell r="AD376">
            <v>3</v>
          </cell>
          <cell r="AE376">
            <v>1236.8</v>
          </cell>
          <cell r="AF376">
            <v>1240.7</v>
          </cell>
          <cell r="AG376">
            <v>736.1</v>
          </cell>
          <cell r="AI376">
            <v>3.5</v>
          </cell>
          <cell r="AK376">
            <v>1680.48208</v>
          </cell>
          <cell r="AM376">
            <v>1865.0495900000001</v>
          </cell>
          <cell r="AO376">
            <v>1574.4322400000001</v>
          </cell>
          <cell r="AP376" t="str">
            <v>Muestra tomada en la volqueta</v>
          </cell>
          <cell r="AQ376" t="str">
            <v>-</v>
          </cell>
          <cell r="AR376">
            <v>1778</v>
          </cell>
          <cell r="AS376">
            <v>3.2</v>
          </cell>
          <cell r="AV376">
            <v>2.4483045051844563</v>
          </cell>
          <cell r="BS376">
            <v>2.58</v>
          </cell>
        </row>
        <row r="377">
          <cell r="A377">
            <v>449</v>
          </cell>
          <cell r="B377">
            <v>40288</v>
          </cell>
          <cell r="D377">
            <v>1650.2</v>
          </cell>
          <cell r="E377">
            <v>1564.8</v>
          </cell>
          <cell r="G377" t="str">
            <v>Parcheo elaboración de fallos en vías urbanas y rurales del municipio de Medellín.</v>
          </cell>
          <cell r="H377" t="str">
            <v>1/2</v>
          </cell>
          <cell r="I377">
            <v>0</v>
          </cell>
          <cell r="J377">
            <v>156.30000000000001</v>
          </cell>
          <cell r="K377">
            <v>147.5</v>
          </cell>
          <cell r="L377">
            <v>323.60000000000002</v>
          </cell>
          <cell r="M377">
            <v>375.7</v>
          </cell>
          <cell r="N377">
            <v>285</v>
          </cell>
          <cell r="O377">
            <v>85.6</v>
          </cell>
          <cell r="P377">
            <v>84.8</v>
          </cell>
          <cell r="Q377">
            <v>106.3</v>
          </cell>
          <cell r="S377">
            <v>25</v>
          </cell>
          <cell r="T377" t="str">
            <v>1</v>
          </cell>
          <cell r="U377">
            <v>1235.9000000000001</v>
          </cell>
          <cell r="V377">
            <v>1237.2</v>
          </cell>
          <cell r="W377">
            <v>738.3</v>
          </cell>
          <cell r="Y377">
            <v>3.4</v>
          </cell>
          <cell r="Z377">
            <v>1238.5</v>
          </cell>
          <cell r="AA377">
            <v>1239.3</v>
          </cell>
          <cell r="AB377">
            <v>736.8</v>
          </cell>
          <cell r="AD377">
            <v>3.4</v>
          </cell>
          <cell r="AE377">
            <v>1235.4000000000001</v>
          </cell>
          <cell r="AF377">
            <v>1236.3</v>
          </cell>
          <cell r="AG377">
            <v>734.8</v>
          </cell>
          <cell r="AI377">
            <v>3</v>
          </cell>
          <cell r="AK377">
            <v>1602.9841200000001</v>
          </cell>
          <cell r="AM377">
            <v>1769.1968500000003</v>
          </cell>
          <cell r="AO377">
            <v>1761.03917</v>
          </cell>
          <cell r="AP377" t="str">
            <v>Muestra tomada en el elevador</v>
          </cell>
          <cell r="AQ377" t="str">
            <v>-</v>
          </cell>
          <cell r="AR377">
            <v>1797</v>
          </cell>
          <cell r="AS377">
            <v>3.3</v>
          </cell>
          <cell r="AV377">
            <v>2.4612252429019832</v>
          </cell>
          <cell r="BS377">
            <v>2.5739999999999998</v>
          </cell>
        </row>
        <row r="378">
          <cell r="A378">
            <v>450</v>
          </cell>
          <cell r="B378">
            <v>40288</v>
          </cell>
          <cell r="D378">
            <v>1686.9</v>
          </cell>
          <cell r="E378">
            <v>1600.4</v>
          </cell>
          <cell r="G378" t="str">
            <v>Parcheo elaboración de fallos en vías urbanas y rurales del municipio de Medellín.</v>
          </cell>
          <cell r="H378" t="str">
            <v>2/2</v>
          </cell>
          <cell r="I378">
            <v>0</v>
          </cell>
          <cell r="J378">
            <v>145.19999999999999</v>
          </cell>
          <cell r="K378">
            <v>209.9</v>
          </cell>
          <cell r="L378">
            <v>355.3</v>
          </cell>
          <cell r="M378">
            <v>366.9</v>
          </cell>
          <cell r="N378">
            <v>254</v>
          </cell>
          <cell r="O378">
            <v>81.3</v>
          </cell>
          <cell r="P378">
            <v>85</v>
          </cell>
          <cell r="Q378">
            <v>102.8</v>
          </cell>
          <cell r="S378">
            <v>25</v>
          </cell>
          <cell r="T378" t="str">
            <v>1</v>
          </cell>
          <cell r="U378">
            <v>1237.7</v>
          </cell>
          <cell r="V378">
            <v>1239.5</v>
          </cell>
          <cell r="W378">
            <v>728.1</v>
          </cell>
          <cell r="Y378">
            <v>2.8</v>
          </cell>
          <cell r="Z378">
            <v>1237.7</v>
          </cell>
          <cell r="AA378">
            <v>1238.5</v>
          </cell>
          <cell r="AB378">
            <v>738.8</v>
          </cell>
          <cell r="AD378">
            <v>3.1</v>
          </cell>
          <cell r="AE378">
            <v>1237.0999999999999</v>
          </cell>
          <cell r="AF378">
            <v>1239.9000000000001</v>
          </cell>
          <cell r="AG378">
            <v>733.9</v>
          </cell>
          <cell r="AI378">
            <v>3.3</v>
          </cell>
          <cell r="AK378">
            <v>1501.0131200000001</v>
          </cell>
          <cell r="AM378">
            <v>1576.4716600000002</v>
          </cell>
          <cell r="AO378">
            <v>1420.4560300000001</v>
          </cell>
          <cell r="AP378" t="str">
            <v>Muestra tomada en la volqueta</v>
          </cell>
          <cell r="AQ378" t="str">
            <v>-</v>
          </cell>
          <cell r="AR378">
            <v>1552</v>
          </cell>
          <cell r="AS378">
            <v>3.1</v>
          </cell>
          <cell r="AV378">
            <v>2.4401638485070456</v>
          </cell>
          <cell r="BS378">
            <v>2.5739999999999998</v>
          </cell>
        </row>
        <row r="379">
          <cell r="A379">
            <v>451</v>
          </cell>
          <cell r="B379">
            <v>40289</v>
          </cell>
          <cell r="D379">
            <v>1700.5</v>
          </cell>
          <cell r="E379">
            <v>1619.2</v>
          </cell>
          <cell r="G379" t="str">
            <v>Parcheo elaboración de fallos en vías urbanas y rurales del municipio de Medellín.</v>
          </cell>
          <cell r="H379" t="str">
            <v>1/5</v>
          </cell>
          <cell r="I379">
            <v>0</v>
          </cell>
          <cell r="J379">
            <v>191.3</v>
          </cell>
          <cell r="K379">
            <v>191.5</v>
          </cell>
          <cell r="L379">
            <v>325.5</v>
          </cell>
          <cell r="M379">
            <v>344.2</v>
          </cell>
          <cell r="N379">
            <v>285</v>
          </cell>
          <cell r="O379">
            <v>88.5</v>
          </cell>
          <cell r="P379">
            <v>84.9</v>
          </cell>
          <cell r="Q379">
            <v>108.3</v>
          </cell>
          <cell r="S379">
            <v>25</v>
          </cell>
          <cell r="T379" t="str">
            <v>1</v>
          </cell>
          <cell r="U379">
            <v>1234.7</v>
          </cell>
          <cell r="V379">
            <v>1235.3</v>
          </cell>
          <cell r="W379">
            <v>735.3</v>
          </cell>
          <cell r="Y379">
            <v>2.9</v>
          </cell>
          <cell r="Z379">
            <v>1237</v>
          </cell>
          <cell r="AA379">
            <v>1237.5</v>
          </cell>
          <cell r="AB379">
            <v>732.8</v>
          </cell>
          <cell r="AD379">
            <v>2.7</v>
          </cell>
          <cell r="AE379">
            <v>1234.4000000000001</v>
          </cell>
          <cell r="AF379">
            <v>1235.5</v>
          </cell>
          <cell r="AG379">
            <v>732.6</v>
          </cell>
          <cell r="AI379">
            <v>2.9</v>
          </cell>
          <cell r="AK379">
            <v>1563.21543</v>
          </cell>
          <cell r="AM379">
            <v>1483.6780500000002</v>
          </cell>
          <cell r="AO379">
            <v>1519.3679000000002</v>
          </cell>
          <cell r="AP379" t="str">
            <v>Muestra tomada en el elevador</v>
          </cell>
          <cell r="AQ379" t="str">
            <v>-</v>
          </cell>
          <cell r="AR379">
            <v>1591</v>
          </cell>
          <cell r="AS379">
            <v>2.8</v>
          </cell>
          <cell r="AV379">
            <v>2.4511176147567784</v>
          </cell>
          <cell r="BS379">
            <v>2.577</v>
          </cell>
        </row>
        <row r="380">
          <cell r="A380">
            <v>452</v>
          </cell>
          <cell r="B380">
            <v>40289</v>
          </cell>
          <cell r="D380">
            <v>1603.4</v>
          </cell>
          <cell r="E380">
            <v>1525.1</v>
          </cell>
          <cell r="G380" t="str">
            <v>Parcheo elaboración de fallos en vías urbanas y rurales del municipio de Medellín.</v>
          </cell>
          <cell r="H380" t="str">
            <v>2/5</v>
          </cell>
          <cell r="I380">
            <v>0</v>
          </cell>
          <cell r="J380">
            <v>117.2</v>
          </cell>
          <cell r="K380">
            <v>199.9</v>
          </cell>
          <cell r="L380">
            <v>368.2</v>
          </cell>
          <cell r="M380">
            <v>315.3</v>
          </cell>
          <cell r="N380">
            <v>263.3</v>
          </cell>
          <cell r="O380">
            <v>82.8</v>
          </cell>
          <cell r="P380">
            <v>76.5</v>
          </cell>
          <cell r="Q380">
            <v>101.9</v>
          </cell>
          <cell r="S380">
            <v>25</v>
          </cell>
          <cell r="T380" t="str">
            <v>1</v>
          </cell>
          <cell r="U380">
            <v>1234.5999999999999</v>
          </cell>
          <cell r="V380">
            <v>1237.4000000000001</v>
          </cell>
          <cell r="W380">
            <v>731.3</v>
          </cell>
          <cell r="Y380">
            <v>2.8</v>
          </cell>
          <cell r="Z380">
            <v>1237.5999999999999</v>
          </cell>
          <cell r="AA380">
            <v>1239.9000000000001</v>
          </cell>
          <cell r="AB380">
            <v>732.9</v>
          </cell>
          <cell r="AD380">
            <v>3.6</v>
          </cell>
          <cell r="AE380">
            <v>1236.4000000000001</v>
          </cell>
          <cell r="AF380">
            <v>1239.0999999999999</v>
          </cell>
          <cell r="AG380">
            <v>733.5</v>
          </cell>
          <cell r="AI380">
            <v>3</v>
          </cell>
          <cell r="AK380">
            <v>1244.0462</v>
          </cell>
          <cell r="AM380">
            <v>1599.92499</v>
          </cell>
          <cell r="AO380">
            <v>1454.10646</v>
          </cell>
          <cell r="AP380" t="str">
            <v>Muestra tomada en la volqueta</v>
          </cell>
          <cell r="AQ380" t="str">
            <v>-</v>
          </cell>
          <cell r="AR380">
            <v>1479</v>
          </cell>
          <cell r="AS380">
            <v>3.1</v>
          </cell>
          <cell r="AV380">
            <v>2.4348158975203309</v>
          </cell>
          <cell r="BS380">
            <v>2.577</v>
          </cell>
        </row>
        <row r="381">
          <cell r="A381">
            <v>453</v>
          </cell>
          <cell r="B381">
            <v>40289</v>
          </cell>
          <cell r="D381">
            <v>1661.9</v>
          </cell>
          <cell r="E381">
            <v>1578.7</v>
          </cell>
          <cell r="G381" t="str">
            <v>Parcheo elaboración de fallos en vías urbanas y rurales del municipio de Medellín.</v>
          </cell>
          <cell r="H381" t="str">
            <v>3/5</v>
          </cell>
          <cell r="I381">
            <v>0</v>
          </cell>
          <cell r="J381">
            <v>183.5</v>
          </cell>
          <cell r="K381">
            <v>170.9</v>
          </cell>
          <cell r="L381">
            <v>310.2</v>
          </cell>
          <cell r="M381">
            <v>347.2</v>
          </cell>
          <cell r="N381">
            <v>292.39999999999998</v>
          </cell>
          <cell r="O381">
            <v>87.3</v>
          </cell>
          <cell r="P381">
            <v>81.400000000000006</v>
          </cell>
          <cell r="Q381">
            <v>105.8</v>
          </cell>
          <cell r="S381">
            <v>25</v>
          </cell>
          <cell r="T381" t="str">
            <v>1</v>
          </cell>
          <cell r="AK381">
            <v>0</v>
          </cell>
          <cell r="AM381">
            <v>0</v>
          </cell>
          <cell r="AO381">
            <v>0</v>
          </cell>
          <cell r="AP381" t="str">
            <v>Muestra tomada en el elevador</v>
          </cell>
          <cell r="AQ381" t="str">
            <v>Muestra tomada en planta, en cojunto con el Laboratorio de AIM, (Volqueta GPI 602)</v>
          </cell>
          <cell r="AR381">
            <v>0</v>
          </cell>
          <cell r="AS381">
            <v>0</v>
          </cell>
          <cell r="AV381">
            <v>0</v>
          </cell>
          <cell r="BS381">
            <v>2.577</v>
          </cell>
        </row>
        <row r="382">
          <cell r="A382">
            <v>454</v>
          </cell>
          <cell r="B382">
            <v>40289</v>
          </cell>
          <cell r="D382">
            <v>1666.2</v>
          </cell>
          <cell r="E382">
            <v>1583.7</v>
          </cell>
          <cell r="G382" t="str">
            <v>Parcheo elaboración de fallos en vías urbanas y rurales del municipio de Medellín.</v>
          </cell>
          <cell r="H382" t="str">
            <v>4/5</v>
          </cell>
          <cell r="I382">
            <v>0</v>
          </cell>
          <cell r="J382">
            <v>181.4</v>
          </cell>
          <cell r="K382">
            <v>148.30000000000001</v>
          </cell>
          <cell r="L382">
            <v>316.8</v>
          </cell>
          <cell r="M382">
            <v>364</v>
          </cell>
          <cell r="N382">
            <v>286.2</v>
          </cell>
          <cell r="O382">
            <v>85.3</v>
          </cell>
          <cell r="P382">
            <v>86</v>
          </cell>
          <cell r="Q382">
            <v>115.7</v>
          </cell>
          <cell r="S382">
            <v>25</v>
          </cell>
          <cell r="T382" t="str">
            <v>1</v>
          </cell>
          <cell r="AK382">
            <v>0</v>
          </cell>
          <cell r="AM382">
            <v>0</v>
          </cell>
          <cell r="AO382">
            <v>0</v>
          </cell>
          <cell r="AP382" t="str">
            <v>Muestra tomada en el elevador</v>
          </cell>
          <cell r="AQ382" t="str">
            <v>Muestra tomada en planta, en cojunto con el Laboratorio de AIM.</v>
          </cell>
          <cell r="AR382">
            <v>0</v>
          </cell>
          <cell r="AS382">
            <v>0</v>
          </cell>
          <cell r="AV382">
            <v>0</v>
          </cell>
          <cell r="BS382">
            <v>2.577</v>
          </cell>
        </row>
        <row r="383">
          <cell r="A383">
            <v>455</v>
          </cell>
          <cell r="B383">
            <v>40289</v>
          </cell>
          <cell r="D383">
            <v>1609</v>
          </cell>
          <cell r="E383">
            <v>1531.4</v>
          </cell>
          <cell r="G383" t="str">
            <v>Parcheo elaboración de fallos en vías urbanas y rurales del municipio de Medellín.</v>
          </cell>
          <cell r="H383" t="str">
            <v>5/5</v>
          </cell>
          <cell r="I383">
            <v>0</v>
          </cell>
          <cell r="J383">
            <v>187.3</v>
          </cell>
          <cell r="K383">
            <v>197.8</v>
          </cell>
          <cell r="L383">
            <v>285.5</v>
          </cell>
          <cell r="M383">
            <v>315.7</v>
          </cell>
          <cell r="N383">
            <v>277.7</v>
          </cell>
          <cell r="O383">
            <v>83.5</v>
          </cell>
          <cell r="P383">
            <v>78.900000000000006</v>
          </cell>
          <cell r="Q383">
            <v>105</v>
          </cell>
          <cell r="S383">
            <v>25</v>
          </cell>
          <cell r="T383" t="str">
            <v>1</v>
          </cell>
          <cell r="U383">
            <v>1221.5</v>
          </cell>
          <cell r="V383">
            <v>1222</v>
          </cell>
          <cell r="W383">
            <v>730.1</v>
          </cell>
          <cell r="Y383">
            <v>3.5</v>
          </cell>
          <cell r="Z383">
            <v>1255.5999999999999</v>
          </cell>
          <cell r="AA383">
            <v>1256.4000000000001</v>
          </cell>
          <cell r="AB383">
            <v>745.9</v>
          </cell>
          <cell r="AD383">
            <v>3.5</v>
          </cell>
          <cell r="AE383">
            <v>1295.9000000000001</v>
          </cell>
          <cell r="AF383">
            <v>1296.5</v>
          </cell>
          <cell r="AG383">
            <v>770.5</v>
          </cell>
          <cell r="AI383">
            <v>3.4</v>
          </cell>
          <cell r="AK383">
            <v>1903.7985700000002</v>
          </cell>
          <cell r="AM383">
            <v>1750.8420700000001</v>
          </cell>
          <cell r="AO383">
            <v>1792.6501799999999</v>
          </cell>
          <cell r="AP383" t="str">
            <v>Tama en obra, Perque Arví K7+030/160 LI. Segunda capa (volqueta TPZ807)</v>
          </cell>
          <cell r="AQ383" t="str">
            <v>-</v>
          </cell>
          <cell r="AR383">
            <v>1860</v>
          </cell>
          <cell r="AS383">
            <v>3.5</v>
          </cell>
          <cell r="AV383">
            <v>2.461600686568254</v>
          </cell>
          <cell r="BS383">
            <v>2.577</v>
          </cell>
        </row>
        <row r="384">
          <cell r="A384">
            <v>456</v>
          </cell>
          <cell r="B384">
            <v>40290</v>
          </cell>
          <cell r="D384">
            <v>1673.9</v>
          </cell>
          <cell r="E384">
            <v>1588.8</v>
          </cell>
          <cell r="G384" t="str">
            <v>Parcheo elaboración de fallos en vías urbanas y rurales del municipio de Medellín; Consorcio Vial Santa Elena.</v>
          </cell>
          <cell r="H384" t="str">
            <v>1/3</v>
          </cell>
          <cell r="I384">
            <v>0</v>
          </cell>
          <cell r="J384">
            <v>190.8</v>
          </cell>
          <cell r="K384">
            <v>166.2</v>
          </cell>
          <cell r="L384">
            <v>285.7</v>
          </cell>
          <cell r="M384">
            <v>352.2</v>
          </cell>
          <cell r="N384">
            <v>302.7</v>
          </cell>
          <cell r="O384">
            <v>90.1</v>
          </cell>
          <cell r="P384">
            <v>84.4</v>
          </cell>
          <cell r="Q384">
            <v>116.7</v>
          </cell>
          <cell r="S384">
            <v>25</v>
          </cell>
          <cell r="T384" t="str">
            <v>1</v>
          </cell>
          <cell r="U384">
            <v>1236.5999999999999</v>
          </cell>
          <cell r="V384">
            <v>1237.5</v>
          </cell>
          <cell r="W384">
            <v>734.5</v>
          </cell>
          <cell r="Y384">
            <v>3.1</v>
          </cell>
          <cell r="Z384">
            <v>1239.5</v>
          </cell>
          <cell r="AA384">
            <v>1240.4000000000001</v>
          </cell>
          <cell r="AB384">
            <v>736.9</v>
          </cell>
          <cell r="AD384">
            <v>3.4</v>
          </cell>
          <cell r="AE384">
            <v>1237</v>
          </cell>
          <cell r="AF384">
            <v>1238</v>
          </cell>
          <cell r="AG384">
            <v>735.7</v>
          </cell>
          <cell r="AI384">
            <v>3.1</v>
          </cell>
          <cell r="AK384">
            <v>1605.0235400000001</v>
          </cell>
          <cell r="AM384">
            <v>1722.2901900000002</v>
          </cell>
          <cell r="AO384">
            <v>1779.3939499999999</v>
          </cell>
          <cell r="AP384" t="str">
            <v>Muestra tomada en el elevador</v>
          </cell>
          <cell r="AQ384" t="str">
            <v>-</v>
          </cell>
          <cell r="AR384">
            <v>1777</v>
          </cell>
          <cell r="AS384">
            <v>3.2</v>
          </cell>
          <cell r="AV384">
            <v>2.4537645638824479</v>
          </cell>
          <cell r="BS384">
            <v>2.5790000000000002</v>
          </cell>
        </row>
        <row r="385">
          <cell r="A385">
            <v>457</v>
          </cell>
          <cell r="B385">
            <v>40290</v>
          </cell>
          <cell r="D385">
            <v>1671.3</v>
          </cell>
          <cell r="E385">
            <v>1592.8</v>
          </cell>
          <cell r="G385" t="str">
            <v>Parcheo elaboración de fallos en vías urbanas y rurales del municipio de Medellín; Consorcio Vial Santa Elena.</v>
          </cell>
          <cell r="H385" t="str">
            <v>2/3</v>
          </cell>
          <cell r="I385">
            <v>0</v>
          </cell>
          <cell r="J385">
            <v>194.2</v>
          </cell>
          <cell r="K385">
            <v>150.5</v>
          </cell>
          <cell r="L385">
            <v>310.2</v>
          </cell>
          <cell r="M385">
            <v>362.5</v>
          </cell>
          <cell r="N385">
            <v>290.10000000000002</v>
          </cell>
          <cell r="O385">
            <v>92.6</v>
          </cell>
          <cell r="P385">
            <v>86.2</v>
          </cell>
          <cell r="Q385">
            <v>106.5</v>
          </cell>
          <cell r="S385">
            <v>25</v>
          </cell>
          <cell r="T385" t="str">
            <v>1</v>
          </cell>
          <cell r="U385">
            <v>1235.8</v>
          </cell>
          <cell r="V385">
            <v>1237</v>
          </cell>
          <cell r="W385">
            <v>734.2</v>
          </cell>
          <cell r="Y385">
            <v>3</v>
          </cell>
          <cell r="Z385">
            <v>1236.3</v>
          </cell>
          <cell r="AA385">
            <v>1237</v>
          </cell>
          <cell r="AB385">
            <v>732.6</v>
          </cell>
          <cell r="AD385">
            <v>3.2</v>
          </cell>
          <cell r="AE385">
            <v>1234</v>
          </cell>
          <cell r="AF385">
            <v>1235.2</v>
          </cell>
          <cell r="AG385">
            <v>733.5</v>
          </cell>
          <cell r="AI385">
            <v>3.5</v>
          </cell>
          <cell r="AK385">
            <v>1488.7765999999999</v>
          </cell>
          <cell r="AM385">
            <v>1433.71226</v>
          </cell>
          <cell r="AO385">
            <v>1773.2756900000002</v>
          </cell>
          <cell r="AP385" t="str">
            <v>Muestra tomada en el elevador</v>
          </cell>
          <cell r="AQ385" t="str">
            <v>Muestra tomada en planta, en cojunto con el Laboratorio de AIM. (volqueta TOA 364)</v>
          </cell>
          <cell r="AR385">
            <v>1634</v>
          </cell>
          <cell r="AS385">
            <v>3.2</v>
          </cell>
          <cell r="AV385">
            <v>2.4489838013220333</v>
          </cell>
          <cell r="BS385">
            <v>2.5790000000000002</v>
          </cell>
        </row>
        <row r="386">
          <cell r="A386">
            <v>458</v>
          </cell>
          <cell r="B386">
            <v>40290</v>
          </cell>
          <cell r="D386">
            <v>1590.1</v>
          </cell>
          <cell r="E386">
            <v>1509.6</v>
          </cell>
          <cell r="G386" t="str">
            <v>Parcheo elaboración de fallos en vías urbanas y rurales del municipio de Medellín; Consorcio Vial Santa Elena.</v>
          </cell>
          <cell r="H386" t="str">
            <v>3/3</v>
          </cell>
          <cell r="I386">
            <v>0</v>
          </cell>
          <cell r="J386">
            <v>165</v>
          </cell>
          <cell r="K386">
            <v>153.30000000000001</v>
          </cell>
          <cell r="L386">
            <v>313</v>
          </cell>
          <cell r="M386">
            <v>336.3</v>
          </cell>
          <cell r="N386">
            <v>280.89999999999998</v>
          </cell>
          <cell r="O386">
            <v>87</v>
          </cell>
          <cell r="P386">
            <v>79.599999999999994</v>
          </cell>
          <cell r="Q386">
            <v>94.5</v>
          </cell>
          <cell r="S386">
            <v>25</v>
          </cell>
          <cell r="T386" t="str">
            <v>1</v>
          </cell>
          <cell r="AK386">
            <v>0</v>
          </cell>
          <cell r="AM386">
            <v>0</v>
          </cell>
          <cell r="AO386">
            <v>0</v>
          </cell>
          <cell r="AP386" t="str">
            <v>Muestra tomada en el elevador</v>
          </cell>
          <cell r="AQ386" t="str">
            <v>Muestra tomada en planta, en cojunto con el Laboratorio de AIM. (volqueta OLA 123)</v>
          </cell>
          <cell r="AR386">
            <v>0</v>
          </cell>
          <cell r="AS386">
            <v>0</v>
          </cell>
          <cell r="AV386">
            <v>0</v>
          </cell>
          <cell r="BS386">
            <v>2.5790000000000002</v>
          </cell>
        </row>
        <row r="387">
          <cell r="A387">
            <v>459</v>
          </cell>
          <cell r="B387">
            <v>40291</v>
          </cell>
          <cell r="D387">
            <v>1608.5</v>
          </cell>
          <cell r="E387">
            <v>1528.6</v>
          </cell>
          <cell r="G387" t="str">
            <v>Parcheo elaboración de fallos en vías urbanas y rurales del municipio de Medellín; Consorcio Vial Santa Elena.</v>
          </cell>
          <cell r="H387" t="str">
            <v>1/2</v>
          </cell>
          <cell r="I387">
            <v>0</v>
          </cell>
          <cell r="J387">
            <v>171.9</v>
          </cell>
          <cell r="K387">
            <v>171.8</v>
          </cell>
          <cell r="L387">
            <v>313.5</v>
          </cell>
          <cell r="M387">
            <v>328</v>
          </cell>
          <cell r="N387">
            <v>271.89999999999998</v>
          </cell>
          <cell r="O387">
            <v>84.4</v>
          </cell>
          <cell r="P387">
            <v>80.599999999999994</v>
          </cell>
          <cell r="Q387">
            <v>106.5</v>
          </cell>
          <cell r="S387">
            <v>25</v>
          </cell>
          <cell r="T387" t="str">
            <v>1</v>
          </cell>
          <cell r="U387">
            <v>1234.5999999999999</v>
          </cell>
          <cell r="V387">
            <v>1236.5</v>
          </cell>
          <cell r="W387">
            <v>732.1</v>
          </cell>
          <cell r="Y387">
            <v>2.8</v>
          </cell>
          <cell r="Z387">
            <v>1238</v>
          </cell>
          <cell r="AA387">
            <v>1239.9000000000001</v>
          </cell>
          <cell r="AB387">
            <v>733.1</v>
          </cell>
          <cell r="AD387">
            <v>3.2</v>
          </cell>
          <cell r="AE387">
            <v>1232</v>
          </cell>
          <cell r="AF387">
            <v>1234.5999999999999</v>
          </cell>
          <cell r="AG387">
            <v>730</v>
          </cell>
          <cell r="AI387">
            <v>3</v>
          </cell>
          <cell r="AK387">
            <v>1648.8710700000001</v>
          </cell>
          <cell r="AM387">
            <v>1649.8907799999999</v>
          </cell>
          <cell r="AO387">
            <v>1600.9447</v>
          </cell>
          <cell r="AP387" t="str">
            <v>Muestra tomada en el elevador</v>
          </cell>
          <cell r="AQ387" t="str">
            <v>Muestra tomada en planta, en cojunto con el Laboratorio de AIM. (volqueta TPZ807)</v>
          </cell>
          <cell r="AR387">
            <v>1692</v>
          </cell>
          <cell r="AS387">
            <v>3</v>
          </cell>
          <cell r="AV387">
            <v>2.4368435410476783</v>
          </cell>
          <cell r="BS387">
            <v>2.58</v>
          </cell>
        </row>
        <row r="388">
          <cell r="A388">
            <v>460</v>
          </cell>
          <cell r="B388">
            <v>40291</v>
          </cell>
          <cell r="D388">
            <v>1658.3</v>
          </cell>
          <cell r="E388">
            <v>1575</v>
          </cell>
          <cell r="G388" t="str">
            <v>Parcheo elaboración de fallos en vías urbanas y rurales del municipio de Medellín; Consorcio Vial Santa Elena.</v>
          </cell>
          <cell r="H388" t="str">
            <v>2/2</v>
          </cell>
          <cell r="I388">
            <v>0</v>
          </cell>
          <cell r="J388">
            <v>182</v>
          </cell>
          <cell r="K388">
            <v>138</v>
          </cell>
          <cell r="L388">
            <v>356.2</v>
          </cell>
          <cell r="M388">
            <v>340</v>
          </cell>
          <cell r="N388">
            <v>285.10000000000002</v>
          </cell>
          <cell r="O388">
            <v>87.1</v>
          </cell>
          <cell r="P388">
            <v>79.099999999999994</v>
          </cell>
          <cell r="Q388">
            <v>107.5</v>
          </cell>
          <cell r="S388">
            <v>25</v>
          </cell>
          <cell r="T388" t="str">
            <v>1</v>
          </cell>
          <cell r="U388">
            <v>1236.0999999999999</v>
          </cell>
          <cell r="V388">
            <v>1236.8</v>
          </cell>
          <cell r="W388">
            <v>733.7</v>
          </cell>
          <cell r="Y388">
            <v>3</v>
          </cell>
          <cell r="Z388">
            <v>1232.5999999999999</v>
          </cell>
          <cell r="AA388">
            <v>1234</v>
          </cell>
          <cell r="AB388">
            <v>729.6</v>
          </cell>
          <cell r="AD388">
            <v>2.8</v>
          </cell>
          <cell r="AE388">
            <v>1237.8</v>
          </cell>
          <cell r="AF388">
            <v>1240.3</v>
          </cell>
          <cell r="AG388">
            <v>731.5</v>
          </cell>
          <cell r="AI388">
            <v>3.6</v>
          </cell>
          <cell r="AK388">
            <v>1693.73831</v>
          </cell>
          <cell r="AM388">
            <v>1445.9487799999999</v>
          </cell>
          <cell r="AO388">
            <v>1562.1957200000002</v>
          </cell>
          <cell r="AP388" t="str">
            <v>Muestra tomada en el elevador</v>
          </cell>
          <cell r="AQ388" t="str">
            <v>Muestra tomada en planta, en cojunto con el Laboratorio de AIM. (volqueta OLB123)</v>
          </cell>
          <cell r="AR388">
            <v>1623</v>
          </cell>
          <cell r="AS388">
            <v>3.1</v>
          </cell>
          <cell r="AV388">
            <v>2.4373316589781262</v>
          </cell>
          <cell r="BS388">
            <v>2.58</v>
          </cell>
        </row>
        <row r="389">
          <cell r="A389">
            <v>461</v>
          </cell>
          <cell r="B389">
            <v>40292</v>
          </cell>
          <cell r="D389">
            <v>1642.9</v>
          </cell>
          <cell r="E389">
            <v>1562.9</v>
          </cell>
          <cell r="G389" t="str">
            <v>Consorcio Vial Santa Elena.</v>
          </cell>
          <cell r="H389" t="str">
            <v>1/2</v>
          </cell>
          <cell r="I389">
            <v>0</v>
          </cell>
          <cell r="J389">
            <v>201.9</v>
          </cell>
          <cell r="K389">
            <v>168.4</v>
          </cell>
          <cell r="L389">
            <v>304.7</v>
          </cell>
          <cell r="M389">
            <v>334.2</v>
          </cell>
          <cell r="N389">
            <v>277.10000000000002</v>
          </cell>
          <cell r="O389">
            <v>84.8</v>
          </cell>
          <cell r="P389">
            <v>83.4</v>
          </cell>
          <cell r="Q389">
            <v>108.4</v>
          </cell>
          <cell r="S389">
            <v>25</v>
          </cell>
          <cell r="T389" t="str">
            <v>1</v>
          </cell>
          <cell r="U389">
            <v>1234.7</v>
          </cell>
          <cell r="V389">
            <v>1235.3</v>
          </cell>
          <cell r="W389">
            <v>733.3</v>
          </cell>
          <cell r="Y389">
            <v>3.3</v>
          </cell>
          <cell r="Z389">
            <v>1236.4000000000001</v>
          </cell>
          <cell r="AA389">
            <v>1237.5</v>
          </cell>
          <cell r="AB389">
            <v>731.7</v>
          </cell>
          <cell r="AD389">
            <v>3.3</v>
          </cell>
          <cell r="AE389">
            <v>1235.4000000000001</v>
          </cell>
          <cell r="AF389">
            <v>1237.7</v>
          </cell>
          <cell r="AG389">
            <v>731.2</v>
          </cell>
          <cell r="AI389">
            <v>3.2</v>
          </cell>
          <cell r="AK389">
            <v>1592.78702</v>
          </cell>
          <cell r="AM389">
            <v>1563.21543</v>
          </cell>
          <cell r="AO389">
            <v>1483.6780500000002</v>
          </cell>
          <cell r="AP389" t="str">
            <v>Muestra tomada en el elevador</v>
          </cell>
          <cell r="AQ389" t="str">
            <v>-</v>
          </cell>
          <cell r="AR389">
            <v>1605</v>
          </cell>
          <cell r="AS389">
            <v>3.3</v>
          </cell>
          <cell r="AV389">
            <v>2.4405398140954153</v>
          </cell>
          <cell r="BS389">
            <v>2.577</v>
          </cell>
        </row>
        <row r="390">
          <cell r="A390">
            <v>462</v>
          </cell>
          <cell r="B390">
            <v>40292</v>
          </cell>
          <cell r="D390">
            <v>1647.4</v>
          </cell>
          <cell r="E390">
            <v>1562</v>
          </cell>
          <cell r="G390" t="str">
            <v>Consorcio Vial Santa Elena.</v>
          </cell>
          <cell r="H390" t="str">
            <v>2/2</v>
          </cell>
          <cell r="I390">
            <v>0</v>
          </cell>
          <cell r="J390">
            <v>204.5</v>
          </cell>
          <cell r="K390">
            <v>145.6</v>
          </cell>
          <cell r="L390">
            <v>310.3</v>
          </cell>
          <cell r="M390">
            <v>334.7</v>
          </cell>
          <cell r="N390">
            <v>291.5</v>
          </cell>
          <cell r="O390">
            <v>84.9</v>
          </cell>
          <cell r="P390">
            <v>85.7</v>
          </cell>
          <cell r="Q390">
            <v>104.8</v>
          </cell>
          <cell r="S390">
            <v>25</v>
          </cell>
          <cell r="T390" t="str">
            <v>1</v>
          </cell>
          <cell r="U390">
            <v>1238.4000000000001</v>
          </cell>
          <cell r="V390">
            <v>1239.0999999999999</v>
          </cell>
          <cell r="W390">
            <v>737.6</v>
          </cell>
          <cell r="Y390">
            <v>3.2</v>
          </cell>
          <cell r="Z390">
            <v>1236.5</v>
          </cell>
          <cell r="AA390">
            <v>1237.5999999999999</v>
          </cell>
          <cell r="AB390">
            <v>734.4</v>
          </cell>
          <cell r="AD390">
            <v>2.9</v>
          </cell>
          <cell r="AE390">
            <v>1237.3</v>
          </cell>
          <cell r="AF390">
            <v>1238.4000000000001</v>
          </cell>
          <cell r="AG390">
            <v>735.5</v>
          </cell>
          <cell r="AI390">
            <v>3.5</v>
          </cell>
          <cell r="AK390">
            <v>1701.8959900000002</v>
          </cell>
          <cell r="AM390">
            <v>1511.2102200000002</v>
          </cell>
          <cell r="AO390">
            <v>1670.2849799999999</v>
          </cell>
          <cell r="AP390" t="str">
            <v>Muestra tomada en la volqueta</v>
          </cell>
          <cell r="AQ390" t="str">
            <v>-</v>
          </cell>
          <cell r="AR390">
            <v>1701</v>
          </cell>
          <cell r="AS390">
            <v>3.2</v>
          </cell>
          <cell r="AV390">
            <v>2.4551294661743834</v>
          </cell>
          <cell r="BS390">
            <v>2.577</v>
          </cell>
        </row>
        <row r="391">
          <cell r="A391">
            <v>463</v>
          </cell>
          <cell r="B391">
            <v>40294</v>
          </cell>
          <cell r="D391">
            <v>1649.3</v>
          </cell>
          <cell r="E391">
            <v>1564.7</v>
          </cell>
          <cell r="G391" t="str">
            <v>Parcheo elaboración de fallos en vías urbanas y rurales del municipio de Medellín; Consorcio Vial Santa Elena.</v>
          </cell>
          <cell r="H391" t="str">
            <v>1/2</v>
          </cell>
          <cell r="I391">
            <v>0</v>
          </cell>
          <cell r="J391">
            <v>179.6</v>
          </cell>
          <cell r="K391">
            <v>165.4</v>
          </cell>
          <cell r="L391">
            <v>315.7</v>
          </cell>
          <cell r="M391">
            <v>363.5</v>
          </cell>
          <cell r="N391">
            <v>274.7</v>
          </cell>
          <cell r="O391">
            <v>84</v>
          </cell>
          <cell r="P391">
            <v>78.7</v>
          </cell>
          <cell r="Q391">
            <v>103.1</v>
          </cell>
          <cell r="S391">
            <v>25</v>
          </cell>
          <cell r="T391" t="str">
            <v>1</v>
          </cell>
          <cell r="U391">
            <v>1238.3</v>
          </cell>
          <cell r="V391">
            <v>1239</v>
          </cell>
          <cell r="W391">
            <v>736.4</v>
          </cell>
          <cell r="Y391">
            <v>2.9</v>
          </cell>
          <cell r="Z391">
            <v>1236.7</v>
          </cell>
          <cell r="AA391">
            <v>1237.8</v>
          </cell>
          <cell r="AB391">
            <v>732.1</v>
          </cell>
          <cell r="AD391">
            <v>3.1</v>
          </cell>
          <cell r="AE391">
            <v>1235.4000000000001</v>
          </cell>
          <cell r="AF391">
            <v>1236</v>
          </cell>
          <cell r="AG391">
            <v>732.1</v>
          </cell>
          <cell r="AI391">
            <v>3.1</v>
          </cell>
          <cell r="AK391">
            <v>1521.40732</v>
          </cell>
          <cell r="AM391">
            <v>1565.25485</v>
          </cell>
          <cell r="AO391">
            <v>1545.8803600000001</v>
          </cell>
          <cell r="AP391" t="str">
            <v>Muestra tomada en el elevador</v>
          </cell>
          <cell r="AQ391" t="str">
            <v>-</v>
          </cell>
          <cell r="AR391">
            <v>1606</v>
          </cell>
          <cell r="AS391">
            <v>3</v>
          </cell>
          <cell r="AV391">
            <v>2.4464851319683816</v>
          </cell>
          <cell r="BS391">
            <v>2.5790000000000002</v>
          </cell>
        </row>
        <row r="392">
          <cell r="A392">
            <v>464</v>
          </cell>
          <cell r="B392">
            <v>40294</v>
          </cell>
          <cell r="D392">
            <v>1667.6</v>
          </cell>
          <cell r="E392">
            <v>1578.4</v>
          </cell>
          <cell r="G392" t="str">
            <v>Parcheo elaboración de fallos en vías urbanas y rurales del municipio de Medellín; Consorcio Vial Santa Elena.</v>
          </cell>
          <cell r="H392" t="str">
            <v>2/2</v>
          </cell>
          <cell r="I392">
            <v>0</v>
          </cell>
          <cell r="J392">
            <v>180.6</v>
          </cell>
          <cell r="K392">
            <v>174.9</v>
          </cell>
          <cell r="L392">
            <v>274.8</v>
          </cell>
          <cell r="M392">
            <v>372.9</v>
          </cell>
          <cell r="N392">
            <v>296.7</v>
          </cell>
          <cell r="O392">
            <v>85.9</v>
          </cell>
          <cell r="P392">
            <v>81.5</v>
          </cell>
          <cell r="Q392">
            <v>111.1</v>
          </cell>
          <cell r="S392">
            <v>25</v>
          </cell>
          <cell r="T392" t="str">
            <v>1</v>
          </cell>
          <cell r="U392">
            <v>1237</v>
          </cell>
          <cell r="V392">
            <v>1237.5999999999999</v>
          </cell>
          <cell r="W392">
            <v>738.3</v>
          </cell>
          <cell r="Y392">
            <v>3.4</v>
          </cell>
          <cell r="Z392">
            <v>1236.9000000000001</v>
          </cell>
          <cell r="AA392">
            <v>1237.7</v>
          </cell>
          <cell r="AB392">
            <v>739.3</v>
          </cell>
          <cell r="AD392">
            <v>3.77</v>
          </cell>
          <cell r="AE392">
            <v>1235.5</v>
          </cell>
          <cell r="AF392">
            <v>1236.5</v>
          </cell>
          <cell r="AG392">
            <v>737.4</v>
          </cell>
          <cell r="AI392">
            <v>4.32</v>
          </cell>
          <cell r="AK392">
            <v>1687.6200500000002</v>
          </cell>
          <cell r="AM392">
            <v>1712.0930900000001</v>
          </cell>
          <cell r="AO392">
            <v>1689.6594700000001</v>
          </cell>
          <cell r="AP392" t="str">
            <v>Muestra tomada en la volqueta</v>
          </cell>
          <cell r="AQ392" t="str">
            <v>-</v>
          </cell>
          <cell r="AR392">
            <v>1794</v>
          </cell>
          <cell r="AS392">
            <v>3.8</v>
          </cell>
          <cell r="AV392">
            <v>2.4709731505797983</v>
          </cell>
          <cell r="BS392">
            <v>2.5790000000000002</v>
          </cell>
        </row>
        <row r="393">
          <cell r="A393">
            <v>465</v>
          </cell>
        </row>
        <row r="394">
          <cell r="A394">
            <v>466</v>
          </cell>
        </row>
        <row r="395">
          <cell r="A395">
            <v>467</v>
          </cell>
        </row>
        <row r="396">
          <cell r="A396">
            <v>468</v>
          </cell>
        </row>
        <row r="406">
          <cell r="B406">
            <v>40256.214285714283</v>
          </cell>
          <cell r="D406">
            <v>1500.4142857142858</v>
          </cell>
          <cell r="E406">
            <v>1424.5714285714287</v>
          </cell>
          <cell r="G406" t="e">
            <v>#DIV/0!</v>
          </cell>
          <cell r="H406" t="e">
            <v>#DIV/0!</v>
          </cell>
          <cell r="I406">
            <v>0</v>
          </cell>
          <cell r="J406">
            <v>175.02857142857144</v>
          </cell>
          <cell r="K406">
            <v>179.42142857142855</v>
          </cell>
          <cell r="L406">
            <v>295.70714285714291</v>
          </cell>
          <cell r="M406">
            <v>311.59999999999997</v>
          </cell>
          <cell r="N406">
            <v>228.67857142857142</v>
          </cell>
          <cell r="O406">
            <v>76.25</v>
          </cell>
          <cell r="P406">
            <v>71.842857142857142</v>
          </cell>
          <cell r="Q406">
            <v>86.04285714285713</v>
          </cell>
          <cell r="S406">
            <v>25</v>
          </cell>
          <cell r="T406" t="e">
            <v>#DIV/0!</v>
          </cell>
          <cell r="U406">
            <v>1236.6846153846154</v>
          </cell>
          <cell r="V406">
            <v>1237.9692307692308</v>
          </cell>
          <cell r="W406">
            <v>733.68461538461531</v>
          </cell>
          <cell r="Y406">
            <v>3.3</v>
          </cell>
          <cell r="Z406">
            <v>1235.823076923077</v>
          </cell>
          <cell r="AA406">
            <v>1238.3615384615387</v>
          </cell>
          <cell r="AB406">
            <v>733.14615384615399</v>
          </cell>
          <cell r="AD406">
            <v>3.2946153846153838</v>
          </cell>
          <cell r="AE406">
            <v>1234.6384615384616</v>
          </cell>
          <cell r="AF406">
            <v>1237.5538461538463</v>
          </cell>
          <cell r="AG406">
            <v>731.7</v>
          </cell>
          <cell r="AI406">
            <v>3.2999999999999994</v>
          </cell>
          <cell r="AK406">
            <v>1347.5467649999998</v>
          </cell>
          <cell r="AM406">
            <v>1274.4918271428573</v>
          </cell>
          <cell r="AO406">
            <v>1320.8886321428574</v>
          </cell>
          <cell r="AP406" t="e">
            <v>#DIV/0!</v>
          </cell>
          <cell r="AQ406" t="e">
            <v>#DIV/0!</v>
          </cell>
          <cell r="AR406">
            <v>1467.1538461538462</v>
          </cell>
          <cell r="AS406">
            <v>3.2923076923076922</v>
          </cell>
          <cell r="AV406">
            <v>2.439350958853634</v>
          </cell>
        </row>
        <row r="408">
          <cell r="B408">
            <v>40254.75</v>
          </cell>
          <cell r="D408">
            <v>1500.8624999999997</v>
          </cell>
          <cell r="E408">
            <v>1426.8125</v>
          </cell>
          <cell r="G408" t="e">
            <v>#DIV/0!</v>
          </cell>
          <cell r="H408" t="e">
            <v>#DIV/0!</v>
          </cell>
          <cell r="I408">
            <v>0</v>
          </cell>
          <cell r="J408">
            <v>167.51249999999999</v>
          </cell>
          <cell r="K408">
            <v>194.23750000000001</v>
          </cell>
          <cell r="L408">
            <v>289.78749999999997</v>
          </cell>
          <cell r="M408">
            <v>310.4375</v>
          </cell>
          <cell r="N408">
            <v>224.83750000000001</v>
          </cell>
          <cell r="O408">
            <v>78.975000000000009</v>
          </cell>
          <cell r="P408">
            <v>74.350000000000009</v>
          </cell>
          <cell r="Q408">
            <v>86.212500000000006</v>
          </cell>
          <cell r="S408">
            <v>25</v>
          </cell>
          <cell r="T408" t="e">
            <v>#DIV/0!</v>
          </cell>
          <cell r="U408">
            <v>1235.4000000000001</v>
          </cell>
          <cell r="V408">
            <v>1236.9142857142856</v>
          </cell>
          <cell r="W408">
            <v>733.48571428571438</v>
          </cell>
          <cell r="Y408">
            <v>3.2285714285714282</v>
          </cell>
          <cell r="Z408">
            <v>1236.0285714285715</v>
          </cell>
          <cell r="AA408">
            <v>1237.7714285714285</v>
          </cell>
          <cell r="AB408">
            <v>732.4571428571428</v>
          </cell>
          <cell r="AD408">
            <v>3.1628571428571428</v>
          </cell>
          <cell r="AE408">
            <v>1234.2857142857142</v>
          </cell>
          <cell r="AF408">
            <v>1236.042857142857</v>
          </cell>
          <cell r="AG408">
            <v>731.80000000000007</v>
          </cell>
          <cell r="AI408">
            <v>3.3057142857142856</v>
          </cell>
          <cell r="AK408">
            <v>1502.4698485714287</v>
          </cell>
          <cell r="AM408">
            <v>1453.2324228571429</v>
          </cell>
          <cell r="AO408">
            <v>1401.5185585714287</v>
          </cell>
          <cell r="AP408" t="e">
            <v>#DIV/0!</v>
          </cell>
          <cell r="AQ408" t="e">
            <v>#DIV/0!</v>
          </cell>
          <cell r="AR408">
            <v>1509.2857142857142</v>
          </cell>
          <cell r="AS408">
            <v>3.2285714285714286</v>
          </cell>
          <cell r="AV408">
            <v>2.4421858715658571</v>
          </cell>
        </row>
        <row r="412">
          <cell r="B412" t="str">
            <v>fecha</v>
          </cell>
        </row>
        <row r="413">
          <cell r="B413">
            <v>40170</v>
          </cell>
        </row>
        <row r="414">
          <cell r="B414">
            <v>40190</v>
          </cell>
        </row>
        <row r="415">
          <cell r="B415">
            <v>40190</v>
          </cell>
        </row>
        <row r="416">
          <cell r="B416">
            <v>40191</v>
          </cell>
        </row>
        <row r="417">
          <cell r="B417">
            <v>40191</v>
          </cell>
        </row>
        <row r="418">
          <cell r="B418">
            <v>40192</v>
          </cell>
        </row>
        <row r="419">
          <cell r="B419">
            <v>40192</v>
          </cell>
        </row>
        <row r="420">
          <cell r="B420">
            <v>40193</v>
          </cell>
        </row>
        <row r="421">
          <cell r="B421">
            <v>40193</v>
          </cell>
        </row>
        <row r="422">
          <cell r="B422">
            <v>40196</v>
          </cell>
        </row>
        <row r="423">
          <cell r="B423">
            <v>40196</v>
          </cell>
        </row>
        <row r="424">
          <cell r="B424">
            <v>40197</v>
          </cell>
        </row>
        <row r="425">
          <cell r="B425">
            <v>40197</v>
          </cell>
        </row>
        <row r="426">
          <cell r="B426">
            <v>40198</v>
          </cell>
        </row>
        <row r="427">
          <cell r="B427">
            <v>40198</v>
          </cell>
        </row>
        <row r="428">
          <cell r="B428">
            <v>40199</v>
          </cell>
        </row>
        <row r="429">
          <cell r="B429">
            <v>40199</v>
          </cell>
        </row>
        <row r="430">
          <cell r="B430">
            <v>40203</v>
          </cell>
        </row>
        <row r="431">
          <cell r="B431">
            <v>40203</v>
          </cell>
        </row>
        <row r="432">
          <cell r="B432">
            <v>40203</v>
          </cell>
        </row>
        <row r="433">
          <cell r="B433">
            <v>40204</v>
          </cell>
        </row>
        <row r="434">
          <cell r="B434">
            <v>40204</v>
          </cell>
        </row>
        <row r="435">
          <cell r="B435">
            <v>40205</v>
          </cell>
        </row>
        <row r="436">
          <cell r="B436">
            <v>40205</v>
          </cell>
        </row>
        <row r="437">
          <cell r="B437">
            <v>40206</v>
          </cell>
        </row>
        <row r="438">
          <cell r="B438">
            <v>40207</v>
          </cell>
        </row>
        <row r="439">
          <cell r="B439">
            <v>40208</v>
          </cell>
        </row>
        <row r="442">
          <cell r="B442" t="str">
            <v>% asfalto</v>
          </cell>
        </row>
        <row r="443">
          <cell r="B443">
            <v>4.8</v>
          </cell>
        </row>
        <row r="444">
          <cell r="B444">
            <v>4.9000000000000004</v>
          </cell>
        </row>
        <row r="445">
          <cell r="B445">
            <v>4.5</v>
          </cell>
          <cell r="D445" t="str">
            <v>Sin boquillas</v>
          </cell>
        </row>
        <row r="446">
          <cell r="B446">
            <v>4.7</v>
          </cell>
          <cell r="D446" t="str">
            <v>Sin boquillas</v>
          </cell>
        </row>
        <row r="447">
          <cell r="B447">
            <v>4.8</v>
          </cell>
          <cell r="D447" t="str">
            <v>Sin boquillas</v>
          </cell>
        </row>
        <row r="448">
          <cell r="B448">
            <v>4.9000000000000004</v>
          </cell>
          <cell r="D448" t="str">
            <v>Sin boquillas</v>
          </cell>
        </row>
        <row r="449">
          <cell r="B449">
            <v>4.7</v>
          </cell>
          <cell r="D449" t="str">
            <v>Sin boquillas</v>
          </cell>
        </row>
        <row r="450">
          <cell r="B450">
            <v>4.5999999999999996</v>
          </cell>
          <cell r="D450" t="str">
            <v>Sin boquillas</v>
          </cell>
        </row>
        <row r="451">
          <cell r="B451">
            <v>4.4000000000000004</v>
          </cell>
          <cell r="D451" t="str">
            <v>Sin boquillas</v>
          </cell>
        </row>
        <row r="452">
          <cell r="B452">
            <v>4.5999999999999996</v>
          </cell>
          <cell r="D452" t="str">
            <v>Sin boquillas</v>
          </cell>
        </row>
        <row r="453">
          <cell r="B453">
            <v>4.7</v>
          </cell>
          <cell r="D453" t="str">
            <v>Sin boquillas</v>
          </cell>
        </row>
        <row r="454">
          <cell r="B454">
            <v>4.8</v>
          </cell>
          <cell r="D454" t="str">
            <v>Sin boquillas</v>
          </cell>
        </row>
        <row r="455">
          <cell r="B455">
            <v>4.5999999999999996</v>
          </cell>
          <cell r="D455" t="str">
            <v>Sin boquillas</v>
          </cell>
        </row>
        <row r="456">
          <cell r="B456">
            <v>4.5999999999999996</v>
          </cell>
          <cell r="D456" t="str">
            <v>Sin boquillas</v>
          </cell>
        </row>
        <row r="457">
          <cell r="B457">
            <v>6.1</v>
          </cell>
          <cell r="D457" t="str">
            <v>Sin boquillas</v>
          </cell>
        </row>
        <row r="458">
          <cell r="B458">
            <v>5.9</v>
          </cell>
          <cell r="D458" t="str">
            <v>Sin boquillas</v>
          </cell>
        </row>
        <row r="459">
          <cell r="B459">
            <v>5.3</v>
          </cell>
          <cell r="D459" t="str">
            <v>Sin boquillas</v>
          </cell>
        </row>
        <row r="460">
          <cell r="B460">
            <v>5.4</v>
          </cell>
          <cell r="D460" t="str">
            <v>Sin boquillas</v>
          </cell>
        </row>
        <row r="461">
          <cell r="B461">
            <v>5.0999999999999996</v>
          </cell>
          <cell r="D461" t="str">
            <v>3 BOQUILLAS</v>
          </cell>
        </row>
        <row r="462">
          <cell r="B462">
            <v>5.2</v>
          </cell>
          <cell r="D462" t="str">
            <v>3 BOQUILLAS</v>
          </cell>
        </row>
        <row r="463">
          <cell r="B463">
            <v>4.8</v>
          </cell>
          <cell r="D463" t="str">
            <v>3 BOQUILLAS</v>
          </cell>
        </row>
        <row r="483">
          <cell r="AR483">
            <v>0</v>
          </cell>
        </row>
        <row r="484">
          <cell r="AR484">
            <v>0</v>
          </cell>
        </row>
        <row r="485">
          <cell r="AR485">
            <v>0</v>
          </cell>
        </row>
        <row r="486">
          <cell r="AR48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</sheetNames>
    <sheetDataSet>
      <sheetData sheetId="0">
        <row r="5">
          <cell r="N5">
            <v>30</v>
          </cell>
          <cell r="O5">
            <v>10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R!$V$51;firma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0"/>
  </sheetPr>
  <dimension ref="A1:DR169"/>
  <sheetViews>
    <sheetView showGridLines="0" tabSelected="1" view="pageBreakPreview" zoomScaleSheetLayoutView="100" workbookViewId="0">
      <selection activeCell="C1" sqref="C1:O3"/>
    </sheetView>
  </sheetViews>
  <sheetFormatPr baseColWidth="10" defaultRowHeight="12.75" x14ac:dyDescent="0.2"/>
  <cols>
    <col min="1" max="3" width="6.42578125" style="241" customWidth="1"/>
    <col min="4" max="4" width="5" style="241" customWidth="1"/>
    <col min="5" max="5" width="5.7109375" style="241" customWidth="1"/>
    <col min="6" max="6" width="5.85546875" style="241" customWidth="1"/>
    <col min="7" max="11" width="6.42578125" style="241" customWidth="1"/>
    <col min="12" max="12" width="7.140625" style="241" customWidth="1"/>
    <col min="13" max="15" width="6.42578125" style="241" customWidth="1"/>
    <col min="16" max="27" width="5.7109375" style="241" hidden="1" customWidth="1"/>
    <col min="28" max="31" width="11.42578125" style="241" customWidth="1"/>
    <col min="32" max="16384" width="11.42578125" style="241"/>
  </cols>
  <sheetData>
    <row r="1" spans="1:122" s="242" customFormat="1" ht="15" customHeight="1" x14ac:dyDescent="0.2">
      <c r="A1" s="518"/>
      <c r="B1" s="519"/>
      <c r="C1" s="524" t="s">
        <v>264</v>
      </c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320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</row>
    <row r="2" spans="1:122" s="242" customFormat="1" ht="15" customHeight="1" x14ac:dyDescent="0.2">
      <c r="A2" s="520"/>
      <c r="B2" s="521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320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  <c r="DP2" s="319"/>
      <c r="DQ2" s="319"/>
      <c r="DR2" s="319"/>
    </row>
    <row r="3" spans="1:122" s="242" customFormat="1" ht="15" customHeight="1" x14ac:dyDescent="0.2">
      <c r="A3" s="520"/>
      <c r="B3" s="521"/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320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  <c r="DL3" s="319"/>
      <c r="DM3" s="319"/>
      <c r="DN3" s="319"/>
      <c r="DO3" s="319"/>
      <c r="DP3" s="319"/>
      <c r="DQ3" s="319"/>
      <c r="DR3" s="319"/>
    </row>
    <row r="4" spans="1:122" s="242" customFormat="1" ht="15" customHeight="1" x14ac:dyDescent="0.2">
      <c r="A4" s="520"/>
      <c r="B4" s="521"/>
      <c r="C4" s="516" t="s">
        <v>171</v>
      </c>
      <c r="D4" s="516"/>
      <c r="E4" s="516"/>
      <c r="F4" s="516"/>
      <c r="G4" s="516"/>
      <c r="H4" s="516"/>
      <c r="I4" s="516"/>
      <c r="J4" s="516"/>
      <c r="K4" s="516"/>
      <c r="L4" s="516"/>
      <c r="M4" s="516" t="s">
        <v>276</v>
      </c>
      <c r="N4" s="516"/>
      <c r="O4" s="516"/>
      <c r="P4" s="320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</row>
    <row r="5" spans="1:122" s="242" customFormat="1" ht="15" customHeight="1" x14ac:dyDescent="0.2">
      <c r="A5" s="522"/>
      <c r="B5" s="523"/>
      <c r="C5" s="516" t="s">
        <v>277</v>
      </c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320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</row>
    <row r="6" spans="1:122" s="242" customFormat="1" ht="15" customHeight="1" x14ac:dyDescent="0.2">
      <c r="A6" s="344"/>
      <c r="B6" s="343"/>
      <c r="C6" s="343"/>
      <c r="D6" s="343"/>
      <c r="E6" s="341"/>
      <c r="F6" s="341"/>
      <c r="G6" s="341"/>
      <c r="H6" s="341"/>
      <c r="I6" s="341"/>
      <c r="J6" s="343"/>
      <c r="K6" s="343"/>
      <c r="L6" s="343"/>
      <c r="M6" s="345"/>
      <c r="N6" s="345"/>
      <c r="O6" s="346"/>
      <c r="P6" s="353" t="s">
        <v>265</v>
      </c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</row>
    <row r="7" spans="1:122" s="242" customFormat="1" ht="15" customHeight="1" x14ac:dyDescent="0.2">
      <c r="A7" s="347"/>
      <c r="B7" s="348"/>
      <c r="C7" s="348"/>
      <c r="D7" s="348"/>
      <c r="F7" s="362"/>
      <c r="G7" s="362"/>
      <c r="I7" s="360"/>
      <c r="J7" s="526" t="s">
        <v>129</v>
      </c>
      <c r="K7" s="526"/>
      <c r="L7" s="525"/>
      <c r="M7" s="525"/>
      <c r="N7" s="525"/>
      <c r="O7" s="349"/>
      <c r="P7" s="354" t="s">
        <v>266</v>
      </c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19"/>
      <c r="AC7" s="319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</row>
    <row r="8" spans="1:122" s="242" customFormat="1" ht="15" customHeight="1" x14ac:dyDescent="0.2">
      <c r="A8" s="347"/>
      <c r="B8" s="348"/>
      <c r="C8" s="348"/>
      <c r="D8" s="348"/>
      <c r="E8" s="358"/>
      <c r="F8" s="358"/>
      <c r="G8" s="359"/>
      <c r="I8" s="361"/>
      <c r="J8" s="361"/>
      <c r="K8" s="361"/>
      <c r="L8" s="517" t="str">
        <f>IF(L7="",P11,CONCATENATE(P7," ",P8," ",P9," ", P10))</f>
        <v>Pagina xx de xx</v>
      </c>
      <c r="M8" s="517"/>
      <c r="N8" s="517"/>
      <c r="O8" s="351"/>
      <c r="P8" s="355">
        <v>0</v>
      </c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</row>
    <row r="9" spans="1:122" s="242" customFormat="1" ht="15" customHeight="1" x14ac:dyDescent="0.2">
      <c r="A9" s="352"/>
      <c r="B9" s="340"/>
      <c r="C9" s="340"/>
      <c r="D9" s="340"/>
      <c r="E9" s="342"/>
      <c r="F9" s="342"/>
      <c r="G9" s="342"/>
      <c r="H9" s="342"/>
      <c r="I9" s="342"/>
      <c r="J9" s="340"/>
      <c r="K9" s="340"/>
      <c r="L9" s="340"/>
      <c r="M9" s="350"/>
      <c r="N9" s="350"/>
      <c r="O9" s="351"/>
      <c r="P9" s="356" t="s">
        <v>267</v>
      </c>
      <c r="Q9" s="337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</row>
    <row r="10" spans="1:122" s="242" customFormat="1" ht="15" customHeight="1" x14ac:dyDescent="0.2">
      <c r="A10" s="502" t="s">
        <v>270</v>
      </c>
      <c r="B10" s="503"/>
      <c r="C10" s="503"/>
      <c r="D10" s="503"/>
      <c r="E10" s="503"/>
      <c r="F10" s="503"/>
      <c r="G10" s="503"/>
      <c r="H10" s="503"/>
      <c r="I10" s="503"/>
      <c r="J10" s="503"/>
      <c r="K10" s="503"/>
      <c r="L10" s="503"/>
      <c r="M10" s="503"/>
      <c r="N10" s="503"/>
      <c r="O10" s="504"/>
      <c r="P10" s="356">
        <f>IF(O7=V7,U8,"")</f>
        <v>0</v>
      </c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</row>
    <row r="11" spans="1:122" s="242" customFormat="1" ht="15" customHeight="1" x14ac:dyDescent="0.2">
      <c r="A11" s="444" t="s">
        <v>244</v>
      </c>
      <c r="B11" s="445"/>
      <c r="C11" s="445"/>
      <c r="D11" s="445"/>
      <c r="E11" s="363"/>
      <c r="F11" s="363"/>
      <c r="G11" s="363"/>
      <c r="H11" s="363"/>
      <c r="I11" s="364"/>
      <c r="J11" s="446" t="s">
        <v>245</v>
      </c>
      <c r="K11" s="447"/>
      <c r="L11" s="448"/>
      <c r="M11" s="449" t="s">
        <v>243</v>
      </c>
      <c r="N11" s="447"/>
      <c r="O11" s="450"/>
      <c r="P11" s="357" t="s">
        <v>268</v>
      </c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</row>
    <row r="12" spans="1:122" s="242" customFormat="1" ht="15" customHeight="1" x14ac:dyDescent="0.2">
      <c r="A12" s="442" t="s">
        <v>238</v>
      </c>
      <c r="B12" s="443"/>
      <c r="C12" s="443"/>
      <c r="D12" s="443"/>
      <c r="E12" s="365"/>
      <c r="F12" s="365"/>
      <c r="G12" s="365"/>
      <c r="H12" s="365"/>
      <c r="I12" s="366"/>
      <c r="J12" s="505"/>
      <c r="K12" s="506"/>
      <c r="L12" s="507"/>
      <c r="M12" s="451"/>
      <c r="N12" s="452"/>
      <c r="O12" s="453"/>
      <c r="P12" s="320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</row>
    <row r="13" spans="1:122" s="242" customFormat="1" ht="15" customHeight="1" x14ac:dyDescent="0.2">
      <c r="A13" s="434" t="s">
        <v>237</v>
      </c>
      <c r="B13" s="435"/>
      <c r="C13" s="435"/>
      <c r="D13" s="435"/>
      <c r="E13" s="435"/>
      <c r="F13" s="435"/>
      <c r="G13" s="435"/>
      <c r="H13" s="435"/>
      <c r="I13" s="366" t="s">
        <v>19</v>
      </c>
      <c r="J13" s="459"/>
      <c r="K13" s="460"/>
      <c r="L13" s="461"/>
      <c r="M13" s="462"/>
      <c r="N13" s="463"/>
      <c r="O13" s="464"/>
      <c r="P13" s="320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</row>
    <row r="14" spans="1:122" s="242" customFormat="1" ht="15" customHeight="1" x14ac:dyDescent="0.2">
      <c r="A14" s="442" t="s">
        <v>239</v>
      </c>
      <c r="B14" s="441"/>
      <c r="C14" s="441"/>
      <c r="D14" s="441"/>
      <c r="E14" s="441"/>
      <c r="F14" s="441"/>
      <c r="G14" s="441"/>
      <c r="H14" s="441"/>
      <c r="I14" s="368" t="s">
        <v>125</v>
      </c>
      <c r="J14" s="454"/>
      <c r="K14" s="455"/>
      <c r="L14" s="456"/>
      <c r="M14" s="465"/>
      <c r="N14" s="455"/>
      <c r="O14" s="466"/>
      <c r="P14" s="320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</row>
    <row r="15" spans="1:122" s="242" customFormat="1" ht="15" customHeight="1" x14ac:dyDescent="0.2">
      <c r="A15" s="440" t="s">
        <v>240</v>
      </c>
      <c r="B15" s="441"/>
      <c r="C15" s="441"/>
      <c r="D15" s="441"/>
      <c r="E15" s="441"/>
      <c r="F15" s="441"/>
      <c r="G15" s="441"/>
      <c r="H15" s="441"/>
      <c r="I15" s="368" t="s">
        <v>125</v>
      </c>
      <c r="J15" s="454"/>
      <c r="K15" s="455"/>
      <c r="L15" s="456"/>
      <c r="M15" s="467"/>
      <c r="N15" s="468"/>
      <c r="O15" s="469"/>
      <c r="P15" s="320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</row>
    <row r="16" spans="1:122" s="242" customFormat="1" ht="15" customHeight="1" x14ac:dyDescent="0.2">
      <c r="A16" s="442" t="s">
        <v>241</v>
      </c>
      <c r="B16" s="441"/>
      <c r="C16" s="441"/>
      <c r="D16" s="441"/>
      <c r="E16" s="441"/>
      <c r="F16" s="441"/>
      <c r="G16" s="441"/>
      <c r="H16" s="441"/>
      <c r="I16" s="368" t="s">
        <v>125</v>
      </c>
      <c r="J16" s="454"/>
      <c r="K16" s="455"/>
      <c r="L16" s="456"/>
      <c r="M16" s="465"/>
      <c r="N16" s="455"/>
      <c r="O16" s="466"/>
      <c r="P16" s="320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</row>
    <row r="17" spans="1:122" s="242" customFormat="1" ht="15" customHeight="1" x14ac:dyDescent="0.2">
      <c r="A17" s="472" t="s">
        <v>242</v>
      </c>
      <c r="B17" s="473"/>
      <c r="C17" s="473"/>
      <c r="D17" s="473"/>
      <c r="E17" s="473"/>
      <c r="F17" s="473"/>
      <c r="G17" s="473"/>
      <c r="H17" s="473"/>
      <c r="I17" s="369" t="s">
        <v>124</v>
      </c>
      <c r="J17" s="457" t="str">
        <f>+IF(J14="","",((J14-J15)/(J15-J16))*100)</f>
        <v/>
      </c>
      <c r="K17" s="458"/>
      <c r="L17" s="458"/>
      <c r="M17" s="500" t="str">
        <f>+IF(M12="","",((M14-M15)/(M15-M16))*100)</f>
        <v/>
      </c>
      <c r="N17" s="458"/>
      <c r="O17" s="501"/>
      <c r="P17" s="320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</row>
    <row r="18" spans="1:122" s="242" customFormat="1" ht="30" customHeight="1" thickBot="1" x14ac:dyDescent="0.25">
      <c r="A18" s="511" t="s">
        <v>269</v>
      </c>
      <c r="B18" s="512"/>
      <c r="C18" s="512"/>
      <c r="D18" s="512"/>
      <c r="E18" s="512"/>
      <c r="F18" s="512"/>
      <c r="G18" s="512"/>
      <c r="H18" s="512"/>
      <c r="I18" s="512"/>
      <c r="J18" s="512"/>
      <c r="K18" s="512"/>
      <c r="L18" s="512"/>
      <c r="M18" s="512"/>
      <c r="N18" s="512"/>
      <c r="O18" s="513"/>
      <c r="P18" s="320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</row>
    <row r="19" spans="1:122" s="242" customFormat="1" ht="15" customHeight="1" thickBot="1" x14ac:dyDescent="0.25">
      <c r="A19" s="434" t="s">
        <v>165</v>
      </c>
      <c r="B19" s="435"/>
      <c r="C19" s="435"/>
      <c r="D19" s="435"/>
      <c r="E19" s="435"/>
      <c r="F19" s="435"/>
      <c r="G19" s="435"/>
      <c r="H19" s="435"/>
      <c r="I19" s="366" t="s">
        <v>19</v>
      </c>
      <c r="J19" s="371">
        <v>1</v>
      </c>
      <c r="K19" s="372">
        <v>2</v>
      </c>
      <c r="L19" s="373">
        <v>3</v>
      </c>
      <c r="M19" s="372">
        <v>4</v>
      </c>
      <c r="N19" s="372">
        <v>5</v>
      </c>
      <c r="O19" s="374">
        <v>6</v>
      </c>
      <c r="P19" s="437" t="s">
        <v>248</v>
      </c>
      <c r="Q19" s="438"/>
      <c r="R19" s="438"/>
      <c r="S19" s="438"/>
      <c r="T19" s="438"/>
      <c r="U19" s="438"/>
      <c r="V19" s="438"/>
      <c r="W19" s="438"/>
      <c r="X19" s="438"/>
      <c r="Y19" s="438"/>
      <c r="Z19" s="438"/>
      <c r="AA19" s="43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</row>
    <row r="20" spans="1:122" s="242" customFormat="1" ht="15" customHeight="1" x14ac:dyDescent="0.2">
      <c r="A20" s="442" t="s">
        <v>166</v>
      </c>
      <c r="B20" s="441"/>
      <c r="C20" s="441"/>
      <c r="D20" s="441"/>
      <c r="E20" s="441"/>
      <c r="F20" s="441"/>
      <c r="G20" s="441"/>
      <c r="H20" s="441"/>
      <c r="I20" s="368" t="s">
        <v>90</v>
      </c>
      <c r="J20" s="379" t="str">
        <f>+IF(P21="","",AVERAGE(P21:Q22))</f>
        <v/>
      </c>
      <c r="K20" s="389" t="str">
        <f>+IF(R21="","",AVERAGE(R21:S22))</f>
        <v/>
      </c>
      <c r="L20" s="390" t="str">
        <f>+IF(T21="","",AVERAGE(T21:U22))</f>
        <v/>
      </c>
      <c r="M20" s="389" t="str">
        <f>+IF(V21="","",AVERAGE(V21:W22))</f>
        <v/>
      </c>
      <c r="N20" s="389" t="str">
        <f>+IF(X21="","",AVERAGE(X21:Y22))</f>
        <v/>
      </c>
      <c r="O20" s="391" t="str">
        <f>+IF(Z21="","",AVERAGE(Z21:AA22))</f>
        <v/>
      </c>
      <c r="P20" s="436">
        <v>1</v>
      </c>
      <c r="Q20" s="433"/>
      <c r="R20" s="432">
        <v>2</v>
      </c>
      <c r="S20" s="433"/>
      <c r="T20" s="432">
        <v>3</v>
      </c>
      <c r="U20" s="433"/>
      <c r="V20" s="432">
        <v>4</v>
      </c>
      <c r="W20" s="433"/>
      <c r="X20" s="432">
        <v>5</v>
      </c>
      <c r="Y20" s="433"/>
      <c r="Z20" s="432">
        <v>6</v>
      </c>
      <c r="AA20" s="433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</row>
    <row r="21" spans="1:122" s="242" customFormat="1" ht="15" customHeight="1" x14ac:dyDescent="0.2">
      <c r="A21" s="440" t="s">
        <v>163</v>
      </c>
      <c r="B21" s="441"/>
      <c r="C21" s="441"/>
      <c r="D21" s="441"/>
      <c r="E21" s="441"/>
      <c r="F21" s="441"/>
      <c r="G21" s="441"/>
      <c r="H21" s="441"/>
      <c r="I21" s="368" t="s">
        <v>90</v>
      </c>
      <c r="J21" s="379" t="str">
        <f>+IF(P24="","",AVERAGE(P24:Q25))</f>
        <v/>
      </c>
      <c r="K21" s="389" t="str">
        <f>+IF(R24="","",AVERAGE(R24:S25))</f>
        <v/>
      </c>
      <c r="L21" s="390" t="str">
        <f>+IF(T24="","",AVERAGE(T24:U25))</f>
        <v/>
      </c>
      <c r="M21" s="389" t="str">
        <f>+IF(V24="","",AVERAGE(V24:W25))</f>
        <v/>
      </c>
      <c r="N21" s="389" t="str">
        <f>+IF(X24="","",AVERAGE(X24:Y25))</f>
        <v/>
      </c>
      <c r="O21" s="391" t="str">
        <f>+IF(Z24="","",AVERAGE(Z24:AA25))</f>
        <v/>
      </c>
      <c r="P21" s="417"/>
      <c r="Q21" s="413"/>
      <c r="R21" s="414"/>
      <c r="S21" s="413"/>
      <c r="T21" s="414"/>
      <c r="U21" s="413"/>
      <c r="V21" s="414"/>
      <c r="W21" s="413"/>
      <c r="X21" s="414"/>
      <c r="Y21" s="413"/>
      <c r="Z21" s="414"/>
      <c r="AA21" s="413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</row>
    <row r="22" spans="1:122" s="242" customFormat="1" ht="15" customHeight="1" thickBot="1" x14ac:dyDescent="0.25">
      <c r="A22" s="440" t="s">
        <v>167</v>
      </c>
      <c r="B22" s="441"/>
      <c r="C22" s="441"/>
      <c r="D22" s="441"/>
      <c r="E22" s="441"/>
      <c r="F22" s="441"/>
      <c r="G22" s="441"/>
      <c r="H22" s="441"/>
      <c r="I22" s="368" t="s">
        <v>125</v>
      </c>
      <c r="J22" s="375"/>
      <c r="K22" s="376"/>
      <c r="L22" s="377"/>
      <c r="M22" s="376"/>
      <c r="N22" s="376"/>
      <c r="O22" s="378"/>
      <c r="P22" s="418"/>
      <c r="Q22" s="412"/>
      <c r="R22" s="415"/>
      <c r="S22" s="412"/>
      <c r="T22" s="415"/>
      <c r="U22" s="412"/>
      <c r="V22" s="415"/>
      <c r="W22" s="412"/>
      <c r="X22" s="415"/>
      <c r="Y22" s="412"/>
      <c r="Z22" s="415"/>
      <c r="AA22" s="412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</row>
    <row r="23" spans="1:122" s="242" customFormat="1" ht="15" customHeight="1" thickBot="1" x14ac:dyDescent="0.25">
      <c r="A23" s="440" t="s">
        <v>168</v>
      </c>
      <c r="B23" s="441"/>
      <c r="C23" s="441"/>
      <c r="D23" s="441"/>
      <c r="E23" s="441"/>
      <c r="F23" s="441"/>
      <c r="G23" s="441"/>
      <c r="H23" s="441"/>
      <c r="I23" s="368" t="s">
        <v>125</v>
      </c>
      <c r="J23" s="375"/>
      <c r="K23" s="376"/>
      <c r="L23" s="377"/>
      <c r="M23" s="376"/>
      <c r="N23" s="376"/>
      <c r="O23" s="378"/>
      <c r="P23" s="437" t="s">
        <v>163</v>
      </c>
      <c r="Q23" s="438"/>
      <c r="R23" s="438"/>
      <c r="S23" s="438"/>
      <c r="T23" s="438"/>
      <c r="U23" s="438"/>
      <c r="V23" s="438"/>
      <c r="W23" s="438"/>
      <c r="X23" s="438"/>
      <c r="Y23" s="438"/>
      <c r="Z23" s="438"/>
      <c r="AA23" s="43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</row>
    <row r="24" spans="1:122" s="242" customFormat="1" ht="27" customHeight="1" x14ac:dyDescent="0.2">
      <c r="A24" s="442" t="s">
        <v>169</v>
      </c>
      <c r="B24" s="443"/>
      <c r="C24" s="443"/>
      <c r="D24" s="443"/>
      <c r="E24" s="443"/>
      <c r="F24" s="443"/>
      <c r="G24" s="443"/>
      <c r="H24" s="443"/>
      <c r="I24" s="368" t="s">
        <v>125</v>
      </c>
      <c r="J24" s="375"/>
      <c r="K24" s="376"/>
      <c r="L24" s="377"/>
      <c r="M24" s="376"/>
      <c r="N24" s="376"/>
      <c r="O24" s="378"/>
      <c r="P24" s="419"/>
      <c r="Q24" s="411"/>
      <c r="R24" s="416"/>
      <c r="S24" s="411"/>
      <c r="T24" s="416"/>
      <c r="U24" s="411"/>
      <c r="V24" s="416"/>
      <c r="W24" s="411"/>
      <c r="X24" s="416"/>
      <c r="Y24" s="411"/>
      <c r="Z24" s="416"/>
      <c r="AA24" s="411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</row>
    <row r="25" spans="1:122" s="242" customFormat="1" ht="26.25" customHeight="1" thickBot="1" x14ac:dyDescent="0.25">
      <c r="A25" s="442" t="s">
        <v>272</v>
      </c>
      <c r="B25" s="443"/>
      <c r="C25" s="443"/>
      <c r="D25" s="443"/>
      <c r="E25" s="443"/>
      <c r="F25" s="443"/>
      <c r="G25" s="443"/>
      <c r="H25" s="443"/>
      <c r="I25" s="368" t="s">
        <v>125</v>
      </c>
      <c r="J25" s="379" t="str">
        <f t="shared" ref="J25:O25" si="0">IF(J24="","",+J24-J23)</f>
        <v/>
      </c>
      <c r="K25" s="380" t="str">
        <f t="shared" si="0"/>
        <v/>
      </c>
      <c r="L25" s="381" t="str">
        <f t="shared" si="0"/>
        <v/>
      </c>
      <c r="M25" s="380" t="str">
        <f t="shared" si="0"/>
        <v/>
      </c>
      <c r="N25" s="380" t="str">
        <f t="shared" si="0"/>
        <v/>
      </c>
      <c r="O25" s="382" t="str">
        <f t="shared" si="0"/>
        <v/>
      </c>
      <c r="P25" s="418"/>
      <c r="Q25" s="412"/>
      <c r="R25" s="415"/>
      <c r="S25" s="412"/>
      <c r="T25" s="415"/>
      <c r="U25" s="412"/>
      <c r="V25" s="415"/>
      <c r="W25" s="412"/>
      <c r="X25" s="415"/>
      <c r="Y25" s="412"/>
      <c r="Z25" s="415"/>
      <c r="AA25" s="412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</row>
    <row r="26" spans="1:122" s="242" customFormat="1" ht="15" customHeight="1" x14ac:dyDescent="0.2">
      <c r="A26" s="470" t="s">
        <v>147</v>
      </c>
      <c r="B26" s="471"/>
      <c r="C26" s="471"/>
      <c r="D26" s="471"/>
      <c r="E26" s="471"/>
      <c r="F26" s="471"/>
      <c r="G26" s="471"/>
      <c r="H26" s="471"/>
      <c r="I26" s="383"/>
      <c r="J26" s="384" t="str">
        <f t="shared" ref="J26:O26" si="1">IF(J22="","",+J22/J25)</f>
        <v/>
      </c>
      <c r="K26" s="385" t="str">
        <f t="shared" si="1"/>
        <v/>
      </c>
      <c r="L26" s="386" t="str">
        <f t="shared" si="1"/>
        <v/>
      </c>
      <c r="M26" s="385" t="str">
        <f t="shared" si="1"/>
        <v/>
      </c>
      <c r="N26" s="385" t="str">
        <f t="shared" si="1"/>
        <v/>
      </c>
      <c r="O26" s="387" t="str">
        <f t="shared" si="1"/>
        <v/>
      </c>
      <c r="P26" s="320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</row>
    <row r="27" spans="1:122" s="242" customFormat="1" ht="15" customHeight="1" x14ac:dyDescent="0.2">
      <c r="A27" s="440" t="s">
        <v>146</v>
      </c>
      <c r="B27" s="441"/>
      <c r="C27" s="441"/>
      <c r="D27" s="441"/>
      <c r="E27" s="441"/>
      <c r="F27" s="441"/>
      <c r="G27" s="441"/>
      <c r="H27" s="441"/>
      <c r="I27" s="368" t="s">
        <v>263</v>
      </c>
      <c r="J27" s="388" t="str">
        <f t="shared" ref="J27:O27" si="2">IF(J26="","",+J26*997)</f>
        <v/>
      </c>
      <c r="K27" s="389" t="str">
        <f t="shared" si="2"/>
        <v/>
      </c>
      <c r="L27" s="390" t="str">
        <f t="shared" si="2"/>
        <v/>
      </c>
      <c r="M27" s="389" t="str">
        <f t="shared" si="2"/>
        <v/>
      </c>
      <c r="N27" s="389" t="str">
        <f t="shared" si="2"/>
        <v/>
      </c>
      <c r="O27" s="391" t="str">
        <f t="shared" si="2"/>
        <v/>
      </c>
      <c r="P27" s="320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</row>
    <row r="28" spans="1:122" s="242" customFormat="1" ht="15" customHeight="1" x14ac:dyDescent="0.2">
      <c r="A28" s="440" t="s">
        <v>164</v>
      </c>
      <c r="B28" s="441"/>
      <c r="C28" s="441"/>
      <c r="D28" s="441"/>
      <c r="E28" s="441"/>
      <c r="F28" s="441"/>
      <c r="G28" s="441"/>
      <c r="H28" s="441"/>
      <c r="I28" s="368" t="s">
        <v>160</v>
      </c>
      <c r="J28" s="379" t="str">
        <f t="shared" ref="J28:O28" si="3">IF(J21="","",(3.1416*(J21/10)*(J21/10)/4))</f>
        <v/>
      </c>
      <c r="K28" s="380" t="str">
        <f t="shared" si="3"/>
        <v/>
      </c>
      <c r="L28" s="381" t="str">
        <f t="shared" si="3"/>
        <v/>
      </c>
      <c r="M28" s="380" t="str">
        <f t="shared" si="3"/>
        <v/>
      </c>
      <c r="N28" s="380" t="str">
        <f t="shared" si="3"/>
        <v/>
      </c>
      <c r="O28" s="382" t="str">
        <f t="shared" si="3"/>
        <v/>
      </c>
      <c r="P28" s="320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</row>
    <row r="29" spans="1:122" s="242" customFormat="1" ht="45.75" customHeight="1" x14ac:dyDescent="0.2">
      <c r="A29" s="370" t="s">
        <v>162</v>
      </c>
      <c r="B29" s="367"/>
      <c r="C29" s="367"/>
      <c r="D29" s="367"/>
      <c r="E29" s="367"/>
      <c r="F29" s="367"/>
      <c r="G29" s="367"/>
      <c r="H29" s="367"/>
      <c r="I29" s="366" t="s">
        <v>19</v>
      </c>
      <c r="J29" s="508" t="s">
        <v>274</v>
      </c>
      <c r="K29" s="509"/>
      <c r="L29" s="510"/>
      <c r="M29" s="514" t="s">
        <v>275</v>
      </c>
      <c r="N29" s="509"/>
      <c r="O29" s="515"/>
      <c r="P29" s="320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</row>
    <row r="30" spans="1:122" s="242" customFormat="1" ht="17.25" customHeight="1" x14ac:dyDescent="0.2">
      <c r="A30" s="434" t="s">
        <v>165</v>
      </c>
      <c r="B30" s="435"/>
      <c r="C30" s="435"/>
      <c r="D30" s="435"/>
      <c r="E30" s="435"/>
      <c r="F30" s="435"/>
      <c r="G30" s="435"/>
      <c r="H30" s="435"/>
      <c r="I30" s="366" t="s">
        <v>19</v>
      </c>
      <c r="J30" s="422"/>
      <c r="K30" s="423"/>
      <c r="L30" s="424"/>
      <c r="M30" s="423"/>
      <c r="N30" s="423"/>
      <c r="O30" s="425"/>
      <c r="P30" s="420" t="str">
        <f>IF(J30="","",J30)</f>
        <v/>
      </c>
      <c r="Q30" s="420" t="str">
        <f t="shared" ref="Q30:T30" si="4">IF(K30="","",K30)</f>
        <v/>
      </c>
      <c r="R30" s="420" t="str">
        <f t="shared" si="4"/>
        <v/>
      </c>
      <c r="S30" s="420" t="str">
        <f t="shared" si="4"/>
        <v/>
      </c>
      <c r="T30" s="420" t="str">
        <f t="shared" si="4"/>
        <v/>
      </c>
      <c r="U30" s="420" t="str">
        <f>IF(O30="","",O30)</f>
        <v/>
      </c>
      <c r="V30" s="337"/>
      <c r="W30" s="337"/>
      <c r="X30" s="337"/>
      <c r="Y30" s="337"/>
      <c r="Z30" s="337"/>
      <c r="AA30" s="337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</row>
    <row r="31" spans="1:122" s="242" customFormat="1" ht="15" customHeight="1" x14ac:dyDescent="0.2">
      <c r="A31" s="440" t="s">
        <v>222</v>
      </c>
      <c r="B31" s="441"/>
      <c r="C31" s="441"/>
      <c r="D31" s="441"/>
      <c r="E31" s="441"/>
      <c r="F31" s="441"/>
      <c r="G31" s="441"/>
      <c r="H31" s="441"/>
      <c r="I31" s="368" t="s">
        <v>159</v>
      </c>
      <c r="J31" s="409"/>
      <c r="K31" s="407"/>
      <c r="L31" s="410"/>
      <c r="M31" s="407"/>
      <c r="N31" s="407"/>
      <c r="O31" s="408"/>
      <c r="P31" s="421" t="str">
        <f>IF(P30="","",HLOOKUP(P30,$J$19:$O$28,10,0))</f>
        <v/>
      </c>
      <c r="Q31" s="421" t="str">
        <f t="shared" ref="Q31:T31" si="5">IF(Q30="","",HLOOKUP(Q30,$J$19:$O$28,10,0))</f>
        <v/>
      </c>
      <c r="R31" s="421" t="str">
        <f t="shared" si="5"/>
        <v/>
      </c>
      <c r="S31" s="421" t="str">
        <f t="shared" si="5"/>
        <v/>
      </c>
      <c r="T31" s="421" t="str">
        <f t="shared" si="5"/>
        <v/>
      </c>
      <c r="U31" s="421" t="str">
        <f>IF(U30="","",HLOOKUP(U30,$J$19:$O$28,10,0))</f>
        <v/>
      </c>
      <c r="V31" s="337"/>
      <c r="W31" s="337"/>
      <c r="X31" s="337"/>
      <c r="Y31" s="337"/>
      <c r="Z31" s="337"/>
      <c r="AA31" s="337"/>
      <c r="AB31" s="319"/>
      <c r="AC31" s="319"/>
      <c r="AD31" s="319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</row>
    <row r="32" spans="1:122" s="242" customFormat="1" ht="15" customHeight="1" x14ac:dyDescent="0.2">
      <c r="A32" s="440" t="s">
        <v>222</v>
      </c>
      <c r="B32" s="441"/>
      <c r="C32" s="441"/>
      <c r="D32" s="441"/>
      <c r="E32" s="441"/>
      <c r="F32" s="441"/>
      <c r="G32" s="441"/>
      <c r="H32" s="441"/>
      <c r="I32" s="368" t="s">
        <v>131</v>
      </c>
      <c r="J32" s="379" t="str">
        <f>IF(J31="","",(J31*101.97))</f>
        <v/>
      </c>
      <c r="K32" s="380" t="str">
        <f t="shared" ref="K32:O32" si="6">IF(K31="","",(K31*101.97))</f>
        <v/>
      </c>
      <c r="L32" s="381" t="str">
        <f t="shared" si="6"/>
        <v/>
      </c>
      <c r="M32" s="380" t="str">
        <f t="shared" si="6"/>
        <v/>
      </c>
      <c r="N32" s="380" t="str">
        <f t="shared" si="6"/>
        <v/>
      </c>
      <c r="O32" s="382" t="str">
        <f t="shared" si="6"/>
        <v/>
      </c>
      <c r="P32" s="320"/>
      <c r="Q32" s="337"/>
      <c r="R32" s="337"/>
      <c r="S32" s="337"/>
      <c r="T32" s="337"/>
      <c r="U32" s="337"/>
      <c r="V32" s="337"/>
      <c r="W32" s="337"/>
      <c r="X32" s="337"/>
      <c r="Y32" s="337"/>
      <c r="Z32" s="337"/>
      <c r="AA32" s="337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</row>
    <row r="33" spans="1:122" s="242" customFormat="1" ht="15" customHeight="1" x14ac:dyDescent="0.2">
      <c r="A33" s="470" t="s">
        <v>223</v>
      </c>
      <c r="B33" s="471"/>
      <c r="C33" s="471"/>
      <c r="D33" s="471"/>
      <c r="E33" s="471"/>
      <c r="F33" s="471"/>
      <c r="G33" s="471"/>
      <c r="H33" s="471"/>
      <c r="I33" s="368" t="s">
        <v>161</v>
      </c>
      <c r="J33" s="379" t="str">
        <f t="shared" ref="J33:O33" si="7">+IF(J32="","",(J32/P31))</f>
        <v/>
      </c>
      <c r="K33" s="380" t="str">
        <f t="shared" si="7"/>
        <v/>
      </c>
      <c r="L33" s="381" t="str">
        <f t="shared" si="7"/>
        <v/>
      </c>
      <c r="M33" s="380" t="str">
        <f t="shared" si="7"/>
        <v/>
      </c>
      <c r="N33" s="380" t="str">
        <f t="shared" si="7"/>
        <v/>
      </c>
      <c r="O33" s="382" t="str">
        <f t="shared" si="7"/>
        <v/>
      </c>
      <c r="P33" s="320"/>
      <c r="Q33" s="337"/>
      <c r="R33" s="337"/>
      <c r="S33" s="337"/>
      <c r="T33" s="337"/>
      <c r="U33" s="337"/>
      <c r="V33" s="337"/>
      <c r="W33" s="337"/>
      <c r="X33" s="337"/>
      <c r="Y33" s="337"/>
      <c r="Z33" s="337"/>
      <c r="AA33" s="337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</row>
    <row r="34" spans="1:122" s="242" customFormat="1" ht="15" customHeight="1" x14ac:dyDescent="0.2">
      <c r="A34" s="470" t="s">
        <v>224</v>
      </c>
      <c r="B34" s="471"/>
      <c r="C34" s="471"/>
      <c r="D34" s="471"/>
      <c r="E34" s="471"/>
      <c r="F34" s="471"/>
      <c r="G34" s="471"/>
      <c r="H34" s="471"/>
      <c r="I34" s="368" t="s">
        <v>161</v>
      </c>
      <c r="J34" s="479" t="str">
        <f>+IF(J32="","",AVERAGE(J32:L32))</f>
        <v/>
      </c>
      <c r="K34" s="480"/>
      <c r="L34" s="481"/>
      <c r="M34" s="482" t="str">
        <f>+IF(N32="","",AVERAGE(M32:O32))</f>
        <v/>
      </c>
      <c r="N34" s="483"/>
      <c r="O34" s="484"/>
      <c r="P34" s="320"/>
      <c r="Q34" s="337"/>
      <c r="R34" s="337"/>
      <c r="S34" s="337"/>
      <c r="T34" s="337"/>
      <c r="U34" s="337"/>
      <c r="V34" s="337"/>
      <c r="W34" s="337"/>
      <c r="X34" s="337"/>
      <c r="Y34" s="337"/>
      <c r="Z34" s="337"/>
      <c r="AA34" s="337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</row>
    <row r="35" spans="1:122" s="242" customFormat="1" ht="15" customHeight="1" x14ac:dyDescent="0.2">
      <c r="A35" s="474" t="s">
        <v>224</v>
      </c>
      <c r="B35" s="475"/>
      <c r="C35" s="475"/>
      <c r="D35" s="475"/>
      <c r="E35" s="475"/>
      <c r="F35" s="475"/>
      <c r="G35" s="475"/>
      <c r="H35" s="475"/>
      <c r="I35" s="369" t="s">
        <v>170</v>
      </c>
      <c r="J35" s="488" t="str">
        <f>+IF(J34="","",J34/191.971)</f>
        <v/>
      </c>
      <c r="K35" s="489"/>
      <c r="L35" s="490"/>
      <c r="M35" s="485" t="str">
        <f>+IF(M34="","",M34/101.971)</f>
        <v/>
      </c>
      <c r="N35" s="486"/>
      <c r="O35" s="487"/>
      <c r="P35" s="320"/>
      <c r="Q35" s="337"/>
      <c r="R35" s="337"/>
      <c r="S35" s="337"/>
      <c r="T35" s="337"/>
      <c r="U35" s="337"/>
      <c r="V35" s="337"/>
      <c r="W35" s="337"/>
      <c r="X35" s="337"/>
      <c r="Y35" s="337"/>
      <c r="Z35" s="337"/>
      <c r="AA35" s="337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</row>
    <row r="36" spans="1:122" s="242" customFormat="1" ht="15" customHeight="1" x14ac:dyDescent="0.2">
      <c r="A36" s="491" t="s">
        <v>225</v>
      </c>
      <c r="B36" s="492"/>
      <c r="C36" s="492"/>
      <c r="D36" s="492"/>
      <c r="E36" s="492"/>
      <c r="F36" s="493" t="s">
        <v>273</v>
      </c>
      <c r="G36" s="493"/>
      <c r="H36" s="493"/>
      <c r="I36" s="493"/>
      <c r="J36" s="493"/>
      <c r="K36" s="493"/>
      <c r="L36" s="494"/>
      <c r="M36" s="476" t="str">
        <f>+IF(OR(J33="",M33=""),"",((M34/J34)*100))</f>
        <v/>
      </c>
      <c r="N36" s="477"/>
      <c r="O36" s="478"/>
      <c r="P36" s="320"/>
      <c r="Q36" s="337"/>
      <c r="R36" s="337"/>
      <c r="S36" s="337"/>
      <c r="T36" s="337"/>
      <c r="U36" s="337"/>
      <c r="V36" s="337"/>
      <c r="W36" s="337"/>
      <c r="X36" s="337"/>
      <c r="Y36" s="337"/>
      <c r="Z36" s="337"/>
      <c r="AA36" s="337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</row>
    <row r="37" spans="1:122" s="242" customFormat="1" ht="15" customHeight="1" x14ac:dyDescent="0.2">
      <c r="A37" s="392"/>
      <c r="B37" s="393"/>
      <c r="C37" s="393"/>
      <c r="D37" s="393"/>
      <c r="E37" s="394"/>
      <c r="F37" s="394"/>
      <c r="G37" s="394"/>
      <c r="H37" s="394"/>
      <c r="I37" s="394"/>
      <c r="J37" s="394"/>
      <c r="K37" s="394"/>
      <c r="L37" s="394"/>
      <c r="M37" s="395"/>
      <c r="N37" s="395"/>
      <c r="O37" s="396"/>
      <c r="P37" s="320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</row>
    <row r="38" spans="1:122" s="242" customFormat="1" ht="15" customHeight="1" x14ac:dyDescent="0.2">
      <c r="A38" s="399"/>
      <c r="B38" s="529" t="s">
        <v>271</v>
      </c>
      <c r="C38" s="529"/>
      <c r="D38" s="529"/>
      <c r="E38" s="530"/>
      <c r="F38" s="530"/>
      <c r="G38" s="406" t="str">
        <f>IF(E38="","","al")</f>
        <v/>
      </c>
      <c r="H38" s="530"/>
      <c r="I38" s="530"/>
      <c r="J38" s="397"/>
      <c r="K38" s="397"/>
      <c r="L38" s="397"/>
      <c r="M38" s="398"/>
      <c r="N38" s="398"/>
      <c r="O38" s="400"/>
      <c r="P38" s="320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</row>
    <row r="39" spans="1:122" s="242" customFormat="1" ht="15" customHeight="1" x14ac:dyDescent="0.2">
      <c r="A39" s="401"/>
      <c r="B39" s="402"/>
      <c r="C39" s="402"/>
      <c r="D39" s="402"/>
      <c r="E39" s="403"/>
      <c r="F39" s="403"/>
      <c r="G39" s="403"/>
      <c r="H39" s="403"/>
      <c r="I39" s="403"/>
      <c r="J39" s="403"/>
      <c r="K39" s="403"/>
      <c r="L39" s="403"/>
      <c r="M39" s="404"/>
      <c r="N39" s="404"/>
      <c r="O39" s="405"/>
      <c r="P39" s="320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</row>
    <row r="40" spans="1:122" ht="15" customHeight="1" x14ac:dyDescent="0.2">
      <c r="A40" s="426"/>
      <c r="B40" s="532" t="s">
        <v>4</v>
      </c>
      <c r="C40" s="532"/>
      <c r="D40" s="532"/>
      <c r="E40" s="531"/>
      <c r="F40" s="531"/>
      <c r="G40" s="531"/>
      <c r="H40" s="531"/>
      <c r="I40" s="531"/>
      <c r="J40" s="531"/>
      <c r="K40" s="531"/>
      <c r="L40" s="531"/>
      <c r="M40" s="531"/>
      <c r="N40" s="531"/>
      <c r="O40" s="427"/>
      <c r="P40" s="327"/>
      <c r="Q40" s="338"/>
      <c r="R40" s="338"/>
      <c r="S40" s="338"/>
      <c r="T40" s="338"/>
      <c r="U40" s="338"/>
      <c r="V40" s="338"/>
      <c r="W40" s="338"/>
      <c r="X40" s="338"/>
      <c r="Y40" s="338"/>
      <c r="Z40" s="339"/>
      <c r="AA40" s="334"/>
      <c r="AB40" s="335"/>
      <c r="AC40" s="7"/>
    </row>
    <row r="41" spans="1:122" ht="15" customHeight="1" x14ac:dyDescent="0.2">
      <c r="A41" s="428"/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429"/>
      <c r="P41" s="328"/>
      <c r="Q41" s="333"/>
      <c r="R41" s="333"/>
      <c r="S41" s="333"/>
      <c r="T41" s="333"/>
      <c r="U41" s="333"/>
      <c r="V41" s="333"/>
      <c r="W41" s="333"/>
      <c r="X41" s="333"/>
      <c r="Y41" s="333"/>
      <c r="Z41" s="2"/>
      <c r="AA41" s="334"/>
      <c r="AB41" s="335"/>
      <c r="AC41" s="7"/>
    </row>
    <row r="42" spans="1:122" ht="15" customHeight="1" x14ac:dyDescent="0.2">
      <c r="A42" s="428"/>
      <c r="B42" s="527"/>
      <c r="C42" s="527"/>
      <c r="D42" s="527"/>
      <c r="E42" s="527"/>
      <c r="F42" s="527"/>
      <c r="G42" s="527"/>
      <c r="H42" s="527"/>
      <c r="I42" s="527"/>
      <c r="J42" s="527"/>
      <c r="K42" s="527"/>
      <c r="L42" s="527"/>
      <c r="M42" s="527"/>
      <c r="N42" s="527"/>
      <c r="O42" s="429"/>
      <c r="P42" s="329"/>
      <c r="Q42" s="333"/>
      <c r="R42" s="333"/>
      <c r="S42" s="333"/>
      <c r="T42" s="333"/>
      <c r="U42" s="333"/>
      <c r="V42" s="333"/>
      <c r="W42" s="333"/>
      <c r="X42" s="336"/>
      <c r="Y42" s="336"/>
      <c r="Z42" s="2"/>
      <c r="AA42" s="334"/>
      <c r="AB42" s="335"/>
      <c r="AC42" s="7"/>
    </row>
    <row r="43" spans="1:122" ht="15" customHeight="1" thickBot="1" x14ac:dyDescent="0.25">
      <c r="A43" s="430"/>
      <c r="B43" s="528"/>
      <c r="C43" s="528"/>
      <c r="D43" s="528"/>
      <c r="E43" s="528"/>
      <c r="F43" s="528"/>
      <c r="G43" s="528"/>
      <c r="H43" s="528"/>
      <c r="I43" s="528"/>
      <c r="J43" s="528"/>
      <c r="K43" s="528"/>
      <c r="L43" s="528"/>
      <c r="M43" s="528"/>
      <c r="N43" s="528"/>
      <c r="O43" s="431"/>
      <c r="P43" s="330"/>
      <c r="Q43" s="333"/>
      <c r="R43" s="333"/>
      <c r="S43" s="333"/>
      <c r="T43" s="333"/>
      <c r="U43" s="333"/>
      <c r="V43" s="333"/>
      <c r="W43" s="333"/>
      <c r="X43" s="336"/>
      <c r="Y43" s="336"/>
      <c r="Z43" s="2"/>
      <c r="AA43" s="334"/>
      <c r="AB43" s="335"/>
      <c r="AC43" s="7"/>
    </row>
    <row r="44" spans="1:122" ht="15" customHeight="1" thickTop="1" thickBot="1" x14ac:dyDescent="0.25">
      <c r="A44" s="497" t="s">
        <v>261</v>
      </c>
      <c r="B44" s="497"/>
      <c r="C44" s="497"/>
      <c r="D44" s="497"/>
      <c r="E44" s="497"/>
      <c r="F44" s="497"/>
      <c r="G44" s="497"/>
      <c r="H44" s="497"/>
      <c r="I44" s="497"/>
      <c r="J44" s="497"/>
      <c r="K44" s="497"/>
      <c r="L44" s="497"/>
      <c r="M44" s="497"/>
      <c r="N44" s="497"/>
      <c r="O44" s="497"/>
      <c r="P44" s="330"/>
      <c r="Q44" s="333"/>
      <c r="R44" s="333"/>
      <c r="S44" s="333"/>
      <c r="T44" s="333"/>
      <c r="U44" s="333"/>
      <c r="V44" s="333"/>
      <c r="W44" s="333"/>
      <c r="X44" s="336"/>
      <c r="Y44" s="336"/>
      <c r="Z44" s="2"/>
      <c r="AA44" s="334"/>
      <c r="AB44" s="335"/>
      <c r="AC44" s="7"/>
    </row>
    <row r="45" spans="1:122" ht="15" customHeight="1" thickTop="1" x14ac:dyDescent="0.2">
      <c r="A45" s="498"/>
      <c r="B45" s="498"/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331"/>
      <c r="Q45" s="333"/>
      <c r="R45" s="333"/>
      <c r="S45" s="333"/>
      <c r="T45" s="333"/>
      <c r="U45" s="333"/>
      <c r="V45" s="333"/>
      <c r="W45" s="333"/>
      <c r="X45" s="336"/>
      <c r="Y45" s="336"/>
      <c r="Z45" s="2"/>
      <c r="AA45" s="334"/>
      <c r="AB45" s="335"/>
      <c r="AC45" s="7"/>
    </row>
    <row r="46" spans="1:122" ht="15" customHeight="1" x14ac:dyDescent="0.2">
      <c r="A46" s="499" t="s">
        <v>262</v>
      </c>
      <c r="B46" s="499"/>
      <c r="C46" s="499"/>
      <c r="D46" s="499"/>
      <c r="E46" s="499"/>
      <c r="F46" s="499"/>
      <c r="G46" s="499"/>
      <c r="H46" s="499"/>
      <c r="I46" s="499"/>
      <c r="J46" s="499"/>
      <c r="K46" s="499"/>
      <c r="L46" s="499"/>
      <c r="M46" s="499"/>
      <c r="N46" s="499"/>
      <c r="O46" s="499"/>
      <c r="P46" s="332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M46" s="243"/>
      <c r="AN46" s="243"/>
      <c r="AO46" s="243"/>
      <c r="AP46" s="243"/>
      <c r="AQ46" s="243"/>
      <c r="AR46" s="243"/>
      <c r="AS46" s="243"/>
      <c r="AT46" s="243"/>
      <c r="AU46" s="243"/>
      <c r="AV46" s="243"/>
      <c r="AW46" s="243"/>
      <c r="AX46" s="243"/>
      <c r="AY46" s="243"/>
      <c r="AZ46" s="243"/>
      <c r="BA46" s="243"/>
      <c r="BB46" s="243"/>
      <c r="BC46" s="243"/>
      <c r="BD46" s="243"/>
      <c r="BE46" s="243"/>
      <c r="BF46" s="243"/>
      <c r="BG46" s="243"/>
      <c r="BH46" s="243"/>
      <c r="BI46" s="243"/>
      <c r="BJ46" s="243"/>
      <c r="BK46" s="243"/>
      <c r="BL46" s="243"/>
      <c r="BM46" s="243"/>
      <c r="BN46" s="243"/>
      <c r="BO46" s="243"/>
      <c r="BP46" s="243"/>
      <c r="BQ46" s="243"/>
      <c r="BR46" s="243"/>
      <c r="BS46" s="243"/>
      <c r="BT46" s="243"/>
      <c r="BU46" s="243"/>
      <c r="BV46" s="243"/>
      <c r="BW46" s="243"/>
      <c r="BX46" s="243"/>
      <c r="BY46" s="243"/>
      <c r="BZ46" s="243"/>
      <c r="CA46" s="243"/>
      <c r="CB46" s="243"/>
      <c r="CC46" s="243"/>
      <c r="CD46" s="243"/>
      <c r="CE46" s="243"/>
      <c r="CF46" s="243"/>
      <c r="CG46" s="243"/>
      <c r="CH46" s="243"/>
      <c r="CI46" s="243"/>
      <c r="CJ46" s="243"/>
      <c r="CK46" s="243"/>
      <c r="CL46" s="243"/>
      <c r="CM46" s="243"/>
      <c r="CN46" s="243"/>
      <c r="CO46" s="243"/>
      <c r="CP46" s="243"/>
      <c r="CQ46" s="243"/>
      <c r="CR46" s="243"/>
      <c r="CS46" s="243"/>
      <c r="CT46" s="243"/>
      <c r="CU46" s="243"/>
      <c r="CV46" s="243"/>
      <c r="CW46" s="243"/>
      <c r="CX46" s="243"/>
      <c r="CY46" s="243"/>
      <c r="CZ46" s="243"/>
      <c r="DA46" s="243"/>
      <c r="DB46" s="243"/>
      <c r="DC46" s="243"/>
      <c r="DD46" s="243"/>
      <c r="DE46" s="243"/>
      <c r="DF46" s="243"/>
      <c r="DG46" s="243"/>
      <c r="DH46" s="243"/>
      <c r="DI46" s="243"/>
      <c r="DJ46" s="243"/>
      <c r="DK46" s="243"/>
      <c r="DL46" s="243"/>
      <c r="DM46" s="243"/>
      <c r="DN46" s="243"/>
      <c r="DO46" s="243"/>
      <c r="DP46" s="243"/>
      <c r="DQ46" s="243"/>
      <c r="DR46" s="243"/>
    </row>
    <row r="47" spans="1:122" ht="15" customHeight="1" x14ac:dyDescent="0.2">
      <c r="A47" s="499"/>
      <c r="B47" s="499"/>
      <c r="C47" s="499"/>
      <c r="D47" s="499"/>
      <c r="E47" s="499"/>
      <c r="F47" s="499"/>
      <c r="G47" s="499"/>
      <c r="H47" s="499"/>
      <c r="I47" s="499"/>
      <c r="J47" s="499"/>
      <c r="K47" s="499"/>
      <c r="L47" s="499"/>
      <c r="M47" s="499"/>
      <c r="N47" s="499"/>
      <c r="O47" s="499"/>
      <c r="P47" s="246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M47" s="243"/>
      <c r="AN47" s="243"/>
      <c r="AO47" s="243"/>
      <c r="AP47" s="243"/>
      <c r="AQ47" s="243"/>
      <c r="AR47" s="243"/>
      <c r="AS47" s="243"/>
      <c r="AT47" s="243"/>
      <c r="AU47" s="243"/>
      <c r="AV47" s="243"/>
      <c r="AW47" s="243"/>
      <c r="AX47" s="243"/>
      <c r="AY47" s="243"/>
      <c r="AZ47" s="243"/>
      <c r="BA47" s="243"/>
      <c r="BB47" s="243"/>
      <c r="BC47" s="243"/>
      <c r="BD47" s="243"/>
      <c r="BE47" s="243"/>
      <c r="BF47" s="243"/>
      <c r="BG47" s="243"/>
      <c r="BH47" s="243"/>
      <c r="BI47" s="243"/>
      <c r="BJ47" s="243"/>
      <c r="BK47" s="243"/>
      <c r="BL47" s="243"/>
      <c r="BM47" s="243"/>
      <c r="BN47" s="243"/>
      <c r="BO47" s="243"/>
      <c r="BP47" s="243"/>
      <c r="BQ47" s="243"/>
      <c r="BR47" s="243"/>
      <c r="BS47" s="243"/>
      <c r="BT47" s="243"/>
      <c r="BU47" s="243"/>
      <c r="BV47" s="243"/>
      <c r="BW47" s="243"/>
      <c r="BX47" s="243"/>
      <c r="BY47" s="243"/>
      <c r="BZ47" s="243"/>
      <c r="CA47" s="243"/>
      <c r="CB47" s="243"/>
      <c r="CC47" s="243"/>
      <c r="CD47" s="243"/>
      <c r="CE47" s="243"/>
      <c r="CF47" s="243"/>
      <c r="CG47" s="243"/>
      <c r="CH47" s="243"/>
      <c r="CI47" s="243"/>
      <c r="CJ47" s="243"/>
      <c r="CK47" s="243"/>
      <c r="CL47" s="243"/>
      <c r="CM47" s="243"/>
      <c r="CN47" s="243"/>
      <c r="CO47" s="243"/>
      <c r="CP47" s="243"/>
      <c r="CQ47" s="243"/>
      <c r="CR47" s="243"/>
      <c r="CS47" s="243"/>
      <c r="CT47" s="243"/>
      <c r="CU47" s="243"/>
      <c r="CV47" s="243"/>
      <c r="CW47" s="243"/>
      <c r="CX47" s="243"/>
      <c r="CY47" s="243"/>
      <c r="CZ47" s="243"/>
      <c r="DA47" s="243"/>
      <c r="DB47" s="243"/>
      <c r="DC47" s="243"/>
      <c r="DD47" s="243"/>
      <c r="DE47" s="243"/>
      <c r="DF47" s="243"/>
      <c r="DG47" s="243"/>
      <c r="DH47" s="243"/>
      <c r="DI47" s="243"/>
      <c r="DJ47" s="243"/>
      <c r="DK47" s="243"/>
      <c r="DL47" s="243"/>
      <c r="DM47" s="243"/>
      <c r="DN47" s="243"/>
      <c r="DO47" s="243"/>
      <c r="DP47" s="243"/>
      <c r="DQ47" s="243"/>
      <c r="DR47" s="243"/>
    </row>
    <row r="48" spans="1:122" ht="12" customHeight="1" x14ac:dyDescent="0.2">
      <c r="P48" s="246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M48" s="243"/>
      <c r="AN48" s="243"/>
      <c r="AO48" s="243"/>
      <c r="AP48" s="243"/>
      <c r="AQ48" s="243"/>
      <c r="AR48" s="243"/>
      <c r="AS48" s="243"/>
      <c r="AT48" s="243"/>
      <c r="AU48" s="243"/>
      <c r="AV48" s="243"/>
      <c r="AW48" s="243"/>
      <c r="AX48" s="243"/>
      <c r="AY48" s="243"/>
      <c r="AZ48" s="243"/>
      <c r="BA48" s="243"/>
      <c r="BB48" s="243"/>
      <c r="BC48" s="243"/>
      <c r="BD48" s="243"/>
      <c r="BE48" s="243"/>
      <c r="BF48" s="243"/>
      <c r="BG48" s="243"/>
      <c r="BH48" s="243"/>
      <c r="BI48" s="243"/>
      <c r="BJ48" s="243"/>
      <c r="BK48" s="243"/>
      <c r="BL48" s="243"/>
      <c r="BM48" s="243"/>
      <c r="BN48" s="243"/>
      <c r="BO48" s="243"/>
      <c r="BP48" s="243"/>
      <c r="BQ48" s="243"/>
      <c r="BR48" s="243"/>
      <c r="BS48" s="243"/>
      <c r="BT48" s="243"/>
      <c r="BU48" s="243"/>
      <c r="BV48" s="243"/>
      <c r="BW48" s="243"/>
      <c r="BX48" s="243"/>
      <c r="BY48" s="243"/>
      <c r="BZ48" s="243"/>
      <c r="CA48" s="243"/>
      <c r="CB48" s="243"/>
      <c r="CC48" s="243"/>
      <c r="CD48" s="243"/>
      <c r="CE48" s="243"/>
      <c r="CF48" s="243"/>
      <c r="CG48" s="243"/>
      <c r="CH48" s="243"/>
      <c r="CI48" s="243"/>
      <c r="CJ48" s="243"/>
      <c r="CK48" s="243"/>
      <c r="CL48" s="243"/>
      <c r="CM48" s="243"/>
      <c r="CN48" s="243"/>
      <c r="CO48" s="243"/>
      <c r="CP48" s="243"/>
      <c r="CQ48" s="243"/>
      <c r="CR48" s="243"/>
      <c r="CS48" s="243"/>
      <c r="CT48" s="243"/>
      <c r="CU48" s="243"/>
      <c r="CV48" s="243"/>
      <c r="CW48" s="243"/>
      <c r="CX48" s="243"/>
      <c r="CY48" s="243"/>
      <c r="CZ48" s="243"/>
      <c r="DA48" s="243"/>
      <c r="DB48" s="243"/>
      <c r="DC48" s="243"/>
      <c r="DD48" s="243"/>
      <c r="DE48" s="243"/>
      <c r="DF48" s="243"/>
      <c r="DG48" s="243"/>
      <c r="DH48" s="243"/>
      <c r="DI48" s="243"/>
      <c r="DJ48" s="243"/>
      <c r="DK48" s="243"/>
      <c r="DL48" s="243"/>
      <c r="DM48" s="243"/>
      <c r="DN48" s="243"/>
      <c r="DO48" s="243"/>
      <c r="DP48" s="243"/>
      <c r="DQ48" s="243"/>
      <c r="DR48" s="243"/>
    </row>
    <row r="49" spans="1:122" ht="18" customHeight="1" x14ac:dyDescent="0.2"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  <c r="CY49" s="243"/>
      <c r="CZ49" s="243"/>
      <c r="DA49" s="243"/>
      <c r="DB49" s="243"/>
      <c r="DC49" s="243"/>
      <c r="DD49" s="243"/>
      <c r="DE49" s="243"/>
      <c r="DF49" s="243"/>
      <c r="DG49" s="243"/>
      <c r="DH49" s="243"/>
      <c r="DI49" s="243"/>
      <c r="DJ49" s="243"/>
      <c r="DK49" s="243"/>
      <c r="DL49" s="243"/>
      <c r="DM49" s="243"/>
      <c r="DN49" s="243"/>
      <c r="DO49" s="243"/>
      <c r="DP49" s="243"/>
      <c r="DQ49" s="243"/>
      <c r="DR49" s="243"/>
    </row>
    <row r="50" spans="1:122" ht="27.95" customHeight="1" x14ac:dyDescent="0.2"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  <c r="CY50" s="243"/>
      <c r="CZ50" s="243"/>
      <c r="DA50" s="243"/>
      <c r="DB50" s="243"/>
      <c r="DC50" s="243"/>
      <c r="DD50" s="243"/>
      <c r="DE50" s="243"/>
      <c r="DF50" s="243"/>
      <c r="DG50" s="243"/>
      <c r="DH50" s="243"/>
      <c r="DI50" s="243"/>
      <c r="DJ50" s="243"/>
      <c r="DK50" s="243"/>
      <c r="DL50" s="243"/>
      <c r="DM50" s="243"/>
      <c r="DN50" s="243"/>
      <c r="DO50" s="243"/>
      <c r="DP50" s="243"/>
      <c r="DQ50" s="243"/>
      <c r="DR50" s="243"/>
    </row>
    <row r="51" spans="1:122" ht="27.95" customHeight="1" x14ac:dyDescent="0.2"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243"/>
      <c r="AV51" s="243"/>
      <c r="AW51" s="243"/>
      <c r="AX51" s="243"/>
      <c r="AY51" s="243"/>
      <c r="AZ51" s="243"/>
      <c r="BA51" s="243"/>
      <c r="BB51" s="243"/>
      <c r="BC51" s="243"/>
      <c r="BD51" s="243"/>
      <c r="BE51" s="243"/>
      <c r="BF51" s="243"/>
      <c r="BG51" s="243"/>
      <c r="BH51" s="243"/>
      <c r="BI51" s="243"/>
      <c r="BJ51" s="243"/>
      <c r="BK51" s="243"/>
      <c r="BL51" s="243"/>
      <c r="BM51" s="243"/>
      <c r="BN51" s="243"/>
      <c r="BO51" s="243"/>
      <c r="BP51" s="243"/>
      <c r="BQ51" s="243"/>
      <c r="BR51" s="243"/>
      <c r="BS51" s="243"/>
      <c r="BT51" s="243"/>
      <c r="BU51" s="243"/>
      <c r="BV51" s="243"/>
      <c r="BW51" s="243"/>
      <c r="BX51" s="243"/>
      <c r="BY51" s="243"/>
      <c r="BZ51" s="243"/>
      <c r="CA51" s="243"/>
      <c r="CB51" s="243"/>
      <c r="CC51" s="243"/>
      <c r="CD51" s="243"/>
      <c r="CE51" s="243"/>
      <c r="CF51" s="243"/>
      <c r="CG51" s="243"/>
      <c r="CH51" s="243"/>
      <c r="CI51" s="243"/>
      <c r="CJ51" s="243"/>
      <c r="CK51" s="243"/>
      <c r="CL51" s="243"/>
      <c r="CM51" s="243"/>
      <c r="CN51" s="243"/>
      <c r="CO51" s="243"/>
      <c r="CP51" s="243"/>
      <c r="CQ51" s="243"/>
      <c r="CR51" s="243"/>
      <c r="CS51" s="243"/>
      <c r="CT51" s="243"/>
      <c r="CU51" s="243"/>
      <c r="CV51" s="243"/>
      <c r="CW51" s="243"/>
      <c r="CX51" s="243"/>
      <c r="CY51" s="243"/>
      <c r="CZ51" s="243"/>
      <c r="DA51" s="243"/>
      <c r="DB51" s="243"/>
      <c r="DC51" s="243"/>
      <c r="DD51" s="243"/>
      <c r="DE51" s="243"/>
      <c r="DF51" s="243"/>
      <c r="DG51" s="243"/>
      <c r="DH51" s="243"/>
      <c r="DI51" s="243"/>
      <c r="DJ51" s="243"/>
      <c r="DK51" s="243"/>
      <c r="DL51" s="243"/>
      <c r="DM51" s="243"/>
      <c r="DN51" s="243"/>
      <c r="DO51" s="243"/>
      <c r="DP51" s="243"/>
      <c r="DQ51" s="243"/>
      <c r="DR51" s="243"/>
    </row>
    <row r="52" spans="1:122" ht="12.95" customHeight="1" x14ac:dyDescent="0.2">
      <c r="A52" s="249"/>
      <c r="B52" s="249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43"/>
      <c r="AU52" s="243"/>
      <c r="AV52" s="243"/>
      <c r="AW52" s="243"/>
      <c r="AX52" s="243"/>
      <c r="AY52" s="243"/>
      <c r="AZ52" s="243"/>
      <c r="BA52" s="243"/>
      <c r="BB52" s="243"/>
      <c r="BC52" s="243"/>
      <c r="BD52" s="243"/>
      <c r="BE52" s="243"/>
      <c r="BF52" s="243"/>
      <c r="BG52" s="243"/>
      <c r="BH52" s="243"/>
      <c r="BI52" s="243"/>
      <c r="BJ52" s="243"/>
      <c r="BK52" s="243"/>
      <c r="BL52" s="243"/>
      <c r="BM52" s="243"/>
      <c r="BN52" s="243"/>
      <c r="BO52" s="243"/>
      <c r="BP52" s="243"/>
      <c r="BQ52" s="243"/>
      <c r="BR52" s="243"/>
      <c r="BS52" s="243"/>
      <c r="BT52" s="243"/>
      <c r="BU52" s="243"/>
      <c r="BV52" s="243"/>
      <c r="BW52" s="243"/>
      <c r="BX52" s="243"/>
      <c r="BY52" s="243"/>
      <c r="BZ52" s="243"/>
      <c r="CA52" s="243"/>
      <c r="CB52" s="243"/>
      <c r="CC52" s="243"/>
      <c r="CD52" s="243"/>
      <c r="CE52" s="243"/>
      <c r="CF52" s="243"/>
      <c r="CG52" s="243"/>
      <c r="CH52" s="243"/>
      <c r="CI52" s="243"/>
      <c r="CJ52" s="243"/>
      <c r="CK52" s="243"/>
      <c r="CL52" s="243"/>
      <c r="CM52" s="243"/>
      <c r="CN52" s="243"/>
      <c r="CO52" s="243"/>
      <c r="CP52" s="243"/>
      <c r="CQ52" s="243"/>
      <c r="CR52" s="243"/>
      <c r="CS52" s="243"/>
      <c r="CT52" s="243"/>
      <c r="CU52" s="243"/>
      <c r="CV52" s="243"/>
      <c r="CW52" s="243"/>
      <c r="CX52" s="243"/>
      <c r="CY52" s="243"/>
      <c r="CZ52" s="243"/>
      <c r="DA52" s="243"/>
      <c r="DB52" s="243"/>
      <c r="DC52" s="243"/>
      <c r="DD52" s="243"/>
      <c r="DE52" s="243"/>
      <c r="DF52" s="243"/>
      <c r="DG52" s="243"/>
      <c r="DH52" s="243"/>
      <c r="DI52" s="243"/>
      <c r="DJ52" s="243"/>
      <c r="DK52" s="243"/>
      <c r="DL52" s="243"/>
      <c r="DM52" s="243"/>
      <c r="DN52" s="243"/>
      <c r="DO52" s="243"/>
      <c r="DP52" s="243"/>
      <c r="DQ52" s="243"/>
      <c r="DR52" s="243"/>
    </row>
    <row r="53" spans="1:122" ht="12" customHeight="1" x14ac:dyDescent="0.2">
      <c r="A53" s="495"/>
      <c r="B53" s="496"/>
      <c r="C53" s="496"/>
      <c r="D53" s="257"/>
      <c r="P53" s="243"/>
      <c r="Q53" s="243"/>
      <c r="R53" s="243"/>
      <c r="S53" s="243"/>
      <c r="T53" s="243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M53" s="243"/>
      <c r="AN53" s="243"/>
      <c r="AO53" s="243"/>
      <c r="AP53" s="243"/>
      <c r="AQ53" s="243"/>
      <c r="AR53" s="243"/>
      <c r="AS53" s="243"/>
      <c r="AT53" s="243"/>
      <c r="AU53" s="243"/>
      <c r="AV53" s="243"/>
      <c r="AW53" s="243"/>
      <c r="AX53" s="243"/>
      <c r="AY53" s="243"/>
      <c r="AZ53" s="243"/>
      <c r="BA53" s="243"/>
      <c r="BB53" s="243"/>
      <c r="BC53" s="243"/>
      <c r="BD53" s="243"/>
      <c r="BE53" s="243"/>
      <c r="BF53" s="243"/>
      <c r="BG53" s="243"/>
      <c r="BH53" s="243"/>
      <c r="BI53" s="243"/>
      <c r="BJ53" s="243"/>
      <c r="BK53" s="243"/>
      <c r="BL53" s="243"/>
      <c r="BM53" s="243"/>
      <c r="BN53" s="243"/>
      <c r="BO53" s="243"/>
      <c r="BP53" s="243"/>
      <c r="BQ53" s="243"/>
      <c r="BR53" s="243"/>
      <c r="BS53" s="243"/>
      <c r="BT53" s="243"/>
      <c r="BU53" s="243"/>
      <c r="BV53" s="243"/>
      <c r="BW53" s="243"/>
      <c r="BX53" s="243"/>
      <c r="BY53" s="243"/>
      <c r="BZ53" s="243"/>
      <c r="CA53" s="243"/>
      <c r="CB53" s="243"/>
      <c r="CC53" s="243"/>
      <c r="CD53" s="243"/>
      <c r="CE53" s="243"/>
      <c r="CF53" s="243"/>
      <c r="CG53" s="243"/>
      <c r="CH53" s="243"/>
      <c r="CI53" s="243"/>
      <c r="CJ53" s="243"/>
      <c r="CK53" s="243"/>
      <c r="CL53" s="243"/>
      <c r="CM53" s="243"/>
      <c r="CN53" s="243"/>
      <c r="CO53" s="243"/>
      <c r="CP53" s="243"/>
      <c r="CQ53" s="243"/>
      <c r="CR53" s="243"/>
      <c r="CS53" s="243"/>
      <c r="CT53" s="243"/>
      <c r="CU53" s="243"/>
      <c r="CV53" s="243"/>
      <c r="CW53" s="243"/>
      <c r="CX53" s="243"/>
      <c r="CY53" s="243"/>
      <c r="CZ53" s="243"/>
      <c r="DA53" s="243"/>
      <c r="DB53" s="243"/>
      <c r="DC53" s="243"/>
      <c r="DD53" s="243"/>
      <c r="DE53" s="243"/>
      <c r="DF53" s="243"/>
      <c r="DG53" s="243"/>
      <c r="DH53" s="243"/>
      <c r="DI53" s="243"/>
      <c r="DJ53" s="243"/>
      <c r="DK53" s="243"/>
      <c r="DL53" s="243"/>
      <c r="DM53" s="243"/>
      <c r="DN53" s="243"/>
      <c r="DO53" s="243"/>
      <c r="DP53" s="243"/>
      <c r="DQ53" s="243"/>
      <c r="DR53" s="243"/>
    </row>
    <row r="54" spans="1:122" ht="15.75" x14ac:dyDescent="0.2">
      <c r="A54" s="495"/>
      <c r="B54" s="496"/>
      <c r="C54" s="496"/>
      <c r="D54" s="245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M54" s="243"/>
      <c r="AN54" s="243"/>
      <c r="AO54" s="243"/>
      <c r="AP54" s="243"/>
      <c r="AQ54" s="243"/>
      <c r="AR54" s="243"/>
      <c r="AS54" s="243"/>
      <c r="AT54" s="243"/>
      <c r="AU54" s="243"/>
      <c r="AV54" s="243"/>
      <c r="AW54" s="243"/>
      <c r="AX54" s="243"/>
      <c r="AY54" s="243"/>
      <c r="AZ54" s="243"/>
      <c r="BA54" s="243"/>
      <c r="BB54" s="243"/>
      <c r="BC54" s="243"/>
      <c r="BD54" s="243"/>
      <c r="BE54" s="243"/>
      <c r="BF54" s="243"/>
      <c r="BG54" s="243"/>
      <c r="BH54" s="243"/>
      <c r="BI54" s="243"/>
      <c r="BJ54" s="243"/>
      <c r="BK54" s="243"/>
      <c r="BL54" s="243"/>
      <c r="BM54" s="243"/>
      <c r="BN54" s="243"/>
      <c r="BO54" s="243"/>
      <c r="BP54" s="243"/>
      <c r="BQ54" s="243"/>
      <c r="BR54" s="243"/>
      <c r="BS54" s="243"/>
      <c r="BT54" s="243"/>
      <c r="BU54" s="243"/>
      <c r="BV54" s="243"/>
      <c r="BW54" s="243"/>
      <c r="BX54" s="243"/>
      <c r="BY54" s="243"/>
      <c r="BZ54" s="243"/>
      <c r="CA54" s="243"/>
      <c r="CB54" s="243"/>
      <c r="CC54" s="243"/>
      <c r="CD54" s="243"/>
      <c r="CE54" s="243"/>
      <c r="CF54" s="243"/>
      <c r="CG54" s="243"/>
      <c r="CH54" s="243"/>
      <c r="CI54" s="243"/>
      <c r="CJ54" s="243"/>
      <c r="CK54" s="243"/>
      <c r="CL54" s="243"/>
      <c r="CM54" s="243"/>
      <c r="CN54" s="243"/>
      <c r="CO54" s="243"/>
      <c r="CP54" s="243"/>
      <c r="CQ54" s="243"/>
      <c r="CR54" s="243"/>
      <c r="CS54" s="243"/>
      <c r="CT54" s="243"/>
      <c r="CU54" s="243"/>
      <c r="CV54" s="243"/>
      <c r="CW54" s="243"/>
      <c r="CX54" s="243"/>
      <c r="CY54" s="243"/>
      <c r="CZ54" s="243"/>
      <c r="DA54" s="243"/>
      <c r="DB54" s="243"/>
      <c r="DC54" s="243"/>
      <c r="DD54" s="243"/>
      <c r="DE54" s="243"/>
      <c r="DF54" s="243"/>
      <c r="DG54" s="243"/>
      <c r="DH54" s="243"/>
      <c r="DI54" s="243"/>
      <c r="DJ54" s="243"/>
      <c r="DK54" s="243"/>
      <c r="DL54" s="243"/>
      <c r="DM54" s="243"/>
      <c r="DN54" s="243"/>
      <c r="DO54" s="243"/>
      <c r="DP54" s="243"/>
      <c r="DQ54" s="243"/>
      <c r="DR54" s="243"/>
    </row>
    <row r="55" spans="1:122" ht="15.75" x14ac:dyDescent="0.2">
      <c r="A55" s="495"/>
      <c r="B55" s="496"/>
      <c r="C55" s="496"/>
      <c r="D55" s="245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M55" s="243"/>
      <c r="AN55" s="243"/>
      <c r="AO55" s="243"/>
      <c r="AP55" s="243"/>
      <c r="AQ55" s="243"/>
      <c r="AR55" s="243"/>
      <c r="AS55" s="243"/>
      <c r="AT55" s="243"/>
      <c r="AU55" s="243"/>
      <c r="AV55" s="243"/>
      <c r="AW55" s="243"/>
      <c r="AX55" s="243"/>
      <c r="AY55" s="243"/>
      <c r="AZ55" s="243"/>
      <c r="BA55" s="243"/>
      <c r="BB55" s="243"/>
      <c r="BC55" s="243"/>
      <c r="BD55" s="243"/>
      <c r="BE55" s="243"/>
      <c r="BF55" s="243"/>
      <c r="BG55" s="243"/>
      <c r="BH55" s="243"/>
      <c r="BI55" s="243"/>
      <c r="BJ55" s="243"/>
      <c r="BK55" s="243"/>
      <c r="BL55" s="243"/>
      <c r="BM55" s="243"/>
      <c r="BN55" s="243"/>
      <c r="BO55" s="243"/>
      <c r="BP55" s="243"/>
      <c r="BQ55" s="243"/>
      <c r="BR55" s="243"/>
      <c r="BS55" s="243"/>
      <c r="BT55" s="243"/>
      <c r="BU55" s="243"/>
      <c r="BV55" s="243"/>
      <c r="BW55" s="243"/>
      <c r="BX55" s="243"/>
      <c r="BY55" s="243"/>
      <c r="BZ55" s="243"/>
      <c r="CA55" s="243"/>
      <c r="CB55" s="243"/>
      <c r="CC55" s="243"/>
      <c r="CD55" s="243"/>
      <c r="CE55" s="243"/>
      <c r="CF55" s="243"/>
      <c r="CG55" s="243"/>
      <c r="CH55" s="243"/>
      <c r="CI55" s="243"/>
      <c r="CJ55" s="243"/>
      <c r="CK55" s="243"/>
      <c r="CL55" s="243"/>
      <c r="CM55" s="243"/>
      <c r="CN55" s="243"/>
      <c r="CO55" s="243"/>
      <c r="CP55" s="243"/>
      <c r="CQ55" s="243"/>
      <c r="CR55" s="243"/>
      <c r="CS55" s="243"/>
      <c r="CT55" s="243"/>
      <c r="CU55" s="243"/>
      <c r="CV55" s="243"/>
      <c r="CW55" s="243"/>
      <c r="CX55" s="243"/>
      <c r="CY55" s="243"/>
      <c r="CZ55" s="243"/>
      <c r="DA55" s="243"/>
      <c r="DB55" s="243"/>
      <c r="DC55" s="243"/>
      <c r="DD55" s="243"/>
      <c r="DE55" s="243"/>
      <c r="DF55" s="243"/>
      <c r="DG55" s="243"/>
      <c r="DH55" s="243"/>
      <c r="DI55" s="243"/>
      <c r="DJ55" s="243"/>
      <c r="DK55" s="243"/>
      <c r="DL55" s="243"/>
      <c r="DM55" s="243"/>
      <c r="DN55" s="243"/>
      <c r="DO55" s="243"/>
      <c r="DP55" s="243"/>
      <c r="DQ55" s="243"/>
      <c r="DR55" s="243"/>
    </row>
    <row r="56" spans="1:122" ht="15.75" x14ac:dyDescent="0.2">
      <c r="A56" s="495"/>
      <c r="B56" s="496"/>
      <c r="C56" s="496"/>
      <c r="D56" s="245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M56" s="243"/>
      <c r="AN56" s="243"/>
      <c r="AO56" s="243"/>
      <c r="AP56" s="243"/>
      <c r="AQ56" s="243"/>
      <c r="AR56" s="243"/>
      <c r="AS56" s="243"/>
      <c r="AT56" s="243"/>
      <c r="AU56" s="243"/>
      <c r="AV56" s="243"/>
      <c r="AW56" s="243"/>
      <c r="AX56" s="243"/>
      <c r="AY56" s="243"/>
      <c r="AZ56" s="243"/>
      <c r="BA56" s="243"/>
      <c r="BB56" s="243"/>
      <c r="BC56" s="243"/>
      <c r="BD56" s="243"/>
      <c r="BE56" s="243"/>
      <c r="BF56" s="243"/>
      <c r="BG56" s="243"/>
      <c r="BH56" s="243"/>
      <c r="BI56" s="243"/>
      <c r="BJ56" s="243"/>
      <c r="BK56" s="243"/>
      <c r="BL56" s="243"/>
      <c r="BM56" s="243"/>
      <c r="BN56" s="243"/>
      <c r="BO56" s="243"/>
      <c r="BP56" s="243"/>
      <c r="BQ56" s="243"/>
      <c r="BR56" s="243"/>
      <c r="BS56" s="243"/>
      <c r="BT56" s="243"/>
      <c r="BU56" s="243"/>
      <c r="BV56" s="243"/>
      <c r="BW56" s="243"/>
      <c r="BX56" s="243"/>
      <c r="BY56" s="243"/>
      <c r="BZ56" s="243"/>
      <c r="CA56" s="243"/>
      <c r="CB56" s="243"/>
      <c r="CC56" s="243"/>
      <c r="CD56" s="243"/>
      <c r="CE56" s="243"/>
      <c r="CF56" s="243"/>
      <c r="CG56" s="243"/>
      <c r="CH56" s="243"/>
      <c r="CI56" s="243"/>
      <c r="CJ56" s="243"/>
      <c r="CK56" s="243"/>
      <c r="CL56" s="243"/>
      <c r="CM56" s="243"/>
      <c r="CN56" s="243"/>
      <c r="CO56" s="243"/>
      <c r="CP56" s="243"/>
      <c r="CQ56" s="243"/>
      <c r="CR56" s="243"/>
      <c r="CS56" s="243"/>
      <c r="CT56" s="243"/>
      <c r="CU56" s="243"/>
      <c r="CV56" s="243"/>
      <c r="CW56" s="243"/>
      <c r="CX56" s="243"/>
      <c r="CY56" s="243"/>
      <c r="CZ56" s="243"/>
      <c r="DA56" s="243"/>
      <c r="DB56" s="243"/>
      <c r="DC56" s="243"/>
      <c r="DD56" s="243"/>
      <c r="DE56" s="243"/>
      <c r="DF56" s="243"/>
      <c r="DG56" s="243"/>
      <c r="DH56" s="243"/>
      <c r="DI56" s="243"/>
      <c r="DJ56" s="243"/>
      <c r="DK56" s="243"/>
      <c r="DL56" s="243"/>
      <c r="DM56" s="243"/>
      <c r="DN56" s="243"/>
      <c r="DO56" s="243"/>
      <c r="DP56" s="243"/>
      <c r="DQ56" s="243"/>
      <c r="DR56" s="243"/>
    </row>
    <row r="57" spans="1:122" ht="15.75" x14ac:dyDescent="0.2">
      <c r="A57" s="495"/>
      <c r="B57" s="496"/>
      <c r="C57" s="496"/>
      <c r="D57" s="245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  <c r="AM57" s="243"/>
      <c r="AN57" s="243"/>
      <c r="AO57" s="243"/>
      <c r="AP57" s="243"/>
      <c r="AQ57" s="243"/>
      <c r="AR57" s="243"/>
      <c r="AS57" s="243"/>
      <c r="AT57" s="243"/>
      <c r="AU57" s="243"/>
      <c r="AV57" s="243"/>
      <c r="AW57" s="243"/>
      <c r="AX57" s="243"/>
      <c r="AY57" s="243"/>
      <c r="AZ57" s="243"/>
      <c r="BA57" s="243"/>
      <c r="BB57" s="243"/>
      <c r="BC57" s="243"/>
      <c r="BD57" s="243"/>
      <c r="BE57" s="243"/>
      <c r="BF57" s="243"/>
      <c r="BG57" s="243"/>
      <c r="BH57" s="243"/>
      <c r="BI57" s="243"/>
      <c r="BJ57" s="243"/>
      <c r="BK57" s="243"/>
      <c r="BL57" s="243"/>
      <c r="BM57" s="243"/>
      <c r="BN57" s="243"/>
      <c r="BO57" s="243"/>
      <c r="BP57" s="243"/>
      <c r="BQ57" s="243"/>
      <c r="BR57" s="243"/>
      <c r="BS57" s="243"/>
      <c r="BT57" s="243"/>
      <c r="BU57" s="243"/>
      <c r="BV57" s="243"/>
      <c r="BW57" s="243"/>
      <c r="BX57" s="243"/>
      <c r="BY57" s="243"/>
      <c r="BZ57" s="243"/>
      <c r="CA57" s="243"/>
      <c r="CB57" s="243"/>
      <c r="CC57" s="243"/>
      <c r="CD57" s="243"/>
      <c r="CE57" s="243"/>
      <c r="CF57" s="243"/>
      <c r="CG57" s="243"/>
      <c r="CH57" s="243"/>
      <c r="CI57" s="243"/>
      <c r="CJ57" s="243"/>
      <c r="CK57" s="243"/>
      <c r="CL57" s="243"/>
      <c r="CM57" s="243"/>
      <c r="CN57" s="243"/>
      <c r="CO57" s="243"/>
      <c r="CP57" s="243"/>
      <c r="CQ57" s="243"/>
      <c r="CR57" s="243"/>
      <c r="CS57" s="243"/>
      <c r="CT57" s="243"/>
      <c r="CU57" s="243"/>
      <c r="CV57" s="243"/>
      <c r="CW57" s="243"/>
      <c r="CX57" s="243"/>
      <c r="CY57" s="243"/>
      <c r="CZ57" s="243"/>
      <c r="DA57" s="243"/>
      <c r="DB57" s="243"/>
      <c r="DC57" s="243"/>
      <c r="DD57" s="243"/>
      <c r="DE57" s="243"/>
      <c r="DF57" s="243"/>
      <c r="DG57" s="243"/>
      <c r="DH57" s="243"/>
      <c r="DI57" s="243"/>
      <c r="DJ57" s="243"/>
      <c r="DK57" s="243"/>
      <c r="DL57" s="243"/>
      <c r="DM57" s="243"/>
      <c r="DN57" s="243"/>
      <c r="DO57" s="243"/>
      <c r="DP57" s="243"/>
      <c r="DQ57" s="243"/>
      <c r="DR57" s="243"/>
    </row>
    <row r="58" spans="1:122" ht="15.75" x14ac:dyDescent="0.2">
      <c r="A58" s="495"/>
      <c r="B58" s="496"/>
      <c r="C58" s="496"/>
      <c r="D58" s="245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  <c r="AM58" s="243"/>
      <c r="AN58" s="243"/>
      <c r="AO58" s="243"/>
      <c r="AP58" s="243"/>
      <c r="AQ58" s="243"/>
      <c r="AR58" s="243"/>
      <c r="AS58" s="243"/>
      <c r="AT58" s="243"/>
      <c r="AU58" s="243"/>
      <c r="AV58" s="243"/>
      <c r="AW58" s="243"/>
      <c r="AX58" s="243"/>
      <c r="AY58" s="243"/>
      <c r="AZ58" s="243"/>
      <c r="BA58" s="243"/>
      <c r="BB58" s="243"/>
      <c r="BC58" s="243"/>
      <c r="BD58" s="243"/>
      <c r="BE58" s="243"/>
      <c r="BF58" s="243"/>
      <c r="BG58" s="243"/>
      <c r="BH58" s="243"/>
      <c r="BI58" s="243"/>
      <c r="BJ58" s="243"/>
      <c r="BK58" s="243"/>
      <c r="BL58" s="243"/>
      <c r="BM58" s="243"/>
      <c r="BN58" s="243"/>
      <c r="BO58" s="243"/>
      <c r="BP58" s="243"/>
      <c r="BQ58" s="243"/>
      <c r="BR58" s="243"/>
      <c r="BS58" s="243"/>
      <c r="BT58" s="243"/>
      <c r="BU58" s="243"/>
      <c r="BV58" s="243"/>
      <c r="BW58" s="243"/>
      <c r="BX58" s="243"/>
      <c r="BY58" s="243"/>
      <c r="BZ58" s="243"/>
      <c r="CA58" s="243"/>
      <c r="CB58" s="243"/>
      <c r="CC58" s="243"/>
      <c r="CD58" s="243"/>
      <c r="CE58" s="243"/>
      <c r="CF58" s="243"/>
      <c r="CG58" s="243"/>
      <c r="CH58" s="243"/>
      <c r="CI58" s="243"/>
      <c r="CJ58" s="243"/>
      <c r="CK58" s="243"/>
      <c r="CL58" s="243"/>
      <c r="CM58" s="243"/>
      <c r="CN58" s="243"/>
      <c r="CO58" s="243"/>
      <c r="CP58" s="243"/>
      <c r="CQ58" s="243"/>
      <c r="CR58" s="243"/>
      <c r="CS58" s="243"/>
      <c r="CT58" s="243"/>
      <c r="CU58" s="243"/>
      <c r="CV58" s="243"/>
      <c r="CW58" s="243"/>
      <c r="CX58" s="243"/>
      <c r="CY58" s="243"/>
      <c r="CZ58" s="243"/>
      <c r="DA58" s="243"/>
      <c r="DB58" s="243"/>
      <c r="DC58" s="243"/>
      <c r="DD58" s="243"/>
      <c r="DE58" s="243"/>
      <c r="DF58" s="243"/>
      <c r="DG58" s="243"/>
      <c r="DH58" s="243"/>
      <c r="DI58" s="243"/>
      <c r="DJ58" s="243"/>
      <c r="DK58" s="243"/>
      <c r="DL58" s="243"/>
      <c r="DM58" s="243"/>
      <c r="DN58" s="243"/>
      <c r="DO58" s="243"/>
      <c r="DP58" s="243"/>
      <c r="DQ58" s="243"/>
      <c r="DR58" s="243"/>
    </row>
    <row r="59" spans="1:122" ht="15.75" x14ac:dyDescent="0.2">
      <c r="A59" s="495"/>
      <c r="B59" s="496"/>
      <c r="C59" s="496"/>
      <c r="D59" s="245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  <c r="AM59" s="243"/>
      <c r="AN59" s="243"/>
      <c r="AO59" s="243"/>
      <c r="AP59" s="243"/>
      <c r="AQ59" s="243"/>
      <c r="AR59" s="243"/>
      <c r="AS59" s="243"/>
      <c r="AT59" s="243"/>
      <c r="AU59" s="243"/>
      <c r="AV59" s="243"/>
      <c r="AW59" s="243"/>
      <c r="AX59" s="243"/>
      <c r="AY59" s="243"/>
      <c r="AZ59" s="243"/>
      <c r="BA59" s="243"/>
      <c r="BB59" s="243"/>
      <c r="BC59" s="243"/>
      <c r="BD59" s="243"/>
      <c r="BE59" s="243"/>
      <c r="BF59" s="243"/>
      <c r="BG59" s="243"/>
      <c r="BH59" s="243"/>
      <c r="BI59" s="243"/>
      <c r="BJ59" s="243"/>
      <c r="BK59" s="243"/>
      <c r="BL59" s="243"/>
      <c r="BM59" s="243"/>
      <c r="BN59" s="243"/>
      <c r="BO59" s="243"/>
      <c r="BP59" s="243"/>
      <c r="BQ59" s="243"/>
      <c r="BR59" s="243"/>
      <c r="BS59" s="243"/>
      <c r="BT59" s="243"/>
      <c r="BU59" s="243"/>
      <c r="BV59" s="243"/>
      <c r="BW59" s="243"/>
      <c r="BX59" s="243"/>
      <c r="BY59" s="243"/>
      <c r="BZ59" s="243"/>
      <c r="CA59" s="243"/>
      <c r="CB59" s="243"/>
      <c r="CC59" s="243"/>
      <c r="CD59" s="243"/>
      <c r="CE59" s="243"/>
      <c r="CF59" s="243"/>
      <c r="CG59" s="243"/>
      <c r="CH59" s="243"/>
      <c r="CI59" s="243"/>
      <c r="CJ59" s="243"/>
      <c r="CK59" s="243"/>
      <c r="CL59" s="243"/>
      <c r="CM59" s="243"/>
      <c r="CN59" s="243"/>
      <c r="CO59" s="243"/>
      <c r="CP59" s="243"/>
      <c r="CQ59" s="243"/>
      <c r="CR59" s="243"/>
      <c r="CS59" s="243"/>
      <c r="CT59" s="243"/>
      <c r="CU59" s="243"/>
      <c r="CV59" s="243"/>
      <c r="CW59" s="243"/>
      <c r="CX59" s="243"/>
      <c r="CY59" s="243"/>
      <c r="CZ59" s="243"/>
      <c r="DA59" s="243"/>
      <c r="DB59" s="243"/>
      <c r="DC59" s="243"/>
      <c r="DD59" s="243"/>
      <c r="DE59" s="243"/>
      <c r="DF59" s="243"/>
      <c r="DG59" s="243"/>
      <c r="DH59" s="243"/>
      <c r="DI59" s="243"/>
      <c r="DJ59" s="243"/>
      <c r="DK59" s="243"/>
      <c r="DL59" s="243"/>
      <c r="DM59" s="243"/>
      <c r="DN59" s="243"/>
      <c r="DO59" s="243"/>
      <c r="DP59" s="243"/>
      <c r="DQ59" s="243"/>
      <c r="DR59" s="243"/>
    </row>
    <row r="60" spans="1:122" ht="15.75" x14ac:dyDescent="0.2">
      <c r="A60" s="495"/>
      <c r="B60" s="496"/>
      <c r="C60" s="496"/>
      <c r="D60" s="245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  <c r="AM60" s="243"/>
      <c r="AN60" s="243"/>
      <c r="AO60" s="243"/>
      <c r="AP60" s="243"/>
      <c r="AQ60" s="243"/>
      <c r="AR60" s="243"/>
      <c r="AS60" s="243"/>
      <c r="AT60" s="243"/>
      <c r="AU60" s="243"/>
      <c r="AV60" s="243"/>
      <c r="AW60" s="243"/>
      <c r="AX60" s="243"/>
      <c r="AY60" s="243"/>
      <c r="AZ60" s="243"/>
      <c r="BA60" s="243"/>
      <c r="BB60" s="243"/>
      <c r="BC60" s="243"/>
      <c r="BD60" s="243"/>
      <c r="BE60" s="243"/>
      <c r="BF60" s="243"/>
      <c r="BG60" s="243"/>
      <c r="BH60" s="243"/>
      <c r="BI60" s="243"/>
      <c r="BJ60" s="243"/>
      <c r="BK60" s="243"/>
      <c r="BL60" s="243"/>
      <c r="BM60" s="243"/>
      <c r="BN60" s="243"/>
      <c r="BO60" s="243"/>
      <c r="BP60" s="243"/>
      <c r="BQ60" s="243"/>
      <c r="BR60" s="243"/>
      <c r="BS60" s="243"/>
      <c r="BT60" s="243"/>
      <c r="BU60" s="243"/>
      <c r="BV60" s="243"/>
      <c r="BW60" s="243"/>
      <c r="BX60" s="243"/>
      <c r="BY60" s="243"/>
      <c r="BZ60" s="243"/>
      <c r="CA60" s="243"/>
      <c r="CB60" s="243"/>
      <c r="CC60" s="243"/>
      <c r="CD60" s="243"/>
      <c r="CE60" s="243"/>
      <c r="CF60" s="243"/>
      <c r="CG60" s="243"/>
      <c r="CH60" s="243"/>
      <c r="CI60" s="243"/>
      <c r="CJ60" s="243"/>
      <c r="CK60" s="243"/>
      <c r="CL60" s="243"/>
      <c r="CM60" s="243"/>
      <c r="CN60" s="243"/>
      <c r="CO60" s="243"/>
      <c r="CP60" s="243"/>
      <c r="CQ60" s="243"/>
      <c r="CR60" s="243"/>
      <c r="CS60" s="243"/>
      <c r="CT60" s="243"/>
      <c r="CU60" s="243"/>
      <c r="CV60" s="243"/>
      <c r="CW60" s="243"/>
      <c r="CX60" s="243"/>
      <c r="CY60" s="243"/>
      <c r="CZ60" s="243"/>
      <c r="DA60" s="243"/>
      <c r="DB60" s="243"/>
      <c r="DC60" s="243"/>
      <c r="DD60" s="243"/>
      <c r="DE60" s="243"/>
      <c r="DF60" s="243"/>
      <c r="DG60" s="243"/>
      <c r="DH60" s="243"/>
      <c r="DI60" s="243"/>
      <c r="DJ60" s="243"/>
      <c r="DK60" s="243"/>
      <c r="DL60" s="243"/>
      <c r="DM60" s="243"/>
      <c r="DN60" s="243"/>
      <c r="DO60" s="243"/>
      <c r="DP60" s="243"/>
      <c r="DQ60" s="243"/>
      <c r="DR60" s="243"/>
    </row>
    <row r="61" spans="1:122" ht="15.75" x14ac:dyDescent="0.2">
      <c r="A61" s="495"/>
      <c r="B61" s="496"/>
      <c r="C61" s="496"/>
      <c r="D61" s="245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M61" s="243"/>
      <c r="AN61" s="243"/>
      <c r="AO61" s="243"/>
      <c r="AP61" s="243"/>
      <c r="AQ61" s="243"/>
      <c r="AR61" s="243"/>
      <c r="AS61" s="243"/>
      <c r="AT61" s="243"/>
      <c r="AU61" s="243"/>
      <c r="AV61" s="243"/>
      <c r="AW61" s="243"/>
      <c r="AX61" s="243"/>
      <c r="AY61" s="243"/>
      <c r="AZ61" s="243"/>
      <c r="BA61" s="243"/>
      <c r="BB61" s="243"/>
      <c r="BC61" s="243"/>
      <c r="BD61" s="243"/>
      <c r="BE61" s="243"/>
      <c r="BF61" s="243"/>
      <c r="BG61" s="243"/>
      <c r="BH61" s="243"/>
      <c r="BI61" s="243"/>
      <c r="BJ61" s="243"/>
      <c r="BK61" s="243"/>
      <c r="BL61" s="243"/>
      <c r="BM61" s="243"/>
      <c r="BN61" s="243"/>
      <c r="BO61" s="243"/>
      <c r="BP61" s="243"/>
      <c r="BQ61" s="243"/>
      <c r="BR61" s="243"/>
      <c r="BS61" s="243"/>
      <c r="BT61" s="243"/>
      <c r="BU61" s="243"/>
      <c r="BV61" s="243"/>
      <c r="BW61" s="243"/>
      <c r="BX61" s="243"/>
      <c r="BY61" s="243"/>
      <c r="BZ61" s="243"/>
      <c r="CA61" s="243"/>
      <c r="CB61" s="243"/>
      <c r="CC61" s="243"/>
      <c r="CD61" s="243"/>
      <c r="CE61" s="243"/>
      <c r="CF61" s="243"/>
      <c r="CG61" s="243"/>
      <c r="CH61" s="243"/>
      <c r="CI61" s="243"/>
      <c r="CJ61" s="243"/>
      <c r="CK61" s="243"/>
      <c r="CL61" s="243"/>
      <c r="CM61" s="243"/>
      <c r="CN61" s="243"/>
      <c r="CO61" s="243"/>
      <c r="CP61" s="243"/>
      <c r="CQ61" s="243"/>
      <c r="CR61" s="243"/>
      <c r="CS61" s="243"/>
      <c r="CT61" s="243"/>
      <c r="CU61" s="243"/>
      <c r="CV61" s="243"/>
      <c r="CW61" s="243"/>
      <c r="CX61" s="243"/>
      <c r="CY61" s="243"/>
      <c r="CZ61" s="243"/>
      <c r="DA61" s="243"/>
      <c r="DB61" s="243"/>
      <c r="DC61" s="243"/>
      <c r="DD61" s="243"/>
      <c r="DE61" s="243"/>
      <c r="DF61" s="243"/>
      <c r="DG61" s="243"/>
      <c r="DH61" s="243"/>
      <c r="DI61" s="243"/>
      <c r="DJ61" s="243"/>
      <c r="DK61" s="243"/>
      <c r="DL61" s="243"/>
      <c r="DM61" s="243"/>
      <c r="DN61" s="243"/>
      <c r="DO61" s="243"/>
      <c r="DP61" s="243"/>
      <c r="DQ61" s="243"/>
      <c r="DR61" s="243"/>
    </row>
    <row r="62" spans="1:122" ht="15.75" x14ac:dyDescent="0.2">
      <c r="A62" s="495"/>
      <c r="B62" s="496"/>
      <c r="C62" s="496"/>
      <c r="D62" s="245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243"/>
      <c r="AP62" s="243"/>
      <c r="AQ62" s="243"/>
      <c r="AR62" s="243"/>
      <c r="AS62" s="243"/>
      <c r="AT62" s="243"/>
      <c r="AU62" s="243"/>
      <c r="AV62" s="243"/>
      <c r="AW62" s="243"/>
      <c r="AX62" s="243"/>
      <c r="AY62" s="243"/>
      <c r="AZ62" s="243"/>
      <c r="BA62" s="243"/>
      <c r="BB62" s="243"/>
      <c r="BC62" s="243"/>
      <c r="BD62" s="243"/>
      <c r="BE62" s="243"/>
      <c r="BF62" s="243"/>
      <c r="BG62" s="243"/>
      <c r="BH62" s="243"/>
      <c r="BI62" s="243"/>
      <c r="BJ62" s="243"/>
      <c r="BK62" s="243"/>
      <c r="BL62" s="243"/>
      <c r="BM62" s="243"/>
      <c r="BN62" s="243"/>
      <c r="BO62" s="243"/>
      <c r="BP62" s="243"/>
      <c r="BQ62" s="243"/>
      <c r="BR62" s="243"/>
      <c r="BS62" s="243"/>
      <c r="BT62" s="243"/>
      <c r="BU62" s="243"/>
      <c r="BV62" s="243"/>
      <c r="BW62" s="243"/>
      <c r="BX62" s="243"/>
      <c r="BY62" s="243"/>
      <c r="BZ62" s="243"/>
      <c r="CA62" s="243"/>
      <c r="CB62" s="243"/>
      <c r="CC62" s="243"/>
      <c r="CD62" s="243"/>
      <c r="CE62" s="243"/>
      <c r="CF62" s="243"/>
      <c r="CG62" s="243"/>
      <c r="CH62" s="243"/>
      <c r="CI62" s="243"/>
      <c r="CJ62" s="243"/>
      <c r="CK62" s="243"/>
      <c r="CL62" s="243"/>
      <c r="CM62" s="243"/>
      <c r="CN62" s="243"/>
      <c r="CO62" s="243"/>
      <c r="CP62" s="243"/>
      <c r="CQ62" s="243"/>
      <c r="CR62" s="243"/>
      <c r="CS62" s="243"/>
      <c r="CT62" s="243"/>
      <c r="CU62" s="243"/>
      <c r="CV62" s="243"/>
      <c r="CW62" s="243"/>
      <c r="CX62" s="243"/>
      <c r="CY62" s="243"/>
      <c r="CZ62" s="243"/>
      <c r="DA62" s="243"/>
      <c r="DB62" s="243"/>
      <c r="DC62" s="243"/>
      <c r="DD62" s="243"/>
      <c r="DE62" s="243"/>
      <c r="DF62" s="243"/>
      <c r="DG62" s="243"/>
      <c r="DH62" s="243"/>
      <c r="DI62" s="243"/>
      <c r="DJ62" s="243"/>
      <c r="DK62" s="243"/>
      <c r="DL62" s="243"/>
      <c r="DM62" s="243"/>
      <c r="DN62" s="243"/>
      <c r="DO62" s="243"/>
      <c r="DP62" s="243"/>
      <c r="DQ62" s="243"/>
      <c r="DR62" s="243"/>
    </row>
    <row r="63" spans="1:122" ht="15.75" x14ac:dyDescent="0.2">
      <c r="A63" s="495"/>
      <c r="B63" s="496"/>
      <c r="C63" s="496"/>
      <c r="D63" s="245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M63" s="243"/>
      <c r="AN63" s="243"/>
      <c r="AO63" s="243"/>
      <c r="AP63" s="243"/>
      <c r="AQ63" s="243"/>
      <c r="AR63" s="243"/>
      <c r="AS63" s="243"/>
      <c r="AT63" s="243"/>
      <c r="AU63" s="243"/>
      <c r="AV63" s="243"/>
      <c r="AW63" s="243"/>
      <c r="AX63" s="243"/>
      <c r="AY63" s="243"/>
      <c r="AZ63" s="243"/>
      <c r="BA63" s="243"/>
      <c r="BB63" s="243"/>
      <c r="BC63" s="243"/>
      <c r="BD63" s="243"/>
      <c r="BE63" s="243"/>
      <c r="BF63" s="243"/>
      <c r="BG63" s="243"/>
      <c r="BH63" s="243"/>
      <c r="BI63" s="243"/>
      <c r="BJ63" s="243"/>
      <c r="BK63" s="243"/>
      <c r="BL63" s="243"/>
      <c r="BM63" s="243"/>
      <c r="BN63" s="243"/>
      <c r="BO63" s="243"/>
      <c r="BP63" s="243"/>
      <c r="BQ63" s="243"/>
      <c r="BR63" s="243"/>
      <c r="BS63" s="243"/>
      <c r="BT63" s="243"/>
      <c r="BU63" s="243"/>
      <c r="BV63" s="243"/>
      <c r="BW63" s="243"/>
      <c r="BX63" s="243"/>
      <c r="BY63" s="243"/>
      <c r="BZ63" s="243"/>
      <c r="CA63" s="243"/>
      <c r="CB63" s="243"/>
      <c r="CC63" s="243"/>
      <c r="CD63" s="243"/>
      <c r="CE63" s="243"/>
      <c r="CF63" s="243"/>
      <c r="CG63" s="243"/>
      <c r="CH63" s="243"/>
      <c r="CI63" s="243"/>
      <c r="CJ63" s="243"/>
      <c r="CK63" s="243"/>
      <c r="CL63" s="243"/>
      <c r="CM63" s="243"/>
      <c r="CN63" s="243"/>
      <c r="CO63" s="243"/>
      <c r="CP63" s="243"/>
      <c r="CQ63" s="243"/>
      <c r="CR63" s="243"/>
      <c r="CS63" s="243"/>
      <c r="CT63" s="243"/>
      <c r="CU63" s="243"/>
      <c r="CV63" s="243"/>
      <c r="CW63" s="243"/>
      <c r="CX63" s="243"/>
      <c r="CY63" s="243"/>
      <c r="CZ63" s="243"/>
      <c r="DA63" s="243"/>
      <c r="DB63" s="243"/>
      <c r="DC63" s="243"/>
      <c r="DD63" s="243"/>
      <c r="DE63" s="243"/>
      <c r="DF63" s="243"/>
      <c r="DG63" s="243"/>
      <c r="DH63" s="243"/>
      <c r="DI63" s="243"/>
      <c r="DJ63" s="243"/>
      <c r="DK63" s="243"/>
      <c r="DL63" s="243"/>
      <c r="DM63" s="243"/>
      <c r="DN63" s="243"/>
      <c r="DO63" s="243"/>
      <c r="DP63" s="243"/>
      <c r="DQ63" s="243"/>
      <c r="DR63" s="243"/>
    </row>
    <row r="64" spans="1:122" ht="15.75" x14ac:dyDescent="0.2">
      <c r="A64" s="495"/>
      <c r="B64" s="496"/>
      <c r="C64" s="496"/>
      <c r="D64" s="245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M64" s="243"/>
      <c r="AN64" s="243"/>
      <c r="AO64" s="243"/>
      <c r="AP64" s="243"/>
      <c r="AQ64" s="243"/>
      <c r="AR64" s="243"/>
      <c r="AS64" s="243"/>
      <c r="AT64" s="243"/>
      <c r="AU64" s="243"/>
      <c r="AV64" s="243"/>
      <c r="AW64" s="243"/>
      <c r="AX64" s="243"/>
      <c r="AY64" s="243"/>
      <c r="AZ64" s="243"/>
      <c r="BA64" s="243"/>
      <c r="BB64" s="243"/>
      <c r="BC64" s="243"/>
      <c r="BD64" s="243"/>
      <c r="BE64" s="243"/>
      <c r="BF64" s="243"/>
      <c r="BG64" s="243"/>
      <c r="BH64" s="243"/>
      <c r="BI64" s="243"/>
      <c r="BJ64" s="243"/>
      <c r="BK64" s="243"/>
      <c r="BL64" s="243"/>
      <c r="BM64" s="243"/>
      <c r="BN64" s="243"/>
      <c r="BO64" s="243"/>
      <c r="BP64" s="243"/>
      <c r="BQ64" s="243"/>
      <c r="BR64" s="243"/>
      <c r="BS64" s="243"/>
      <c r="BT64" s="243"/>
      <c r="BU64" s="243"/>
      <c r="BV64" s="243"/>
      <c r="BW64" s="243"/>
      <c r="BX64" s="243"/>
      <c r="BY64" s="243"/>
      <c r="BZ64" s="243"/>
      <c r="CA64" s="243"/>
      <c r="CB64" s="243"/>
      <c r="CC64" s="243"/>
      <c r="CD64" s="243"/>
      <c r="CE64" s="243"/>
      <c r="CF64" s="243"/>
      <c r="CG64" s="243"/>
      <c r="CH64" s="243"/>
      <c r="CI64" s="243"/>
      <c r="CJ64" s="243"/>
      <c r="CK64" s="243"/>
      <c r="CL64" s="243"/>
      <c r="CM64" s="243"/>
      <c r="CN64" s="243"/>
      <c r="CO64" s="243"/>
      <c r="CP64" s="243"/>
      <c r="CQ64" s="243"/>
      <c r="CR64" s="243"/>
      <c r="CS64" s="243"/>
      <c r="CT64" s="243"/>
      <c r="CU64" s="243"/>
      <c r="CV64" s="243"/>
      <c r="CW64" s="243"/>
      <c r="CX64" s="243"/>
      <c r="CY64" s="243"/>
      <c r="CZ64" s="243"/>
      <c r="DA64" s="243"/>
      <c r="DB64" s="243"/>
      <c r="DC64" s="243"/>
      <c r="DD64" s="243"/>
      <c r="DE64" s="243"/>
      <c r="DF64" s="243"/>
      <c r="DG64" s="243"/>
      <c r="DH64" s="243"/>
      <c r="DI64" s="243"/>
      <c r="DJ64" s="243"/>
      <c r="DK64" s="243"/>
      <c r="DL64" s="243"/>
      <c r="DM64" s="243"/>
      <c r="DN64" s="243"/>
      <c r="DO64" s="243"/>
      <c r="DP64" s="243"/>
      <c r="DQ64" s="243"/>
      <c r="DR64" s="243"/>
    </row>
    <row r="65" spans="1:122" ht="15.75" x14ac:dyDescent="0.2">
      <c r="A65" s="495"/>
      <c r="B65" s="496"/>
      <c r="C65" s="496"/>
      <c r="D65" s="245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43"/>
      <c r="AR65" s="243"/>
      <c r="AS65" s="243"/>
      <c r="AT65" s="243"/>
      <c r="AU65" s="243"/>
      <c r="AV65" s="243"/>
      <c r="AW65" s="243"/>
      <c r="AX65" s="243"/>
      <c r="AY65" s="243"/>
      <c r="AZ65" s="243"/>
      <c r="BA65" s="243"/>
      <c r="BB65" s="243"/>
      <c r="BC65" s="243"/>
      <c r="BD65" s="243"/>
      <c r="BE65" s="243"/>
      <c r="BF65" s="243"/>
      <c r="BG65" s="243"/>
      <c r="BH65" s="243"/>
      <c r="BI65" s="243"/>
      <c r="BJ65" s="243"/>
      <c r="BK65" s="243"/>
      <c r="BL65" s="243"/>
      <c r="BM65" s="243"/>
      <c r="BN65" s="243"/>
      <c r="BO65" s="243"/>
      <c r="BP65" s="243"/>
      <c r="BQ65" s="243"/>
      <c r="BR65" s="243"/>
      <c r="BS65" s="243"/>
      <c r="BT65" s="243"/>
      <c r="BU65" s="243"/>
      <c r="BV65" s="243"/>
      <c r="BW65" s="243"/>
      <c r="BX65" s="243"/>
      <c r="BY65" s="243"/>
      <c r="BZ65" s="243"/>
      <c r="CA65" s="243"/>
      <c r="CB65" s="243"/>
      <c r="CC65" s="243"/>
      <c r="CD65" s="243"/>
      <c r="CE65" s="243"/>
      <c r="CF65" s="243"/>
      <c r="CG65" s="243"/>
      <c r="CH65" s="243"/>
      <c r="CI65" s="243"/>
      <c r="CJ65" s="243"/>
      <c r="CK65" s="243"/>
      <c r="CL65" s="243"/>
      <c r="CM65" s="243"/>
      <c r="CN65" s="243"/>
      <c r="CO65" s="243"/>
      <c r="CP65" s="243"/>
      <c r="CQ65" s="243"/>
      <c r="CR65" s="243"/>
      <c r="CS65" s="243"/>
      <c r="CT65" s="243"/>
      <c r="CU65" s="243"/>
      <c r="CV65" s="243"/>
      <c r="CW65" s="243"/>
      <c r="CX65" s="243"/>
      <c r="CY65" s="243"/>
      <c r="CZ65" s="243"/>
      <c r="DA65" s="243"/>
      <c r="DB65" s="243"/>
      <c r="DC65" s="243"/>
      <c r="DD65" s="243"/>
      <c r="DE65" s="243"/>
      <c r="DF65" s="243"/>
      <c r="DG65" s="243"/>
      <c r="DH65" s="243"/>
      <c r="DI65" s="243"/>
      <c r="DJ65" s="243"/>
      <c r="DK65" s="243"/>
      <c r="DL65" s="243"/>
      <c r="DM65" s="243"/>
      <c r="DN65" s="243"/>
      <c r="DO65" s="243"/>
      <c r="DP65" s="243"/>
      <c r="DQ65" s="243"/>
      <c r="DR65" s="243"/>
    </row>
    <row r="66" spans="1:122" ht="15.75" x14ac:dyDescent="0.2">
      <c r="A66" s="495"/>
      <c r="B66" s="496"/>
      <c r="C66" s="496"/>
      <c r="D66" s="245"/>
      <c r="P66" s="243"/>
      <c r="Q66" s="243"/>
      <c r="R66" s="243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M66" s="243"/>
      <c r="AN66" s="243"/>
      <c r="AO66" s="243"/>
      <c r="AP66" s="243"/>
      <c r="AQ66" s="243"/>
      <c r="AR66" s="243"/>
      <c r="AS66" s="243"/>
      <c r="AT66" s="243"/>
      <c r="AU66" s="243"/>
      <c r="AV66" s="243"/>
      <c r="AW66" s="243"/>
      <c r="AX66" s="243"/>
      <c r="AY66" s="243"/>
      <c r="AZ66" s="243"/>
      <c r="BA66" s="243"/>
      <c r="BB66" s="243"/>
      <c r="BC66" s="243"/>
      <c r="BD66" s="243"/>
      <c r="BE66" s="243"/>
      <c r="BF66" s="243"/>
      <c r="BG66" s="243"/>
      <c r="BH66" s="243"/>
      <c r="BI66" s="243"/>
      <c r="BJ66" s="243"/>
      <c r="BK66" s="243"/>
      <c r="BL66" s="243"/>
      <c r="BM66" s="243"/>
      <c r="BN66" s="243"/>
      <c r="BO66" s="243"/>
      <c r="BP66" s="243"/>
      <c r="BQ66" s="243"/>
      <c r="BR66" s="243"/>
      <c r="BS66" s="243"/>
      <c r="BT66" s="243"/>
      <c r="BU66" s="243"/>
      <c r="BV66" s="243"/>
      <c r="BW66" s="243"/>
      <c r="BX66" s="243"/>
      <c r="BY66" s="243"/>
      <c r="BZ66" s="243"/>
      <c r="CA66" s="243"/>
      <c r="CB66" s="243"/>
      <c r="CC66" s="243"/>
      <c r="CD66" s="243"/>
      <c r="CE66" s="243"/>
      <c r="CF66" s="243"/>
      <c r="CG66" s="243"/>
      <c r="CH66" s="243"/>
      <c r="CI66" s="243"/>
      <c r="CJ66" s="243"/>
      <c r="CK66" s="243"/>
      <c r="CL66" s="243"/>
      <c r="CM66" s="243"/>
      <c r="CN66" s="243"/>
      <c r="CO66" s="243"/>
      <c r="CP66" s="243"/>
      <c r="CQ66" s="243"/>
      <c r="CR66" s="243"/>
      <c r="CS66" s="243"/>
      <c r="CT66" s="243"/>
      <c r="CU66" s="243"/>
      <c r="CV66" s="243"/>
      <c r="CW66" s="243"/>
      <c r="CX66" s="243"/>
      <c r="CY66" s="243"/>
      <c r="CZ66" s="243"/>
      <c r="DA66" s="243"/>
      <c r="DB66" s="243"/>
      <c r="DC66" s="243"/>
      <c r="DD66" s="243"/>
      <c r="DE66" s="243"/>
      <c r="DF66" s="243"/>
      <c r="DG66" s="243"/>
      <c r="DH66" s="243"/>
      <c r="DI66" s="243"/>
      <c r="DJ66" s="243"/>
      <c r="DK66" s="243"/>
      <c r="DL66" s="243"/>
      <c r="DM66" s="243"/>
      <c r="DN66" s="243"/>
      <c r="DO66" s="243"/>
      <c r="DP66" s="243"/>
      <c r="DQ66" s="243"/>
      <c r="DR66" s="243"/>
    </row>
    <row r="67" spans="1:122" ht="15.75" x14ac:dyDescent="0.2">
      <c r="A67" s="495"/>
      <c r="B67" s="496"/>
      <c r="C67" s="496"/>
      <c r="D67" s="245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  <c r="AQ67" s="243"/>
      <c r="AR67" s="243"/>
      <c r="AS67" s="243"/>
      <c r="AT67" s="243"/>
      <c r="AU67" s="243"/>
      <c r="AV67" s="243"/>
      <c r="AW67" s="243"/>
      <c r="AX67" s="243"/>
      <c r="AY67" s="243"/>
      <c r="AZ67" s="243"/>
      <c r="BA67" s="243"/>
      <c r="BB67" s="243"/>
      <c r="BC67" s="243"/>
      <c r="BD67" s="243"/>
      <c r="BE67" s="243"/>
      <c r="BF67" s="243"/>
      <c r="BG67" s="243"/>
      <c r="BH67" s="243"/>
      <c r="BI67" s="243"/>
      <c r="BJ67" s="243"/>
      <c r="BK67" s="243"/>
      <c r="BL67" s="243"/>
      <c r="BM67" s="243"/>
      <c r="BN67" s="243"/>
      <c r="BO67" s="243"/>
      <c r="BP67" s="243"/>
      <c r="BQ67" s="243"/>
      <c r="BR67" s="243"/>
      <c r="BS67" s="243"/>
      <c r="BT67" s="243"/>
      <c r="BU67" s="243"/>
      <c r="BV67" s="243"/>
      <c r="BW67" s="243"/>
      <c r="BX67" s="243"/>
      <c r="BY67" s="243"/>
      <c r="BZ67" s="243"/>
      <c r="CA67" s="243"/>
      <c r="CB67" s="243"/>
      <c r="CC67" s="243"/>
      <c r="CD67" s="243"/>
      <c r="CE67" s="243"/>
      <c r="CF67" s="243"/>
      <c r="CG67" s="243"/>
      <c r="CH67" s="243"/>
      <c r="CI67" s="243"/>
      <c r="CJ67" s="243"/>
      <c r="CK67" s="243"/>
      <c r="CL67" s="243"/>
      <c r="CM67" s="243"/>
      <c r="CN67" s="243"/>
      <c r="CO67" s="243"/>
      <c r="CP67" s="243"/>
      <c r="CQ67" s="243"/>
      <c r="CR67" s="243"/>
      <c r="CS67" s="243"/>
      <c r="CT67" s="243"/>
      <c r="CU67" s="243"/>
      <c r="CV67" s="243"/>
      <c r="CW67" s="243"/>
      <c r="CX67" s="243"/>
      <c r="CY67" s="243"/>
      <c r="CZ67" s="243"/>
      <c r="DA67" s="243"/>
      <c r="DB67" s="243"/>
      <c r="DC67" s="243"/>
      <c r="DD67" s="243"/>
      <c r="DE67" s="243"/>
      <c r="DF67" s="243"/>
      <c r="DG67" s="243"/>
      <c r="DH67" s="243"/>
      <c r="DI67" s="243"/>
      <c r="DJ67" s="243"/>
      <c r="DK67" s="243"/>
      <c r="DL67" s="243"/>
      <c r="DM67" s="243"/>
      <c r="DN67" s="243"/>
      <c r="DO67" s="243"/>
      <c r="DP67" s="243"/>
      <c r="DQ67" s="243"/>
      <c r="DR67" s="243"/>
    </row>
    <row r="68" spans="1:122" ht="15.75" x14ac:dyDescent="0.2">
      <c r="A68" s="495"/>
      <c r="B68" s="496"/>
      <c r="C68" s="496"/>
      <c r="D68" s="245"/>
      <c r="P68" s="243"/>
      <c r="Q68" s="243"/>
      <c r="R68" s="243"/>
      <c r="S68" s="243"/>
      <c r="T68" s="243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  <c r="AO68" s="243"/>
      <c r="AP68" s="243"/>
      <c r="AQ68" s="243"/>
      <c r="AR68" s="243"/>
      <c r="AS68" s="243"/>
      <c r="AT68" s="243"/>
      <c r="AU68" s="243"/>
      <c r="AV68" s="243"/>
      <c r="AW68" s="243"/>
      <c r="AX68" s="243"/>
      <c r="AY68" s="243"/>
      <c r="AZ68" s="243"/>
      <c r="BA68" s="243"/>
      <c r="BB68" s="243"/>
      <c r="BC68" s="243"/>
      <c r="BD68" s="243"/>
      <c r="BE68" s="243"/>
      <c r="BF68" s="243"/>
      <c r="BG68" s="243"/>
      <c r="BH68" s="243"/>
      <c r="BI68" s="243"/>
      <c r="BJ68" s="243"/>
      <c r="BK68" s="243"/>
      <c r="BL68" s="243"/>
      <c r="BM68" s="243"/>
      <c r="BN68" s="243"/>
      <c r="BO68" s="243"/>
      <c r="BP68" s="243"/>
      <c r="BQ68" s="243"/>
      <c r="BR68" s="243"/>
      <c r="BS68" s="243"/>
      <c r="BT68" s="243"/>
      <c r="BU68" s="243"/>
      <c r="BV68" s="243"/>
      <c r="BW68" s="243"/>
      <c r="BX68" s="243"/>
      <c r="BY68" s="243"/>
      <c r="BZ68" s="243"/>
      <c r="CA68" s="243"/>
      <c r="CB68" s="243"/>
      <c r="CC68" s="243"/>
      <c r="CD68" s="243"/>
      <c r="CE68" s="243"/>
      <c r="CF68" s="243"/>
      <c r="CG68" s="243"/>
      <c r="CH68" s="243"/>
      <c r="CI68" s="243"/>
      <c r="CJ68" s="243"/>
      <c r="CK68" s="243"/>
      <c r="CL68" s="243"/>
      <c r="CM68" s="243"/>
      <c r="CN68" s="243"/>
      <c r="CO68" s="243"/>
      <c r="CP68" s="243"/>
      <c r="CQ68" s="243"/>
      <c r="CR68" s="243"/>
      <c r="CS68" s="243"/>
      <c r="CT68" s="243"/>
      <c r="CU68" s="243"/>
      <c r="CV68" s="243"/>
      <c r="CW68" s="243"/>
      <c r="CX68" s="243"/>
      <c r="CY68" s="243"/>
      <c r="CZ68" s="243"/>
      <c r="DA68" s="243"/>
      <c r="DB68" s="243"/>
      <c r="DC68" s="243"/>
      <c r="DD68" s="243"/>
      <c r="DE68" s="243"/>
      <c r="DF68" s="243"/>
      <c r="DG68" s="243"/>
      <c r="DH68" s="243"/>
      <c r="DI68" s="243"/>
      <c r="DJ68" s="243"/>
      <c r="DK68" s="243"/>
      <c r="DL68" s="243"/>
      <c r="DM68" s="243"/>
      <c r="DN68" s="243"/>
      <c r="DO68" s="243"/>
      <c r="DP68" s="243"/>
      <c r="DQ68" s="243"/>
      <c r="DR68" s="243"/>
    </row>
    <row r="69" spans="1:122" ht="15.75" x14ac:dyDescent="0.2">
      <c r="A69" s="495"/>
      <c r="B69" s="496"/>
      <c r="C69" s="496"/>
      <c r="D69" s="245"/>
      <c r="P69" s="243"/>
      <c r="Q69" s="243"/>
      <c r="R69" s="243"/>
      <c r="S69" s="243"/>
      <c r="T69" s="243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  <c r="AO69" s="243"/>
      <c r="AP69" s="243"/>
      <c r="AQ69" s="243"/>
      <c r="AR69" s="243"/>
      <c r="AS69" s="243"/>
      <c r="AT69" s="243"/>
      <c r="AU69" s="243"/>
      <c r="AV69" s="243"/>
      <c r="AW69" s="243"/>
      <c r="AX69" s="243"/>
      <c r="AY69" s="243"/>
      <c r="AZ69" s="243"/>
      <c r="BA69" s="243"/>
      <c r="BB69" s="243"/>
      <c r="BC69" s="243"/>
      <c r="BD69" s="243"/>
      <c r="BE69" s="243"/>
      <c r="BF69" s="243"/>
      <c r="BG69" s="243"/>
      <c r="BH69" s="243"/>
      <c r="BI69" s="243"/>
      <c r="BJ69" s="243"/>
      <c r="BK69" s="243"/>
      <c r="BL69" s="243"/>
      <c r="BM69" s="243"/>
      <c r="BN69" s="243"/>
      <c r="BO69" s="243"/>
      <c r="BP69" s="243"/>
      <c r="BQ69" s="243"/>
      <c r="BR69" s="243"/>
      <c r="BS69" s="243"/>
      <c r="BT69" s="243"/>
      <c r="BU69" s="243"/>
      <c r="BV69" s="243"/>
      <c r="BW69" s="243"/>
      <c r="BX69" s="243"/>
      <c r="BY69" s="243"/>
      <c r="BZ69" s="243"/>
      <c r="CA69" s="243"/>
      <c r="CB69" s="243"/>
      <c r="CC69" s="243"/>
      <c r="CD69" s="243"/>
      <c r="CE69" s="243"/>
      <c r="CF69" s="243"/>
      <c r="CG69" s="243"/>
      <c r="CH69" s="243"/>
      <c r="CI69" s="243"/>
      <c r="CJ69" s="243"/>
      <c r="CK69" s="243"/>
      <c r="CL69" s="243"/>
      <c r="CM69" s="243"/>
      <c r="CN69" s="243"/>
      <c r="CO69" s="243"/>
      <c r="CP69" s="243"/>
      <c r="CQ69" s="243"/>
      <c r="CR69" s="243"/>
      <c r="CS69" s="243"/>
      <c r="CT69" s="243"/>
      <c r="CU69" s="243"/>
      <c r="CV69" s="243"/>
      <c r="CW69" s="243"/>
      <c r="CX69" s="243"/>
      <c r="CY69" s="243"/>
      <c r="CZ69" s="243"/>
      <c r="DA69" s="243"/>
      <c r="DB69" s="243"/>
      <c r="DC69" s="243"/>
      <c r="DD69" s="243"/>
      <c r="DE69" s="243"/>
      <c r="DF69" s="243"/>
      <c r="DG69" s="243"/>
      <c r="DH69" s="243"/>
      <c r="DI69" s="243"/>
      <c r="DJ69" s="243"/>
      <c r="DK69" s="243"/>
      <c r="DL69" s="243"/>
      <c r="DM69" s="243"/>
      <c r="DN69" s="243"/>
      <c r="DO69" s="243"/>
      <c r="DP69" s="243"/>
      <c r="DQ69" s="243"/>
      <c r="DR69" s="243"/>
    </row>
    <row r="70" spans="1:122" ht="15.75" x14ac:dyDescent="0.2">
      <c r="A70" s="495"/>
      <c r="B70" s="496"/>
      <c r="C70" s="496"/>
      <c r="D70" s="245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M70" s="243"/>
      <c r="AN70" s="243"/>
      <c r="AO70" s="243"/>
      <c r="AP70" s="243"/>
      <c r="AQ70" s="243"/>
      <c r="AR70" s="243"/>
      <c r="AS70" s="243"/>
      <c r="AT70" s="243"/>
      <c r="AU70" s="243"/>
      <c r="AV70" s="243"/>
      <c r="AW70" s="243"/>
      <c r="AX70" s="243"/>
      <c r="AY70" s="243"/>
      <c r="AZ70" s="243"/>
      <c r="BA70" s="243"/>
      <c r="BB70" s="243"/>
      <c r="BC70" s="243"/>
      <c r="BD70" s="243"/>
      <c r="BE70" s="243"/>
      <c r="BF70" s="243"/>
      <c r="BG70" s="243"/>
      <c r="BH70" s="243"/>
      <c r="BI70" s="243"/>
      <c r="BJ70" s="243"/>
      <c r="BK70" s="243"/>
      <c r="BL70" s="243"/>
      <c r="BM70" s="243"/>
      <c r="BN70" s="243"/>
      <c r="BO70" s="243"/>
      <c r="BP70" s="243"/>
      <c r="BQ70" s="243"/>
      <c r="BR70" s="243"/>
      <c r="BS70" s="243"/>
      <c r="BT70" s="243"/>
      <c r="BU70" s="243"/>
      <c r="BV70" s="243"/>
      <c r="BW70" s="243"/>
      <c r="BX70" s="243"/>
      <c r="BY70" s="243"/>
      <c r="BZ70" s="243"/>
      <c r="CA70" s="243"/>
      <c r="CB70" s="243"/>
      <c r="CC70" s="243"/>
      <c r="CD70" s="243"/>
      <c r="CE70" s="243"/>
      <c r="CF70" s="243"/>
      <c r="CG70" s="243"/>
      <c r="CH70" s="243"/>
      <c r="CI70" s="243"/>
      <c r="CJ70" s="243"/>
      <c r="CK70" s="243"/>
      <c r="CL70" s="243"/>
      <c r="CM70" s="243"/>
      <c r="CN70" s="243"/>
      <c r="CO70" s="243"/>
      <c r="CP70" s="243"/>
      <c r="CQ70" s="243"/>
      <c r="CR70" s="243"/>
      <c r="CS70" s="243"/>
      <c r="CT70" s="243"/>
      <c r="CU70" s="243"/>
      <c r="CV70" s="243"/>
      <c r="CW70" s="243"/>
      <c r="CX70" s="243"/>
      <c r="CY70" s="243"/>
      <c r="CZ70" s="243"/>
      <c r="DA70" s="243"/>
      <c r="DB70" s="243"/>
      <c r="DC70" s="243"/>
      <c r="DD70" s="243"/>
      <c r="DE70" s="243"/>
      <c r="DF70" s="243"/>
      <c r="DG70" s="243"/>
      <c r="DH70" s="243"/>
      <c r="DI70" s="243"/>
      <c r="DJ70" s="243"/>
      <c r="DK70" s="243"/>
      <c r="DL70" s="243"/>
      <c r="DM70" s="243"/>
      <c r="DN70" s="243"/>
      <c r="DO70" s="243"/>
      <c r="DP70" s="243"/>
      <c r="DQ70" s="243"/>
      <c r="DR70" s="243"/>
    </row>
    <row r="71" spans="1:122" ht="15.75" x14ac:dyDescent="0.2">
      <c r="A71" s="495"/>
      <c r="B71" s="496"/>
      <c r="C71" s="496"/>
      <c r="D71" s="245"/>
      <c r="P71" s="243"/>
      <c r="Q71" s="243"/>
      <c r="R71" s="243"/>
      <c r="S71" s="243"/>
      <c r="T71" s="243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  <c r="AQ71" s="243"/>
      <c r="AR71" s="243"/>
      <c r="AS71" s="243"/>
      <c r="AT71" s="243"/>
      <c r="AU71" s="243"/>
      <c r="AV71" s="243"/>
      <c r="AW71" s="243"/>
      <c r="AX71" s="243"/>
      <c r="AY71" s="243"/>
      <c r="AZ71" s="243"/>
      <c r="BA71" s="243"/>
      <c r="BB71" s="243"/>
      <c r="BC71" s="243"/>
      <c r="BD71" s="243"/>
      <c r="BE71" s="243"/>
      <c r="BF71" s="243"/>
      <c r="BG71" s="243"/>
      <c r="BH71" s="243"/>
      <c r="BI71" s="243"/>
      <c r="BJ71" s="243"/>
      <c r="BK71" s="243"/>
      <c r="BL71" s="243"/>
      <c r="BM71" s="243"/>
      <c r="BN71" s="243"/>
      <c r="BO71" s="243"/>
      <c r="BP71" s="243"/>
      <c r="BQ71" s="243"/>
      <c r="BR71" s="243"/>
      <c r="BS71" s="243"/>
      <c r="BT71" s="243"/>
      <c r="BU71" s="243"/>
      <c r="BV71" s="243"/>
      <c r="BW71" s="243"/>
      <c r="BX71" s="243"/>
      <c r="BY71" s="243"/>
      <c r="BZ71" s="243"/>
      <c r="CA71" s="243"/>
      <c r="CB71" s="243"/>
      <c r="CC71" s="243"/>
      <c r="CD71" s="243"/>
      <c r="CE71" s="243"/>
      <c r="CF71" s="243"/>
      <c r="CG71" s="243"/>
      <c r="CH71" s="243"/>
      <c r="CI71" s="243"/>
      <c r="CJ71" s="243"/>
      <c r="CK71" s="243"/>
      <c r="CL71" s="243"/>
      <c r="CM71" s="243"/>
      <c r="CN71" s="243"/>
      <c r="CO71" s="243"/>
      <c r="CP71" s="243"/>
      <c r="CQ71" s="243"/>
      <c r="CR71" s="243"/>
      <c r="CS71" s="243"/>
      <c r="CT71" s="243"/>
      <c r="CU71" s="243"/>
      <c r="CV71" s="243"/>
      <c r="CW71" s="243"/>
      <c r="CX71" s="243"/>
      <c r="CY71" s="243"/>
      <c r="CZ71" s="243"/>
      <c r="DA71" s="243"/>
      <c r="DB71" s="243"/>
      <c r="DC71" s="243"/>
      <c r="DD71" s="243"/>
      <c r="DE71" s="243"/>
      <c r="DF71" s="243"/>
      <c r="DG71" s="243"/>
      <c r="DH71" s="243"/>
      <c r="DI71" s="243"/>
      <c r="DJ71" s="243"/>
      <c r="DK71" s="243"/>
      <c r="DL71" s="243"/>
      <c r="DM71" s="243"/>
      <c r="DN71" s="243"/>
      <c r="DO71" s="243"/>
      <c r="DP71" s="243"/>
      <c r="DQ71" s="243"/>
      <c r="DR71" s="243"/>
    </row>
    <row r="72" spans="1:122" ht="15.75" x14ac:dyDescent="0.2">
      <c r="A72" s="495"/>
      <c r="B72" s="496"/>
      <c r="C72" s="496"/>
      <c r="D72" s="245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M72" s="243"/>
      <c r="AN72" s="243"/>
      <c r="AO72" s="243"/>
      <c r="AP72" s="243"/>
      <c r="AQ72" s="243"/>
      <c r="AR72" s="243"/>
      <c r="AS72" s="243"/>
      <c r="AT72" s="243"/>
      <c r="AU72" s="243"/>
      <c r="AV72" s="243"/>
      <c r="AW72" s="243"/>
      <c r="AX72" s="243"/>
      <c r="AY72" s="243"/>
      <c r="AZ72" s="243"/>
      <c r="BA72" s="243"/>
      <c r="BB72" s="243"/>
      <c r="BC72" s="243"/>
      <c r="BD72" s="243"/>
      <c r="BE72" s="243"/>
      <c r="BF72" s="243"/>
      <c r="BG72" s="243"/>
      <c r="BH72" s="243"/>
      <c r="BI72" s="243"/>
      <c r="BJ72" s="243"/>
      <c r="BK72" s="243"/>
      <c r="BL72" s="243"/>
      <c r="BM72" s="243"/>
      <c r="BN72" s="243"/>
      <c r="BO72" s="243"/>
      <c r="BP72" s="243"/>
      <c r="BQ72" s="243"/>
      <c r="BR72" s="243"/>
      <c r="BS72" s="243"/>
      <c r="BT72" s="243"/>
      <c r="BU72" s="243"/>
      <c r="BV72" s="243"/>
      <c r="BW72" s="243"/>
      <c r="BX72" s="243"/>
      <c r="BY72" s="243"/>
      <c r="BZ72" s="243"/>
      <c r="CA72" s="243"/>
      <c r="CB72" s="243"/>
      <c r="CC72" s="243"/>
      <c r="CD72" s="243"/>
      <c r="CE72" s="243"/>
      <c r="CF72" s="243"/>
      <c r="CG72" s="243"/>
      <c r="CH72" s="243"/>
      <c r="CI72" s="243"/>
      <c r="CJ72" s="243"/>
      <c r="CK72" s="243"/>
      <c r="CL72" s="243"/>
      <c r="CM72" s="243"/>
      <c r="CN72" s="243"/>
      <c r="CO72" s="243"/>
      <c r="CP72" s="243"/>
      <c r="CQ72" s="243"/>
      <c r="CR72" s="243"/>
      <c r="CS72" s="243"/>
      <c r="CT72" s="243"/>
      <c r="CU72" s="243"/>
      <c r="CV72" s="243"/>
      <c r="CW72" s="243"/>
      <c r="CX72" s="243"/>
      <c r="CY72" s="243"/>
      <c r="CZ72" s="243"/>
      <c r="DA72" s="243"/>
      <c r="DB72" s="243"/>
      <c r="DC72" s="243"/>
      <c r="DD72" s="243"/>
      <c r="DE72" s="243"/>
      <c r="DF72" s="243"/>
      <c r="DG72" s="243"/>
      <c r="DH72" s="243"/>
      <c r="DI72" s="243"/>
      <c r="DJ72" s="243"/>
      <c r="DK72" s="243"/>
      <c r="DL72" s="243"/>
      <c r="DM72" s="243"/>
      <c r="DN72" s="243"/>
      <c r="DO72" s="243"/>
      <c r="DP72" s="243"/>
      <c r="DQ72" s="243"/>
      <c r="DR72" s="243"/>
    </row>
    <row r="73" spans="1:122" ht="15.75" x14ac:dyDescent="0.2">
      <c r="A73" s="495"/>
      <c r="B73" s="496"/>
      <c r="C73" s="496"/>
      <c r="D73" s="245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M73" s="243"/>
      <c r="AN73" s="243"/>
      <c r="AO73" s="243"/>
      <c r="AP73" s="243"/>
      <c r="AQ73" s="243"/>
      <c r="AR73" s="243"/>
      <c r="AS73" s="243"/>
      <c r="AT73" s="243"/>
      <c r="AU73" s="243"/>
      <c r="AV73" s="243"/>
      <c r="AW73" s="243"/>
      <c r="AX73" s="243"/>
      <c r="AY73" s="243"/>
      <c r="AZ73" s="243"/>
      <c r="BA73" s="243"/>
      <c r="BB73" s="243"/>
      <c r="BC73" s="243"/>
      <c r="BD73" s="243"/>
      <c r="BE73" s="243"/>
      <c r="BF73" s="243"/>
      <c r="BG73" s="243"/>
      <c r="BH73" s="243"/>
      <c r="BI73" s="243"/>
      <c r="BJ73" s="243"/>
      <c r="BK73" s="243"/>
      <c r="BL73" s="243"/>
      <c r="BM73" s="243"/>
      <c r="BN73" s="243"/>
      <c r="BO73" s="243"/>
      <c r="BP73" s="243"/>
      <c r="BQ73" s="243"/>
      <c r="BR73" s="243"/>
      <c r="BS73" s="243"/>
      <c r="BT73" s="243"/>
      <c r="BU73" s="243"/>
      <c r="BV73" s="243"/>
      <c r="BW73" s="243"/>
      <c r="BX73" s="243"/>
      <c r="BY73" s="243"/>
      <c r="BZ73" s="243"/>
      <c r="CA73" s="243"/>
      <c r="CB73" s="243"/>
      <c r="CC73" s="243"/>
      <c r="CD73" s="243"/>
      <c r="CE73" s="243"/>
      <c r="CF73" s="243"/>
      <c r="CG73" s="243"/>
      <c r="CH73" s="243"/>
      <c r="CI73" s="243"/>
      <c r="CJ73" s="243"/>
      <c r="CK73" s="243"/>
      <c r="CL73" s="243"/>
      <c r="CM73" s="243"/>
      <c r="CN73" s="243"/>
      <c r="CO73" s="243"/>
      <c r="CP73" s="243"/>
      <c r="CQ73" s="243"/>
      <c r="CR73" s="243"/>
      <c r="CS73" s="243"/>
      <c r="CT73" s="243"/>
      <c r="CU73" s="243"/>
      <c r="CV73" s="243"/>
      <c r="CW73" s="243"/>
      <c r="CX73" s="243"/>
      <c r="CY73" s="243"/>
      <c r="CZ73" s="243"/>
      <c r="DA73" s="243"/>
      <c r="DB73" s="243"/>
      <c r="DC73" s="243"/>
      <c r="DD73" s="243"/>
      <c r="DE73" s="243"/>
      <c r="DF73" s="243"/>
      <c r="DG73" s="243"/>
      <c r="DH73" s="243"/>
      <c r="DI73" s="243"/>
      <c r="DJ73" s="243"/>
      <c r="DK73" s="243"/>
      <c r="DL73" s="243"/>
      <c r="DM73" s="243"/>
      <c r="DN73" s="243"/>
      <c r="DO73" s="243"/>
      <c r="DP73" s="243"/>
      <c r="DQ73" s="243"/>
      <c r="DR73" s="243"/>
    </row>
    <row r="74" spans="1:122" ht="15.75" x14ac:dyDescent="0.2">
      <c r="A74" s="495"/>
      <c r="B74" s="496"/>
      <c r="C74" s="496"/>
      <c r="D74" s="245"/>
      <c r="P74" s="243"/>
      <c r="Q74" s="243"/>
      <c r="R74" s="243"/>
      <c r="S74" s="243"/>
      <c r="T74" s="24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M74" s="243"/>
      <c r="AN74" s="243"/>
      <c r="AO74" s="243"/>
      <c r="AP74" s="243"/>
      <c r="AQ74" s="243"/>
      <c r="AR74" s="243"/>
      <c r="AS74" s="243"/>
      <c r="AT74" s="243"/>
      <c r="AU74" s="243"/>
      <c r="AV74" s="243"/>
      <c r="AW74" s="243"/>
      <c r="AX74" s="243"/>
      <c r="AY74" s="243"/>
      <c r="AZ74" s="243"/>
      <c r="BA74" s="243"/>
      <c r="BB74" s="243"/>
      <c r="BC74" s="243"/>
      <c r="BD74" s="243"/>
      <c r="BE74" s="243"/>
      <c r="BF74" s="243"/>
      <c r="BG74" s="243"/>
      <c r="BH74" s="243"/>
      <c r="BI74" s="243"/>
      <c r="BJ74" s="243"/>
      <c r="BK74" s="243"/>
      <c r="BL74" s="243"/>
      <c r="BM74" s="243"/>
      <c r="BN74" s="243"/>
      <c r="BO74" s="243"/>
      <c r="BP74" s="243"/>
      <c r="BQ74" s="243"/>
      <c r="BR74" s="243"/>
      <c r="BS74" s="243"/>
      <c r="BT74" s="243"/>
      <c r="BU74" s="243"/>
      <c r="BV74" s="243"/>
      <c r="BW74" s="243"/>
      <c r="BX74" s="243"/>
      <c r="BY74" s="243"/>
      <c r="BZ74" s="243"/>
      <c r="CA74" s="243"/>
      <c r="CB74" s="243"/>
      <c r="CC74" s="243"/>
      <c r="CD74" s="243"/>
      <c r="CE74" s="243"/>
      <c r="CF74" s="243"/>
      <c r="CG74" s="243"/>
      <c r="CH74" s="243"/>
      <c r="CI74" s="243"/>
      <c r="CJ74" s="243"/>
      <c r="CK74" s="243"/>
      <c r="CL74" s="243"/>
      <c r="CM74" s="243"/>
      <c r="CN74" s="243"/>
      <c r="CO74" s="243"/>
      <c r="CP74" s="243"/>
      <c r="CQ74" s="243"/>
      <c r="CR74" s="243"/>
      <c r="CS74" s="243"/>
      <c r="CT74" s="243"/>
      <c r="CU74" s="243"/>
      <c r="CV74" s="243"/>
      <c r="CW74" s="243"/>
      <c r="CX74" s="243"/>
      <c r="CY74" s="243"/>
      <c r="CZ74" s="243"/>
      <c r="DA74" s="243"/>
      <c r="DB74" s="243"/>
      <c r="DC74" s="243"/>
      <c r="DD74" s="243"/>
      <c r="DE74" s="243"/>
      <c r="DF74" s="243"/>
      <c r="DG74" s="243"/>
      <c r="DH74" s="243"/>
      <c r="DI74" s="243"/>
      <c r="DJ74" s="243"/>
      <c r="DK74" s="243"/>
      <c r="DL74" s="243"/>
      <c r="DM74" s="243"/>
      <c r="DN74" s="243"/>
      <c r="DO74" s="243"/>
      <c r="DP74" s="243"/>
      <c r="DQ74" s="243"/>
      <c r="DR74" s="243"/>
    </row>
    <row r="75" spans="1:122" ht="15.75" x14ac:dyDescent="0.2">
      <c r="A75" s="495"/>
      <c r="B75" s="496"/>
      <c r="C75" s="496"/>
      <c r="D75" s="245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  <c r="AM75" s="243"/>
      <c r="AN75" s="243"/>
      <c r="AO75" s="243"/>
      <c r="AP75" s="243"/>
      <c r="AQ75" s="243"/>
      <c r="AR75" s="243"/>
      <c r="AS75" s="243"/>
      <c r="AT75" s="243"/>
      <c r="AU75" s="243"/>
      <c r="AV75" s="243"/>
      <c r="AW75" s="243"/>
      <c r="AX75" s="243"/>
      <c r="AY75" s="243"/>
      <c r="AZ75" s="243"/>
      <c r="BA75" s="243"/>
      <c r="BB75" s="243"/>
      <c r="BC75" s="243"/>
      <c r="BD75" s="243"/>
      <c r="BE75" s="243"/>
      <c r="BF75" s="243"/>
      <c r="BG75" s="243"/>
      <c r="BH75" s="243"/>
      <c r="BI75" s="243"/>
      <c r="BJ75" s="243"/>
      <c r="BK75" s="243"/>
      <c r="BL75" s="243"/>
      <c r="BM75" s="243"/>
      <c r="BN75" s="243"/>
      <c r="BO75" s="243"/>
      <c r="BP75" s="243"/>
      <c r="BQ75" s="243"/>
      <c r="BR75" s="243"/>
      <c r="BS75" s="243"/>
      <c r="BT75" s="243"/>
      <c r="BU75" s="243"/>
      <c r="BV75" s="243"/>
      <c r="BW75" s="243"/>
      <c r="BX75" s="243"/>
      <c r="BY75" s="243"/>
      <c r="BZ75" s="243"/>
      <c r="CA75" s="243"/>
      <c r="CB75" s="243"/>
      <c r="CC75" s="243"/>
      <c r="CD75" s="243"/>
      <c r="CE75" s="243"/>
      <c r="CF75" s="243"/>
      <c r="CG75" s="243"/>
      <c r="CH75" s="243"/>
      <c r="CI75" s="243"/>
      <c r="CJ75" s="243"/>
      <c r="CK75" s="243"/>
      <c r="CL75" s="243"/>
      <c r="CM75" s="243"/>
      <c r="CN75" s="243"/>
      <c r="CO75" s="243"/>
      <c r="CP75" s="243"/>
      <c r="CQ75" s="243"/>
      <c r="CR75" s="243"/>
      <c r="CS75" s="243"/>
      <c r="CT75" s="243"/>
      <c r="CU75" s="243"/>
      <c r="CV75" s="243"/>
      <c r="CW75" s="243"/>
      <c r="CX75" s="243"/>
      <c r="CY75" s="243"/>
      <c r="CZ75" s="243"/>
      <c r="DA75" s="243"/>
      <c r="DB75" s="243"/>
      <c r="DC75" s="243"/>
      <c r="DD75" s="243"/>
      <c r="DE75" s="243"/>
      <c r="DF75" s="243"/>
      <c r="DG75" s="243"/>
      <c r="DH75" s="243"/>
      <c r="DI75" s="243"/>
      <c r="DJ75" s="243"/>
      <c r="DK75" s="243"/>
      <c r="DL75" s="243"/>
      <c r="DM75" s="243"/>
      <c r="DN75" s="243"/>
      <c r="DO75" s="243"/>
      <c r="DP75" s="243"/>
      <c r="DQ75" s="243"/>
      <c r="DR75" s="243"/>
    </row>
    <row r="76" spans="1:122" ht="15.75" x14ac:dyDescent="0.2">
      <c r="A76" s="495"/>
      <c r="B76" s="496"/>
      <c r="C76" s="496"/>
      <c r="D76" s="245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  <c r="AM76" s="243"/>
      <c r="AN76" s="243"/>
      <c r="AO76" s="243"/>
      <c r="AP76" s="243"/>
      <c r="AQ76" s="243"/>
      <c r="AR76" s="243"/>
      <c r="AS76" s="243"/>
      <c r="AT76" s="243"/>
      <c r="AU76" s="243"/>
      <c r="AV76" s="243"/>
      <c r="AW76" s="243"/>
      <c r="AX76" s="243"/>
      <c r="AY76" s="243"/>
      <c r="AZ76" s="243"/>
      <c r="BA76" s="243"/>
      <c r="BB76" s="243"/>
      <c r="BC76" s="243"/>
      <c r="BD76" s="243"/>
      <c r="BE76" s="243"/>
      <c r="BF76" s="243"/>
      <c r="BG76" s="243"/>
      <c r="BH76" s="243"/>
      <c r="BI76" s="243"/>
      <c r="BJ76" s="243"/>
      <c r="BK76" s="243"/>
      <c r="BL76" s="243"/>
      <c r="BM76" s="243"/>
      <c r="BN76" s="243"/>
      <c r="BO76" s="243"/>
      <c r="BP76" s="243"/>
      <c r="BQ76" s="243"/>
      <c r="BR76" s="243"/>
      <c r="BS76" s="243"/>
      <c r="BT76" s="243"/>
      <c r="BU76" s="243"/>
      <c r="BV76" s="243"/>
      <c r="BW76" s="243"/>
      <c r="BX76" s="243"/>
      <c r="BY76" s="243"/>
      <c r="BZ76" s="243"/>
      <c r="CA76" s="243"/>
      <c r="CB76" s="243"/>
      <c r="CC76" s="243"/>
      <c r="CD76" s="243"/>
      <c r="CE76" s="243"/>
      <c r="CF76" s="243"/>
      <c r="CG76" s="243"/>
      <c r="CH76" s="243"/>
      <c r="CI76" s="243"/>
      <c r="CJ76" s="243"/>
      <c r="CK76" s="243"/>
      <c r="CL76" s="243"/>
      <c r="CM76" s="243"/>
      <c r="CN76" s="243"/>
      <c r="CO76" s="243"/>
      <c r="CP76" s="243"/>
      <c r="CQ76" s="243"/>
      <c r="CR76" s="243"/>
      <c r="CS76" s="243"/>
      <c r="CT76" s="243"/>
      <c r="CU76" s="243"/>
      <c r="CV76" s="243"/>
      <c r="CW76" s="243"/>
      <c r="CX76" s="243"/>
      <c r="CY76" s="243"/>
      <c r="CZ76" s="243"/>
      <c r="DA76" s="243"/>
      <c r="DB76" s="243"/>
      <c r="DC76" s="243"/>
      <c r="DD76" s="243"/>
      <c r="DE76" s="243"/>
      <c r="DF76" s="243"/>
      <c r="DG76" s="243"/>
      <c r="DH76" s="243"/>
      <c r="DI76" s="243"/>
      <c r="DJ76" s="243"/>
      <c r="DK76" s="243"/>
      <c r="DL76" s="243"/>
      <c r="DM76" s="243"/>
      <c r="DN76" s="243"/>
      <c r="DO76" s="243"/>
      <c r="DP76" s="243"/>
      <c r="DQ76" s="243"/>
      <c r="DR76" s="243"/>
    </row>
    <row r="77" spans="1:122" x14ac:dyDescent="0.2"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43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43"/>
      <c r="BX77" s="243"/>
      <c r="BY77" s="243"/>
      <c r="BZ77" s="243"/>
      <c r="CA77" s="243"/>
      <c r="CB77" s="243"/>
      <c r="CC77" s="243"/>
      <c r="CD77" s="243"/>
      <c r="CE77" s="243"/>
      <c r="CF77" s="243"/>
      <c r="CG77" s="243"/>
      <c r="CH77" s="243"/>
      <c r="CI77" s="243"/>
      <c r="CJ77" s="243"/>
      <c r="CK77" s="243"/>
      <c r="CL77" s="243"/>
      <c r="CM77" s="243"/>
      <c r="CN77" s="243"/>
      <c r="CO77" s="243"/>
      <c r="CP77" s="243"/>
      <c r="CQ77" s="243"/>
      <c r="CR77" s="243"/>
      <c r="CS77" s="243"/>
      <c r="CT77" s="243"/>
      <c r="CU77" s="243"/>
      <c r="CV77" s="243"/>
      <c r="CW77" s="243"/>
      <c r="CX77" s="243"/>
      <c r="CY77" s="243"/>
      <c r="CZ77" s="243"/>
      <c r="DA77" s="243"/>
      <c r="DB77" s="243"/>
      <c r="DC77" s="243"/>
      <c r="DD77" s="243"/>
      <c r="DE77" s="243"/>
      <c r="DF77" s="243"/>
      <c r="DG77" s="243"/>
      <c r="DH77" s="243"/>
      <c r="DI77" s="243"/>
      <c r="DJ77" s="243"/>
      <c r="DK77" s="243"/>
      <c r="DL77" s="243"/>
      <c r="DM77" s="243"/>
      <c r="DN77" s="243"/>
      <c r="DO77" s="243"/>
      <c r="DP77" s="243"/>
      <c r="DQ77" s="243"/>
      <c r="DR77" s="243"/>
    </row>
    <row r="78" spans="1:122" x14ac:dyDescent="0.2">
      <c r="P78" s="243"/>
      <c r="Q78" s="243"/>
      <c r="R78" s="243"/>
      <c r="S78" s="243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  <c r="AM78" s="243"/>
      <c r="AN78" s="243"/>
      <c r="AO78" s="243"/>
      <c r="AP78" s="243"/>
      <c r="AQ78" s="243"/>
      <c r="AR78" s="243"/>
      <c r="AS78" s="243"/>
      <c r="AT78" s="243"/>
      <c r="AU78" s="243"/>
      <c r="AV78" s="243"/>
      <c r="AW78" s="243"/>
      <c r="AX78" s="243"/>
      <c r="AY78" s="243"/>
      <c r="AZ78" s="243"/>
      <c r="BA78" s="243"/>
      <c r="BB78" s="243"/>
      <c r="BC78" s="243"/>
      <c r="BD78" s="243"/>
      <c r="BE78" s="243"/>
      <c r="BF78" s="243"/>
      <c r="BG78" s="243"/>
      <c r="BH78" s="243"/>
      <c r="BI78" s="243"/>
      <c r="BJ78" s="243"/>
      <c r="BK78" s="243"/>
      <c r="BL78" s="243"/>
      <c r="BM78" s="243"/>
      <c r="BN78" s="243"/>
      <c r="BO78" s="243"/>
      <c r="BP78" s="243"/>
      <c r="BQ78" s="243"/>
      <c r="BR78" s="243"/>
      <c r="BS78" s="243"/>
      <c r="BT78" s="243"/>
      <c r="BU78" s="243"/>
      <c r="BV78" s="243"/>
      <c r="BW78" s="243"/>
      <c r="BX78" s="243"/>
      <c r="BY78" s="243"/>
      <c r="BZ78" s="243"/>
      <c r="CA78" s="243"/>
      <c r="CB78" s="243"/>
      <c r="CC78" s="243"/>
      <c r="CD78" s="243"/>
      <c r="CE78" s="243"/>
      <c r="CF78" s="243"/>
      <c r="CG78" s="243"/>
      <c r="CH78" s="243"/>
      <c r="CI78" s="243"/>
      <c r="CJ78" s="243"/>
      <c r="CK78" s="243"/>
      <c r="CL78" s="243"/>
      <c r="CM78" s="243"/>
      <c r="CN78" s="243"/>
      <c r="CO78" s="243"/>
      <c r="CP78" s="243"/>
      <c r="CQ78" s="243"/>
      <c r="CR78" s="243"/>
      <c r="CS78" s="243"/>
      <c r="CT78" s="243"/>
      <c r="CU78" s="243"/>
      <c r="CV78" s="243"/>
      <c r="CW78" s="243"/>
      <c r="CX78" s="243"/>
      <c r="CY78" s="243"/>
      <c r="CZ78" s="243"/>
      <c r="DA78" s="243"/>
      <c r="DB78" s="243"/>
      <c r="DC78" s="243"/>
      <c r="DD78" s="243"/>
      <c r="DE78" s="243"/>
      <c r="DF78" s="243"/>
      <c r="DG78" s="243"/>
      <c r="DH78" s="243"/>
      <c r="DI78" s="243"/>
      <c r="DJ78" s="243"/>
      <c r="DK78" s="243"/>
      <c r="DL78" s="243"/>
      <c r="DM78" s="243"/>
      <c r="DN78" s="243"/>
      <c r="DO78" s="243"/>
      <c r="DP78" s="243"/>
      <c r="DQ78" s="243"/>
      <c r="DR78" s="243"/>
    </row>
    <row r="79" spans="1:122" x14ac:dyDescent="0.2"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M79" s="243"/>
      <c r="AN79" s="243"/>
      <c r="AO79" s="243"/>
      <c r="AP79" s="243"/>
      <c r="AQ79" s="243"/>
      <c r="AR79" s="243"/>
      <c r="AS79" s="243"/>
      <c r="AT79" s="243"/>
      <c r="AU79" s="243"/>
      <c r="AV79" s="243"/>
      <c r="AW79" s="243"/>
      <c r="AX79" s="243"/>
      <c r="AY79" s="243"/>
      <c r="AZ79" s="243"/>
      <c r="BA79" s="243"/>
      <c r="BB79" s="243"/>
      <c r="BC79" s="243"/>
      <c r="BD79" s="243"/>
      <c r="BE79" s="243"/>
      <c r="BF79" s="243"/>
      <c r="BG79" s="243"/>
      <c r="BH79" s="243"/>
      <c r="BI79" s="243"/>
      <c r="BJ79" s="243"/>
      <c r="BK79" s="243"/>
      <c r="BL79" s="243"/>
      <c r="BM79" s="243"/>
      <c r="BN79" s="243"/>
      <c r="BO79" s="243"/>
      <c r="BP79" s="243"/>
      <c r="BQ79" s="243"/>
      <c r="BR79" s="243"/>
      <c r="BS79" s="243"/>
      <c r="BT79" s="243"/>
      <c r="BU79" s="243"/>
      <c r="BV79" s="243"/>
      <c r="BW79" s="243"/>
      <c r="BX79" s="243"/>
      <c r="BY79" s="243"/>
      <c r="BZ79" s="243"/>
      <c r="CA79" s="243"/>
      <c r="CB79" s="243"/>
      <c r="CC79" s="243"/>
      <c r="CD79" s="243"/>
      <c r="CE79" s="243"/>
      <c r="CF79" s="243"/>
      <c r="CG79" s="243"/>
      <c r="CH79" s="243"/>
      <c r="CI79" s="243"/>
      <c r="CJ79" s="243"/>
      <c r="CK79" s="243"/>
      <c r="CL79" s="243"/>
      <c r="CM79" s="243"/>
      <c r="CN79" s="243"/>
      <c r="CO79" s="243"/>
      <c r="CP79" s="243"/>
      <c r="CQ79" s="243"/>
      <c r="CR79" s="243"/>
      <c r="CS79" s="243"/>
      <c r="CT79" s="243"/>
      <c r="CU79" s="243"/>
      <c r="CV79" s="243"/>
      <c r="CW79" s="243"/>
      <c r="CX79" s="243"/>
      <c r="CY79" s="243"/>
      <c r="CZ79" s="243"/>
      <c r="DA79" s="243"/>
      <c r="DB79" s="243"/>
      <c r="DC79" s="243"/>
      <c r="DD79" s="243"/>
      <c r="DE79" s="243"/>
      <c r="DF79" s="243"/>
      <c r="DG79" s="243"/>
      <c r="DH79" s="243"/>
      <c r="DI79" s="243"/>
      <c r="DJ79" s="243"/>
      <c r="DK79" s="243"/>
      <c r="DL79" s="243"/>
      <c r="DM79" s="243"/>
      <c r="DN79" s="243"/>
      <c r="DO79" s="243"/>
      <c r="DP79" s="243"/>
      <c r="DQ79" s="243"/>
      <c r="DR79" s="243"/>
    </row>
    <row r="80" spans="1:122" x14ac:dyDescent="0.2">
      <c r="P80" s="243"/>
      <c r="Q80" s="243"/>
      <c r="R80" s="243"/>
      <c r="S80" s="243"/>
      <c r="T80" s="243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M80" s="243"/>
      <c r="AN80" s="243"/>
      <c r="AO80" s="243"/>
      <c r="AP80" s="243"/>
      <c r="AQ80" s="243"/>
      <c r="AR80" s="243"/>
      <c r="AS80" s="243"/>
      <c r="AT80" s="243"/>
      <c r="AU80" s="243"/>
      <c r="AV80" s="243"/>
      <c r="AW80" s="243"/>
      <c r="AX80" s="243"/>
      <c r="AY80" s="243"/>
      <c r="AZ80" s="243"/>
      <c r="BA80" s="243"/>
      <c r="BB80" s="243"/>
      <c r="BC80" s="243"/>
      <c r="BD80" s="243"/>
      <c r="BE80" s="243"/>
      <c r="BF80" s="243"/>
      <c r="BG80" s="243"/>
      <c r="BH80" s="243"/>
      <c r="BI80" s="243"/>
      <c r="BJ80" s="243"/>
      <c r="BK80" s="243"/>
      <c r="BL80" s="243"/>
      <c r="BM80" s="243"/>
      <c r="BN80" s="243"/>
      <c r="BO80" s="243"/>
      <c r="BP80" s="243"/>
      <c r="BQ80" s="243"/>
      <c r="BR80" s="243"/>
      <c r="BS80" s="243"/>
      <c r="BT80" s="243"/>
      <c r="BU80" s="243"/>
      <c r="BV80" s="243"/>
      <c r="BW80" s="243"/>
      <c r="BX80" s="243"/>
      <c r="BY80" s="243"/>
      <c r="BZ80" s="243"/>
      <c r="CA80" s="243"/>
      <c r="CB80" s="243"/>
      <c r="CC80" s="243"/>
      <c r="CD80" s="243"/>
      <c r="CE80" s="243"/>
      <c r="CF80" s="243"/>
      <c r="CG80" s="243"/>
      <c r="CH80" s="243"/>
      <c r="CI80" s="243"/>
      <c r="CJ80" s="243"/>
      <c r="CK80" s="243"/>
      <c r="CL80" s="243"/>
      <c r="CM80" s="243"/>
      <c r="CN80" s="243"/>
      <c r="CO80" s="243"/>
      <c r="CP80" s="243"/>
      <c r="CQ80" s="243"/>
      <c r="CR80" s="243"/>
      <c r="CS80" s="243"/>
      <c r="CT80" s="243"/>
      <c r="CU80" s="243"/>
      <c r="CV80" s="243"/>
      <c r="CW80" s="243"/>
      <c r="CX80" s="243"/>
      <c r="CY80" s="243"/>
      <c r="CZ80" s="243"/>
      <c r="DA80" s="243"/>
      <c r="DB80" s="243"/>
      <c r="DC80" s="243"/>
      <c r="DD80" s="243"/>
      <c r="DE80" s="243"/>
      <c r="DF80" s="243"/>
      <c r="DG80" s="243"/>
      <c r="DH80" s="243"/>
      <c r="DI80" s="243"/>
      <c r="DJ80" s="243"/>
      <c r="DK80" s="243"/>
      <c r="DL80" s="243"/>
      <c r="DM80" s="243"/>
      <c r="DN80" s="243"/>
      <c r="DO80" s="243"/>
      <c r="DP80" s="243"/>
      <c r="DQ80" s="243"/>
      <c r="DR80" s="243"/>
    </row>
    <row r="81" spans="16:122" x14ac:dyDescent="0.2">
      <c r="P81" s="243"/>
      <c r="Q81" s="243"/>
      <c r="R81" s="243"/>
      <c r="S81" s="243"/>
      <c r="T81" s="243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M81" s="243"/>
      <c r="AN81" s="243"/>
      <c r="AO81" s="243"/>
      <c r="AP81" s="243"/>
      <c r="AQ81" s="243"/>
      <c r="AR81" s="243"/>
      <c r="AS81" s="243"/>
      <c r="AT81" s="243"/>
      <c r="AU81" s="243"/>
      <c r="AV81" s="243"/>
      <c r="AW81" s="243"/>
      <c r="AX81" s="243"/>
      <c r="AY81" s="243"/>
      <c r="AZ81" s="243"/>
      <c r="BA81" s="243"/>
      <c r="BB81" s="243"/>
      <c r="BC81" s="243"/>
      <c r="BD81" s="243"/>
      <c r="BE81" s="243"/>
      <c r="BF81" s="243"/>
      <c r="BG81" s="243"/>
      <c r="BH81" s="243"/>
      <c r="BI81" s="243"/>
      <c r="BJ81" s="243"/>
      <c r="BK81" s="243"/>
      <c r="BL81" s="243"/>
      <c r="BM81" s="243"/>
      <c r="BN81" s="243"/>
      <c r="BO81" s="243"/>
      <c r="BP81" s="243"/>
      <c r="BQ81" s="243"/>
      <c r="BR81" s="243"/>
      <c r="BS81" s="243"/>
      <c r="BT81" s="243"/>
      <c r="BU81" s="243"/>
      <c r="BV81" s="243"/>
      <c r="BW81" s="243"/>
      <c r="BX81" s="243"/>
      <c r="BY81" s="243"/>
      <c r="BZ81" s="243"/>
      <c r="CA81" s="243"/>
      <c r="CB81" s="243"/>
      <c r="CC81" s="243"/>
      <c r="CD81" s="243"/>
      <c r="CE81" s="243"/>
      <c r="CF81" s="243"/>
      <c r="CG81" s="243"/>
      <c r="CH81" s="243"/>
      <c r="CI81" s="243"/>
      <c r="CJ81" s="243"/>
      <c r="CK81" s="243"/>
      <c r="CL81" s="243"/>
      <c r="CM81" s="243"/>
      <c r="CN81" s="243"/>
      <c r="CO81" s="243"/>
      <c r="CP81" s="243"/>
      <c r="CQ81" s="243"/>
      <c r="CR81" s="243"/>
      <c r="CS81" s="243"/>
      <c r="CT81" s="243"/>
      <c r="CU81" s="243"/>
      <c r="CV81" s="243"/>
      <c r="CW81" s="243"/>
      <c r="CX81" s="243"/>
      <c r="CY81" s="243"/>
      <c r="CZ81" s="243"/>
      <c r="DA81" s="243"/>
      <c r="DB81" s="243"/>
      <c r="DC81" s="243"/>
      <c r="DD81" s="243"/>
      <c r="DE81" s="243"/>
      <c r="DF81" s="243"/>
      <c r="DG81" s="243"/>
      <c r="DH81" s="243"/>
      <c r="DI81" s="243"/>
      <c r="DJ81" s="243"/>
      <c r="DK81" s="243"/>
      <c r="DL81" s="243"/>
      <c r="DM81" s="243"/>
      <c r="DN81" s="243"/>
      <c r="DO81" s="243"/>
      <c r="DP81" s="243"/>
      <c r="DQ81" s="243"/>
      <c r="DR81" s="243"/>
    </row>
    <row r="82" spans="16:122" x14ac:dyDescent="0.2">
      <c r="P82" s="243"/>
      <c r="Q82" s="243"/>
      <c r="R82" s="243"/>
      <c r="S82" s="243"/>
      <c r="T82" s="243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M82" s="243"/>
      <c r="AN82" s="243"/>
      <c r="AO82" s="243"/>
      <c r="AP82" s="243"/>
      <c r="AQ82" s="243"/>
      <c r="AR82" s="243"/>
      <c r="AS82" s="243"/>
      <c r="AT82" s="243"/>
      <c r="AU82" s="243"/>
      <c r="AV82" s="243"/>
      <c r="AW82" s="243"/>
      <c r="AX82" s="243"/>
      <c r="AY82" s="243"/>
      <c r="AZ82" s="243"/>
      <c r="BA82" s="243"/>
      <c r="BB82" s="243"/>
      <c r="BC82" s="243"/>
      <c r="BD82" s="243"/>
      <c r="BE82" s="243"/>
      <c r="BF82" s="243"/>
      <c r="BG82" s="243"/>
      <c r="BH82" s="243"/>
      <c r="BI82" s="243"/>
      <c r="BJ82" s="243"/>
      <c r="BK82" s="243"/>
      <c r="BL82" s="243"/>
      <c r="BM82" s="243"/>
      <c r="BN82" s="243"/>
      <c r="BO82" s="243"/>
      <c r="BP82" s="243"/>
      <c r="BQ82" s="243"/>
      <c r="BR82" s="243"/>
      <c r="BS82" s="243"/>
      <c r="BT82" s="243"/>
      <c r="BU82" s="243"/>
      <c r="BV82" s="243"/>
      <c r="BW82" s="243"/>
      <c r="BX82" s="243"/>
      <c r="BY82" s="243"/>
      <c r="BZ82" s="243"/>
      <c r="CA82" s="243"/>
      <c r="CB82" s="243"/>
      <c r="CC82" s="243"/>
      <c r="CD82" s="243"/>
      <c r="CE82" s="243"/>
      <c r="CF82" s="243"/>
      <c r="CG82" s="243"/>
      <c r="CH82" s="243"/>
      <c r="CI82" s="243"/>
      <c r="CJ82" s="243"/>
      <c r="CK82" s="243"/>
      <c r="CL82" s="243"/>
      <c r="CM82" s="243"/>
      <c r="CN82" s="243"/>
      <c r="CO82" s="243"/>
      <c r="CP82" s="243"/>
      <c r="CQ82" s="243"/>
      <c r="CR82" s="243"/>
      <c r="CS82" s="243"/>
      <c r="CT82" s="243"/>
      <c r="CU82" s="243"/>
      <c r="CV82" s="243"/>
      <c r="CW82" s="243"/>
      <c r="CX82" s="243"/>
      <c r="CY82" s="243"/>
      <c r="CZ82" s="243"/>
      <c r="DA82" s="243"/>
      <c r="DB82" s="243"/>
      <c r="DC82" s="243"/>
      <c r="DD82" s="243"/>
      <c r="DE82" s="243"/>
      <c r="DF82" s="243"/>
      <c r="DG82" s="243"/>
      <c r="DH82" s="243"/>
      <c r="DI82" s="243"/>
      <c r="DJ82" s="243"/>
      <c r="DK82" s="243"/>
      <c r="DL82" s="243"/>
      <c r="DM82" s="243"/>
      <c r="DN82" s="243"/>
      <c r="DO82" s="243"/>
      <c r="DP82" s="243"/>
      <c r="DQ82" s="243"/>
      <c r="DR82" s="243"/>
    </row>
    <row r="83" spans="16:122" x14ac:dyDescent="0.2">
      <c r="P83" s="243"/>
      <c r="Q83" s="243"/>
      <c r="R83" s="243"/>
      <c r="S83" s="243"/>
      <c r="T83" s="243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M83" s="243"/>
      <c r="AN83" s="243"/>
      <c r="AO83" s="243"/>
      <c r="AP83" s="243"/>
      <c r="AQ83" s="243"/>
      <c r="AR83" s="243"/>
      <c r="AS83" s="243"/>
      <c r="AT83" s="243"/>
      <c r="AU83" s="243"/>
      <c r="AV83" s="243"/>
      <c r="AW83" s="243"/>
      <c r="AX83" s="243"/>
      <c r="AY83" s="243"/>
      <c r="AZ83" s="243"/>
      <c r="BA83" s="243"/>
      <c r="BB83" s="243"/>
      <c r="BC83" s="243"/>
      <c r="BD83" s="243"/>
      <c r="BE83" s="243"/>
      <c r="BF83" s="243"/>
      <c r="BG83" s="243"/>
      <c r="BH83" s="243"/>
      <c r="BI83" s="243"/>
      <c r="BJ83" s="243"/>
      <c r="BK83" s="243"/>
      <c r="BL83" s="243"/>
      <c r="BM83" s="243"/>
      <c r="BN83" s="243"/>
      <c r="BO83" s="243"/>
      <c r="BP83" s="243"/>
      <c r="BQ83" s="243"/>
      <c r="BR83" s="243"/>
      <c r="BS83" s="243"/>
      <c r="BT83" s="243"/>
      <c r="BU83" s="243"/>
      <c r="BV83" s="243"/>
      <c r="BW83" s="243"/>
      <c r="BX83" s="243"/>
      <c r="BY83" s="243"/>
      <c r="BZ83" s="243"/>
      <c r="CA83" s="243"/>
      <c r="CB83" s="243"/>
      <c r="CC83" s="243"/>
      <c r="CD83" s="243"/>
      <c r="CE83" s="243"/>
      <c r="CF83" s="243"/>
      <c r="CG83" s="243"/>
      <c r="CH83" s="243"/>
      <c r="CI83" s="243"/>
      <c r="CJ83" s="243"/>
      <c r="CK83" s="243"/>
      <c r="CL83" s="243"/>
      <c r="CM83" s="243"/>
      <c r="CN83" s="243"/>
      <c r="CO83" s="243"/>
      <c r="CP83" s="243"/>
      <c r="CQ83" s="243"/>
      <c r="CR83" s="243"/>
      <c r="CS83" s="243"/>
      <c r="CT83" s="243"/>
      <c r="CU83" s="243"/>
      <c r="CV83" s="243"/>
      <c r="CW83" s="243"/>
      <c r="CX83" s="243"/>
      <c r="CY83" s="243"/>
      <c r="CZ83" s="243"/>
      <c r="DA83" s="243"/>
      <c r="DB83" s="243"/>
      <c r="DC83" s="243"/>
      <c r="DD83" s="243"/>
      <c r="DE83" s="243"/>
      <c r="DF83" s="243"/>
      <c r="DG83" s="243"/>
      <c r="DH83" s="243"/>
      <c r="DI83" s="243"/>
      <c r="DJ83" s="243"/>
      <c r="DK83" s="243"/>
      <c r="DL83" s="243"/>
      <c r="DM83" s="243"/>
      <c r="DN83" s="243"/>
      <c r="DO83" s="243"/>
      <c r="DP83" s="243"/>
      <c r="DQ83" s="243"/>
      <c r="DR83" s="243"/>
    </row>
    <row r="84" spans="16:122" x14ac:dyDescent="0.2">
      <c r="P84" s="243"/>
      <c r="Q84" s="243"/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M84" s="243"/>
      <c r="AN84" s="243"/>
      <c r="AO84" s="243"/>
      <c r="AP84" s="243"/>
      <c r="AQ84" s="243"/>
      <c r="AR84" s="243"/>
      <c r="AS84" s="243"/>
      <c r="AT84" s="243"/>
      <c r="AU84" s="243"/>
      <c r="AV84" s="243"/>
      <c r="AW84" s="243"/>
      <c r="AX84" s="243"/>
      <c r="AY84" s="243"/>
      <c r="AZ84" s="243"/>
      <c r="BA84" s="243"/>
      <c r="BB84" s="243"/>
      <c r="BC84" s="243"/>
      <c r="BD84" s="243"/>
      <c r="BE84" s="243"/>
      <c r="BF84" s="243"/>
      <c r="BG84" s="243"/>
      <c r="BH84" s="243"/>
      <c r="BI84" s="243"/>
      <c r="BJ84" s="243"/>
      <c r="BK84" s="243"/>
      <c r="BL84" s="243"/>
      <c r="BM84" s="243"/>
      <c r="BN84" s="243"/>
      <c r="BO84" s="243"/>
      <c r="BP84" s="243"/>
      <c r="BQ84" s="243"/>
      <c r="BR84" s="243"/>
      <c r="BS84" s="243"/>
      <c r="BT84" s="243"/>
      <c r="BU84" s="243"/>
      <c r="BV84" s="243"/>
      <c r="BW84" s="243"/>
      <c r="BX84" s="243"/>
      <c r="BY84" s="243"/>
      <c r="BZ84" s="243"/>
      <c r="CA84" s="243"/>
      <c r="CB84" s="243"/>
      <c r="CC84" s="243"/>
      <c r="CD84" s="243"/>
      <c r="CE84" s="243"/>
      <c r="CF84" s="243"/>
      <c r="CG84" s="243"/>
      <c r="CH84" s="243"/>
      <c r="CI84" s="243"/>
      <c r="CJ84" s="243"/>
      <c r="CK84" s="243"/>
      <c r="CL84" s="243"/>
      <c r="CM84" s="243"/>
      <c r="CN84" s="243"/>
      <c r="CO84" s="243"/>
      <c r="CP84" s="243"/>
      <c r="CQ84" s="243"/>
      <c r="CR84" s="243"/>
      <c r="CS84" s="243"/>
      <c r="CT84" s="243"/>
      <c r="CU84" s="243"/>
      <c r="CV84" s="243"/>
      <c r="CW84" s="243"/>
      <c r="CX84" s="243"/>
      <c r="CY84" s="243"/>
      <c r="CZ84" s="243"/>
      <c r="DA84" s="243"/>
      <c r="DB84" s="243"/>
      <c r="DC84" s="243"/>
      <c r="DD84" s="243"/>
      <c r="DE84" s="243"/>
      <c r="DF84" s="243"/>
      <c r="DG84" s="243"/>
      <c r="DH84" s="243"/>
      <c r="DI84" s="243"/>
      <c r="DJ84" s="243"/>
      <c r="DK84" s="243"/>
      <c r="DL84" s="243"/>
      <c r="DM84" s="243"/>
      <c r="DN84" s="243"/>
      <c r="DO84" s="243"/>
      <c r="DP84" s="243"/>
      <c r="DQ84" s="243"/>
      <c r="DR84" s="243"/>
    </row>
    <row r="85" spans="16:122" x14ac:dyDescent="0.2">
      <c r="P85" s="243"/>
      <c r="Q85" s="243"/>
      <c r="R85" s="243"/>
      <c r="S85" s="243"/>
      <c r="T85" s="243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M85" s="243"/>
      <c r="AN85" s="243"/>
      <c r="AO85" s="243"/>
      <c r="AP85" s="243"/>
      <c r="AQ85" s="243"/>
      <c r="AR85" s="243"/>
      <c r="AS85" s="243"/>
      <c r="AT85" s="243"/>
      <c r="AU85" s="243"/>
      <c r="AV85" s="243"/>
      <c r="AW85" s="243"/>
      <c r="AX85" s="243"/>
      <c r="AY85" s="243"/>
      <c r="AZ85" s="243"/>
      <c r="BA85" s="243"/>
      <c r="BB85" s="243"/>
      <c r="BC85" s="243"/>
      <c r="BD85" s="243"/>
      <c r="BE85" s="243"/>
      <c r="BF85" s="243"/>
      <c r="BG85" s="243"/>
      <c r="BH85" s="243"/>
      <c r="BI85" s="243"/>
      <c r="BJ85" s="243"/>
      <c r="BK85" s="243"/>
      <c r="BL85" s="243"/>
      <c r="BM85" s="243"/>
      <c r="BN85" s="243"/>
      <c r="BO85" s="243"/>
      <c r="BP85" s="243"/>
      <c r="BQ85" s="243"/>
      <c r="BR85" s="243"/>
      <c r="BS85" s="243"/>
      <c r="BT85" s="243"/>
      <c r="BU85" s="243"/>
      <c r="BV85" s="243"/>
      <c r="BW85" s="243"/>
      <c r="BX85" s="243"/>
      <c r="BY85" s="243"/>
      <c r="BZ85" s="243"/>
      <c r="CA85" s="243"/>
      <c r="CB85" s="243"/>
      <c r="CC85" s="243"/>
      <c r="CD85" s="243"/>
      <c r="CE85" s="243"/>
      <c r="CF85" s="243"/>
      <c r="CG85" s="243"/>
      <c r="CH85" s="243"/>
      <c r="CI85" s="243"/>
      <c r="CJ85" s="243"/>
      <c r="CK85" s="243"/>
      <c r="CL85" s="243"/>
      <c r="CM85" s="243"/>
      <c r="CN85" s="243"/>
      <c r="CO85" s="243"/>
      <c r="CP85" s="243"/>
      <c r="CQ85" s="243"/>
      <c r="CR85" s="243"/>
      <c r="CS85" s="243"/>
      <c r="CT85" s="243"/>
      <c r="CU85" s="243"/>
      <c r="CV85" s="243"/>
      <c r="CW85" s="243"/>
      <c r="CX85" s="243"/>
      <c r="CY85" s="243"/>
      <c r="CZ85" s="243"/>
      <c r="DA85" s="243"/>
      <c r="DB85" s="243"/>
      <c r="DC85" s="243"/>
      <c r="DD85" s="243"/>
      <c r="DE85" s="243"/>
      <c r="DF85" s="243"/>
      <c r="DG85" s="243"/>
      <c r="DH85" s="243"/>
      <c r="DI85" s="243"/>
      <c r="DJ85" s="243"/>
      <c r="DK85" s="243"/>
      <c r="DL85" s="243"/>
      <c r="DM85" s="243"/>
      <c r="DN85" s="243"/>
      <c r="DO85" s="243"/>
      <c r="DP85" s="243"/>
      <c r="DQ85" s="243"/>
      <c r="DR85" s="243"/>
    </row>
    <row r="86" spans="16:122" x14ac:dyDescent="0.2">
      <c r="P86" s="243"/>
      <c r="Q86" s="243"/>
      <c r="R86" s="243"/>
      <c r="S86" s="243"/>
      <c r="T86" s="243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M86" s="243"/>
      <c r="AN86" s="243"/>
      <c r="AO86" s="243"/>
      <c r="AP86" s="243"/>
      <c r="AQ86" s="243"/>
      <c r="AR86" s="243"/>
      <c r="AS86" s="243"/>
      <c r="AT86" s="243"/>
      <c r="AU86" s="243"/>
      <c r="AV86" s="243"/>
      <c r="AW86" s="243"/>
      <c r="AX86" s="243"/>
      <c r="AY86" s="243"/>
      <c r="AZ86" s="243"/>
      <c r="BA86" s="243"/>
      <c r="BB86" s="243"/>
      <c r="BC86" s="243"/>
      <c r="BD86" s="243"/>
      <c r="BE86" s="243"/>
      <c r="BF86" s="243"/>
      <c r="BG86" s="243"/>
      <c r="BH86" s="243"/>
      <c r="BI86" s="243"/>
      <c r="BJ86" s="243"/>
      <c r="BK86" s="243"/>
      <c r="BL86" s="243"/>
      <c r="BM86" s="243"/>
      <c r="BN86" s="243"/>
      <c r="BO86" s="243"/>
      <c r="BP86" s="243"/>
      <c r="BQ86" s="243"/>
      <c r="BR86" s="243"/>
      <c r="BS86" s="243"/>
      <c r="BT86" s="243"/>
      <c r="BU86" s="243"/>
      <c r="BV86" s="243"/>
      <c r="BW86" s="243"/>
      <c r="BX86" s="243"/>
      <c r="BY86" s="243"/>
      <c r="BZ86" s="243"/>
      <c r="CA86" s="243"/>
      <c r="CB86" s="243"/>
      <c r="CC86" s="243"/>
      <c r="CD86" s="243"/>
      <c r="CE86" s="243"/>
      <c r="CF86" s="243"/>
      <c r="CG86" s="243"/>
      <c r="CH86" s="243"/>
      <c r="CI86" s="243"/>
      <c r="CJ86" s="243"/>
      <c r="CK86" s="243"/>
      <c r="CL86" s="243"/>
      <c r="CM86" s="243"/>
      <c r="CN86" s="243"/>
      <c r="CO86" s="243"/>
      <c r="CP86" s="243"/>
      <c r="CQ86" s="243"/>
      <c r="CR86" s="243"/>
      <c r="CS86" s="243"/>
      <c r="CT86" s="243"/>
      <c r="CU86" s="243"/>
      <c r="CV86" s="243"/>
      <c r="CW86" s="243"/>
      <c r="CX86" s="243"/>
      <c r="CY86" s="243"/>
      <c r="CZ86" s="243"/>
      <c r="DA86" s="243"/>
      <c r="DB86" s="243"/>
      <c r="DC86" s="243"/>
      <c r="DD86" s="243"/>
      <c r="DE86" s="243"/>
      <c r="DF86" s="243"/>
      <c r="DG86" s="243"/>
      <c r="DH86" s="243"/>
      <c r="DI86" s="243"/>
      <c r="DJ86" s="243"/>
      <c r="DK86" s="243"/>
      <c r="DL86" s="243"/>
      <c r="DM86" s="243"/>
      <c r="DN86" s="243"/>
      <c r="DO86" s="243"/>
      <c r="DP86" s="243"/>
      <c r="DQ86" s="243"/>
      <c r="DR86" s="243"/>
    </row>
    <row r="87" spans="16:122" x14ac:dyDescent="0.2"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M87" s="243"/>
      <c r="AN87" s="243"/>
      <c r="AO87" s="243"/>
      <c r="AP87" s="243"/>
      <c r="AQ87" s="243"/>
      <c r="AR87" s="243"/>
      <c r="AS87" s="243"/>
      <c r="AT87" s="243"/>
      <c r="AU87" s="243"/>
      <c r="AV87" s="243"/>
      <c r="AW87" s="243"/>
      <c r="AX87" s="243"/>
      <c r="AY87" s="243"/>
      <c r="AZ87" s="243"/>
      <c r="BA87" s="243"/>
      <c r="BB87" s="243"/>
      <c r="BC87" s="243"/>
      <c r="BD87" s="243"/>
      <c r="BE87" s="243"/>
      <c r="BF87" s="243"/>
      <c r="BG87" s="243"/>
      <c r="BH87" s="243"/>
      <c r="BI87" s="243"/>
      <c r="BJ87" s="243"/>
      <c r="BK87" s="243"/>
      <c r="BL87" s="243"/>
      <c r="BM87" s="243"/>
      <c r="BN87" s="243"/>
      <c r="BO87" s="243"/>
      <c r="BP87" s="243"/>
      <c r="BQ87" s="243"/>
      <c r="BR87" s="243"/>
      <c r="BS87" s="243"/>
      <c r="BT87" s="243"/>
      <c r="BU87" s="243"/>
      <c r="BV87" s="243"/>
      <c r="BW87" s="243"/>
      <c r="BX87" s="243"/>
      <c r="BY87" s="243"/>
      <c r="BZ87" s="243"/>
      <c r="CA87" s="243"/>
      <c r="CB87" s="243"/>
      <c r="CC87" s="243"/>
      <c r="CD87" s="243"/>
      <c r="CE87" s="243"/>
      <c r="CF87" s="243"/>
      <c r="CG87" s="243"/>
      <c r="CH87" s="243"/>
      <c r="CI87" s="243"/>
      <c r="CJ87" s="243"/>
      <c r="CK87" s="243"/>
      <c r="CL87" s="243"/>
      <c r="CM87" s="243"/>
      <c r="CN87" s="243"/>
      <c r="CO87" s="243"/>
      <c r="CP87" s="243"/>
      <c r="CQ87" s="243"/>
      <c r="CR87" s="243"/>
      <c r="CS87" s="243"/>
      <c r="CT87" s="243"/>
      <c r="CU87" s="243"/>
      <c r="CV87" s="243"/>
      <c r="CW87" s="243"/>
      <c r="CX87" s="243"/>
      <c r="CY87" s="243"/>
      <c r="CZ87" s="243"/>
      <c r="DA87" s="243"/>
      <c r="DB87" s="243"/>
      <c r="DC87" s="243"/>
      <c r="DD87" s="243"/>
      <c r="DE87" s="243"/>
      <c r="DF87" s="243"/>
      <c r="DG87" s="243"/>
      <c r="DH87" s="243"/>
      <c r="DI87" s="243"/>
      <c r="DJ87" s="243"/>
      <c r="DK87" s="243"/>
      <c r="DL87" s="243"/>
      <c r="DM87" s="243"/>
      <c r="DN87" s="243"/>
      <c r="DO87" s="243"/>
      <c r="DP87" s="243"/>
      <c r="DQ87" s="243"/>
      <c r="DR87" s="243"/>
    </row>
    <row r="88" spans="16:122" x14ac:dyDescent="0.2">
      <c r="P88" s="243"/>
      <c r="Q88" s="243"/>
      <c r="R88" s="243"/>
      <c r="S88" s="243"/>
      <c r="T88" s="243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M88" s="243"/>
      <c r="AN88" s="243"/>
      <c r="AO88" s="243"/>
      <c r="AP88" s="243"/>
      <c r="AQ88" s="243"/>
      <c r="AR88" s="243"/>
      <c r="AS88" s="243"/>
      <c r="AT88" s="243"/>
      <c r="AU88" s="243"/>
      <c r="AV88" s="243"/>
      <c r="AW88" s="243"/>
      <c r="AX88" s="243"/>
      <c r="AY88" s="243"/>
      <c r="AZ88" s="243"/>
      <c r="BA88" s="243"/>
      <c r="BB88" s="243"/>
      <c r="BC88" s="243"/>
      <c r="BD88" s="243"/>
      <c r="BE88" s="243"/>
      <c r="BF88" s="243"/>
      <c r="BG88" s="243"/>
      <c r="BH88" s="243"/>
      <c r="BI88" s="243"/>
      <c r="BJ88" s="243"/>
      <c r="BK88" s="243"/>
      <c r="BL88" s="243"/>
      <c r="BM88" s="243"/>
      <c r="BN88" s="243"/>
      <c r="BO88" s="243"/>
      <c r="BP88" s="243"/>
      <c r="BQ88" s="243"/>
      <c r="BR88" s="243"/>
      <c r="BS88" s="243"/>
      <c r="BT88" s="243"/>
      <c r="BU88" s="243"/>
      <c r="BV88" s="243"/>
      <c r="BW88" s="243"/>
      <c r="BX88" s="243"/>
      <c r="BY88" s="243"/>
      <c r="BZ88" s="243"/>
      <c r="CA88" s="243"/>
      <c r="CB88" s="243"/>
      <c r="CC88" s="243"/>
      <c r="CD88" s="243"/>
      <c r="CE88" s="243"/>
      <c r="CF88" s="243"/>
      <c r="CG88" s="243"/>
      <c r="CH88" s="243"/>
      <c r="CI88" s="243"/>
      <c r="CJ88" s="243"/>
      <c r="CK88" s="243"/>
      <c r="CL88" s="243"/>
      <c r="CM88" s="243"/>
      <c r="CN88" s="243"/>
      <c r="CO88" s="243"/>
      <c r="CP88" s="243"/>
      <c r="CQ88" s="243"/>
      <c r="CR88" s="243"/>
      <c r="CS88" s="243"/>
      <c r="CT88" s="243"/>
      <c r="CU88" s="243"/>
      <c r="CV88" s="243"/>
      <c r="CW88" s="243"/>
      <c r="CX88" s="243"/>
      <c r="CY88" s="243"/>
      <c r="CZ88" s="243"/>
      <c r="DA88" s="243"/>
      <c r="DB88" s="243"/>
      <c r="DC88" s="243"/>
      <c r="DD88" s="243"/>
      <c r="DE88" s="243"/>
      <c r="DF88" s="243"/>
      <c r="DG88" s="243"/>
      <c r="DH88" s="243"/>
      <c r="DI88" s="243"/>
      <c r="DJ88" s="243"/>
      <c r="DK88" s="243"/>
      <c r="DL88" s="243"/>
      <c r="DM88" s="243"/>
      <c r="DN88" s="243"/>
      <c r="DO88" s="243"/>
      <c r="DP88" s="243"/>
      <c r="DQ88" s="243"/>
      <c r="DR88" s="243"/>
    </row>
    <row r="89" spans="16:122" x14ac:dyDescent="0.2">
      <c r="P89" s="243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M89" s="243"/>
      <c r="AN89" s="243"/>
      <c r="AO89" s="243"/>
      <c r="AP89" s="243"/>
      <c r="AQ89" s="243"/>
      <c r="AR89" s="243"/>
      <c r="AS89" s="243"/>
      <c r="AT89" s="243"/>
      <c r="AU89" s="243"/>
      <c r="AV89" s="243"/>
      <c r="AW89" s="243"/>
      <c r="AX89" s="243"/>
      <c r="AY89" s="243"/>
      <c r="AZ89" s="243"/>
      <c r="BA89" s="243"/>
      <c r="BB89" s="243"/>
      <c r="BC89" s="243"/>
      <c r="BD89" s="243"/>
      <c r="BE89" s="243"/>
      <c r="BF89" s="243"/>
      <c r="BG89" s="243"/>
      <c r="BH89" s="243"/>
      <c r="BI89" s="243"/>
      <c r="BJ89" s="243"/>
      <c r="BK89" s="243"/>
      <c r="BL89" s="243"/>
      <c r="BM89" s="243"/>
      <c r="BN89" s="243"/>
      <c r="BO89" s="243"/>
      <c r="BP89" s="243"/>
      <c r="BQ89" s="243"/>
      <c r="BR89" s="243"/>
      <c r="BS89" s="243"/>
      <c r="BT89" s="243"/>
      <c r="BU89" s="243"/>
      <c r="BV89" s="243"/>
      <c r="BW89" s="243"/>
      <c r="BX89" s="243"/>
      <c r="BY89" s="243"/>
      <c r="BZ89" s="243"/>
      <c r="CA89" s="243"/>
      <c r="CB89" s="243"/>
      <c r="CC89" s="243"/>
      <c r="CD89" s="243"/>
      <c r="CE89" s="243"/>
      <c r="CF89" s="243"/>
      <c r="CG89" s="243"/>
      <c r="CH89" s="243"/>
      <c r="CI89" s="243"/>
      <c r="CJ89" s="243"/>
      <c r="CK89" s="243"/>
      <c r="CL89" s="243"/>
      <c r="CM89" s="243"/>
      <c r="CN89" s="243"/>
      <c r="CO89" s="243"/>
      <c r="CP89" s="243"/>
      <c r="CQ89" s="243"/>
      <c r="CR89" s="243"/>
      <c r="CS89" s="243"/>
      <c r="CT89" s="243"/>
      <c r="CU89" s="243"/>
      <c r="CV89" s="243"/>
      <c r="CW89" s="243"/>
      <c r="CX89" s="243"/>
      <c r="CY89" s="243"/>
      <c r="CZ89" s="243"/>
      <c r="DA89" s="243"/>
      <c r="DB89" s="243"/>
      <c r="DC89" s="243"/>
      <c r="DD89" s="243"/>
      <c r="DE89" s="243"/>
      <c r="DF89" s="243"/>
      <c r="DG89" s="243"/>
      <c r="DH89" s="243"/>
      <c r="DI89" s="243"/>
      <c r="DJ89" s="243"/>
      <c r="DK89" s="243"/>
      <c r="DL89" s="243"/>
      <c r="DM89" s="243"/>
      <c r="DN89" s="243"/>
      <c r="DO89" s="243"/>
      <c r="DP89" s="243"/>
      <c r="DQ89" s="243"/>
      <c r="DR89" s="243"/>
    </row>
    <row r="90" spans="16:122" x14ac:dyDescent="0.2"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M90" s="243"/>
      <c r="AN90" s="243"/>
      <c r="AO90" s="243"/>
      <c r="AP90" s="243"/>
      <c r="AQ90" s="243"/>
      <c r="AR90" s="243"/>
      <c r="AS90" s="243"/>
      <c r="AT90" s="243"/>
      <c r="AU90" s="243"/>
      <c r="AV90" s="243"/>
      <c r="AW90" s="243"/>
      <c r="AX90" s="243"/>
      <c r="AY90" s="243"/>
      <c r="AZ90" s="243"/>
      <c r="BA90" s="243"/>
      <c r="BB90" s="243"/>
      <c r="BC90" s="243"/>
      <c r="BD90" s="243"/>
      <c r="BE90" s="243"/>
      <c r="BF90" s="243"/>
      <c r="BG90" s="243"/>
      <c r="BH90" s="243"/>
      <c r="BI90" s="243"/>
      <c r="BJ90" s="243"/>
      <c r="BK90" s="243"/>
      <c r="BL90" s="243"/>
      <c r="BM90" s="243"/>
      <c r="BN90" s="243"/>
      <c r="BO90" s="243"/>
      <c r="BP90" s="243"/>
      <c r="BQ90" s="243"/>
      <c r="BR90" s="243"/>
      <c r="BS90" s="243"/>
      <c r="BT90" s="243"/>
      <c r="BU90" s="243"/>
      <c r="BV90" s="243"/>
      <c r="BW90" s="243"/>
      <c r="BX90" s="243"/>
      <c r="BY90" s="243"/>
      <c r="BZ90" s="243"/>
      <c r="CA90" s="243"/>
      <c r="CB90" s="243"/>
      <c r="CC90" s="243"/>
      <c r="CD90" s="243"/>
      <c r="CE90" s="243"/>
      <c r="CF90" s="243"/>
      <c r="CG90" s="243"/>
      <c r="CH90" s="243"/>
      <c r="CI90" s="243"/>
      <c r="CJ90" s="243"/>
      <c r="CK90" s="243"/>
      <c r="CL90" s="243"/>
      <c r="CM90" s="243"/>
      <c r="CN90" s="243"/>
      <c r="CO90" s="243"/>
      <c r="CP90" s="243"/>
      <c r="CQ90" s="243"/>
      <c r="CR90" s="243"/>
      <c r="CS90" s="243"/>
      <c r="CT90" s="243"/>
      <c r="CU90" s="243"/>
      <c r="CV90" s="243"/>
      <c r="CW90" s="243"/>
      <c r="CX90" s="243"/>
      <c r="CY90" s="243"/>
      <c r="CZ90" s="243"/>
      <c r="DA90" s="243"/>
      <c r="DB90" s="243"/>
      <c r="DC90" s="243"/>
      <c r="DD90" s="243"/>
      <c r="DE90" s="243"/>
      <c r="DF90" s="243"/>
      <c r="DG90" s="243"/>
      <c r="DH90" s="243"/>
      <c r="DI90" s="243"/>
      <c r="DJ90" s="243"/>
      <c r="DK90" s="243"/>
      <c r="DL90" s="243"/>
      <c r="DM90" s="243"/>
      <c r="DN90" s="243"/>
      <c r="DO90" s="243"/>
      <c r="DP90" s="243"/>
      <c r="DQ90" s="243"/>
      <c r="DR90" s="243"/>
    </row>
    <row r="91" spans="16:122" x14ac:dyDescent="0.2">
      <c r="P91" s="243"/>
      <c r="Q91" s="243"/>
      <c r="R91" s="243"/>
      <c r="S91" s="243"/>
      <c r="T91" s="243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M91" s="243"/>
      <c r="AN91" s="243"/>
      <c r="AO91" s="243"/>
      <c r="AP91" s="243"/>
      <c r="AQ91" s="243"/>
      <c r="AR91" s="243"/>
      <c r="AS91" s="243"/>
      <c r="AT91" s="243"/>
      <c r="AU91" s="243"/>
      <c r="AV91" s="243"/>
      <c r="AW91" s="243"/>
      <c r="AX91" s="243"/>
      <c r="AY91" s="243"/>
      <c r="AZ91" s="243"/>
      <c r="BA91" s="243"/>
      <c r="BB91" s="243"/>
      <c r="BC91" s="243"/>
      <c r="BD91" s="243"/>
      <c r="BE91" s="243"/>
      <c r="BF91" s="243"/>
      <c r="BG91" s="243"/>
      <c r="BH91" s="243"/>
      <c r="BI91" s="243"/>
      <c r="BJ91" s="243"/>
      <c r="BK91" s="243"/>
      <c r="BL91" s="243"/>
      <c r="BM91" s="243"/>
      <c r="BN91" s="243"/>
      <c r="BO91" s="243"/>
      <c r="BP91" s="243"/>
      <c r="BQ91" s="243"/>
      <c r="BR91" s="243"/>
      <c r="BS91" s="243"/>
      <c r="BT91" s="243"/>
      <c r="BU91" s="243"/>
      <c r="BV91" s="243"/>
      <c r="BW91" s="243"/>
      <c r="BX91" s="243"/>
      <c r="BY91" s="243"/>
      <c r="BZ91" s="243"/>
      <c r="CA91" s="243"/>
      <c r="CB91" s="243"/>
      <c r="CC91" s="243"/>
      <c r="CD91" s="243"/>
      <c r="CE91" s="243"/>
      <c r="CF91" s="243"/>
      <c r="CG91" s="243"/>
      <c r="CH91" s="243"/>
      <c r="CI91" s="243"/>
      <c r="CJ91" s="243"/>
      <c r="CK91" s="243"/>
      <c r="CL91" s="243"/>
      <c r="CM91" s="243"/>
      <c r="CN91" s="243"/>
      <c r="CO91" s="243"/>
      <c r="CP91" s="243"/>
      <c r="CQ91" s="243"/>
      <c r="CR91" s="243"/>
      <c r="CS91" s="243"/>
      <c r="CT91" s="243"/>
      <c r="CU91" s="243"/>
      <c r="CV91" s="243"/>
      <c r="CW91" s="243"/>
      <c r="CX91" s="243"/>
      <c r="CY91" s="243"/>
      <c r="CZ91" s="243"/>
      <c r="DA91" s="243"/>
      <c r="DB91" s="243"/>
      <c r="DC91" s="243"/>
      <c r="DD91" s="243"/>
      <c r="DE91" s="243"/>
      <c r="DF91" s="243"/>
      <c r="DG91" s="243"/>
      <c r="DH91" s="243"/>
      <c r="DI91" s="243"/>
      <c r="DJ91" s="243"/>
      <c r="DK91" s="243"/>
      <c r="DL91" s="243"/>
      <c r="DM91" s="243"/>
      <c r="DN91" s="243"/>
      <c r="DO91" s="243"/>
      <c r="DP91" s="243"/>
      <c r="DQ91" s="243"/>
      <c r="DR91" s="243"/>
    </row>
    <row r="92" spans="16:122" x14ac:dyDescent="0.2"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</row>
    <row r="93" spans="16:122" x14ac:dyDescent="0.2">
      <c r="P93" s="243"/>
      <c r="Q93" s="243"/>
      <c r="R93" s="243"/>
      <c r="S93" s="243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  <c r="AM93" s="243"/>
      <c r="AN93" s="243"/>
      <c r="AO93" s="243"/>
      <c r="AP93" s="243"/>
      <c r="AQ93" s="243"/>
      <c r="AR93" s="243"/>
      <c r="AS93" s="243"/>
      <c r="AT93" s="243"/>
      <c r="AU93" s="243"/>
      <c r="AV93" s="243"/>
      <c r="AW93" s="243"/>
      <c r="AX93" s="243"/>
      <c r="AY93" s="243"/>
      <c r="AZ93" s="243"/>
      <c r="BA93" s="243"/>
      <c r="BB93" s="243"/>
      <c r="BC93" s="243"/>
      <c r="BD93" s="243"/>
      <c r="BE93" s="243"/>
      <c r="BF93" s="243"/>
      <c r="BG93" s="243"/>
      <c r="BH93" s="243"/>
      <c r="BI93" s="243"/>
      <c r="BJ93" s="243"/>
      <c r="BK93" s="243"/>
      <c r="BL93" s="243"/>
      <c r="BM93" s="243"/>
      <c r="BN93" s="243"/>
      <c r="BO93" s="243"/>
      <c r="BP93" s="243"/>
      <c r="BQ93" s="243"/>
      <c r="BR93" s="243"/>
      <c r="BS93" s="243"/>
      <c r="BT93" s="243"/>
      <c r="BU93" s="243"/>
      <c r="BV93" s="243"/>
      <c r="BW93" s="243"/>
      <c r="BX93" s="243"/>
      <c r="BY93" s="243"/>
      <c r="BZ93" s="243"/>
      <c r="CA93" s="243"/>
      <c r="CB93" s="243"/>
      <c r="CC93" s="243"/>
      <c r="CD93" s="243"/>
      <c r="CE93" s="243"/>
      <c r="CF93" s="243"/>
      <c r="CG93" s="243"/>
      <c r="CH93" s="243"/>
      <c r="CI93" s="243"/>
      <c r="CJ93" s="243"/>
      <c r="CK93" s="243"/>
      <c r="CL93" s="243"/>
      <c r="CM93" s="243"/>
      <c r="CN93" s="243"/>
      <c r="CO93" s="243"/>
      <c r="CP93" s="243"/>
      <c r="CQ93" s="243"/>
      <c r="CR93" s="243"/>
      <c r="CS93" s="243"/>
      <c r="CT93" s="243"/>
      <c r="CU93" s="243"/>
      <c r="CV93" s="243"/>
      <c r="CW93" s="243"/>
      <c r="CX93" s="243"/>
      <c r="CY93" s="243"/>
      <c r="CZ93" s="243"/>
      <c r="DA93" s="243"/>
      <c r="DB93" s="243"/>
      <c r="DC93" s="243"/>
      <c r="DD93" s="243"/>
      <c r="DE93" s="243"/>
      <c r="DF93" s="243"/>
      <c r="DG93" s="243"/>
      <c r="DH93" s="243"/>
      <c r="DI93" s="243"/>
      <c r="DJ93" s="243"/>
      <c r="DK93" s="243"/>
      <c r="DL93" s="243"/>
      <c r="DM93" s="243"/>
      <c r="DN93" s="243"/>
      <c r="DO93" s="243"/>
      <c r="DP93" s="243"/>
      <c r="DQ93" s="243"/>
      <c r="DR93" s="243"/>
    </row>
    <row r="94" spans="16:122" x14ac:dyDescent="0.2">
      <c r="P94" s="243"/>
      <c r="Q94" s="243"/>
      <c r="R94" s="243"/>
      <c r="S94" s="243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  <c r="AM94" s="243"/>
      <c r="AN94" s="243"/>
      <c r="AO94" s="243"/>
      <c r="AP94" s="243"/>
      <c r="AQ94" s="243"/>
      <c r="AR94" s="243"/>
      <c r="AS94" s="243"/>
      <c r="AT94" s="243"/>
      <c r="AU94" s="243"/>
      <c r="AV94" s="243"/>
      <c r="AW94" s="243"/>
      <c r="AX94" s="243"/>
      <c r="AY94" s="243"/>
      <c r="AZ94" s="243"/>
      <c r="BA94" s="243"/>
      <c r="BB94" s="243"/>
      <c r="BC94" s="243"/>
      <c r="BD94" s="243"/>
      <c r="BE94" s="243"/>
      <c r="BF94" s="243"/>
      <c r="BG94" s="243"/>
      <c r="BH94" s="243"/>
      <c r="BI94" s="243"/>
      <c r="BJ94" s="243"/>
      <c r="BK94" s="243"/>
      <c r="BL94" s="243"/>
      <c r="BM94" s="243"/>
      <c r="BN94" s="243"/>
      <c r="BO94" s="243"/>
      <c r="BP94" s="243"/>
      <c r="BQ94" s="243"/>
      <c r="BR94" s="243"/>
      <c r="BS94" s="243"/>
      <c r="BT94" s="243"/>
      <c r="BU94" s="243"/>
      <c r="BV94" s="243"/>
      <c r="BW94" s="243"/>
      <c r="BX94" s="243"/>
      <c r="BY94" s="243"/>
      <c r="BZ94" s="243"/>
      <c r="CA94" s="243"/>
      <c r="CB94" s="243"/>
      <c r="CC94" s="243"/>
      <c r="CD94" s="243"/>
      <c r="CE94" s="243"/>
      <c r="CF94" s="243"/>
      <c r="CG94" s="243"/>
      <c r="CH94" s="243"/>
      <c r="CI94" s="243"/>
      <c r="CJ94" s="243"/>
      <c r="CK94" s="243"/>
      <c r="CL94" s="243"/>
      <c r="CM94" s="243"/>
      <c r="CN94" s="243"/>
      <c r="CO94" s="243"/>
      <c r="CP94" s="243"/>
      <c r="CQ94" s="243"/>
      <c r="CR94" s="243"/>
      <c r="CS94" s="243"/>
      <c r="CT94" s="243"/>
      <c r="CU94" s="243"/>
      <c r="CV94" s="243"/>
      <c r="CW94" s="243"/>
      <c r="CX94" s="243"/>
      <c r="CY94" s="243"/>
      <c r="CZ94" s="243"/>
      <c r="DA94" s="243"/>
      <c r="DB94" s="243"/>
      <c r="DC94" s="243"/>
      <c r="DD94" s="243"/>
      <c r="DE94" s="243"/>
      <c r="DF94" s="243"/>
      <c r="DG94" s="243"/>
      <c r="DH94" s="243"/>
      <c r="DI94" s="243"/>
      <c r="DJ94" s="243"/>
      <c r="DK94" s="243"/>
      <c r="DL94" s="243"/>
      <c r="DM94" s="243"/>
      <c r="DN94" s="243"/>
      <c r="DO94" s="243"/>
      <c r="DP94" s="243"/>
      <c r="DQ94" s="243"/>
      <c r="DR94" s="243"/>
    </row>
    <row r="95" spans="16:122" x14ac:dyDescent="0.2"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  <c r="AM95" s="243"/>
      <c r="AN95" s="243"/>
      <c r="AO95" s="243"/>
      <c r="AP95" s="243"/>
      <c r="AQ95" s="243"/>
      <c r="AR95" s="243"/>
      <c r="AS95" s="243"/>
      <c r="AT95" s="243"/>
      <c r="AU95" s="243"/>
      <c r="AV95" s="243"/>
      <c r="AW95" s="243"/>
      <c r="AX95" s="243"/>
      <c r="AY95" s="243"/>
      <c r="AZ95" s="243"/>
      <c r="BA95" s="243"/>
      <c r="BB95" s="243"/>
      <c r="BC95" s="243"/>
      <c r="BD95" s="243"/>
      <c r="BE95" s="243"/>
      <c r="BF95" s="243"/>
      <c r="BG95" s="243"/>
      <c r="BH95" s="243"/>
      <c r="BI95" s="243"/>
      <c r="BJ95" s="243"/>
      <c r="BK95" s="243"/>
      <c r="BL95" s="243"/>
      <c r="BM95" s="243"/>
      <c r="BN95" s="243"/>
      <c r="BO95" s="243"/>
      <c r="BP95" s="243"/>
      <c r="BQ95" s="243"/>
      <c r="BR95" s="243"/>
      <c r="BS95" s="243"/>
      <c r="BT95" s="243"/>
      <c r="BU95" s="243"/>
      <c r="BV95" s="243"/>
      <c r="BW95" s="243"/>
      <c r="BX95" s="243"/>
      <c r="BY95" s="243"/>
      <c r="BZ95" s="243"/>
      <c r="CA95" s="243"/>
      <c r="CB95" s="243"/>
      <c r="CC95" s="243"/>
      <c r="CD95" s="243"/>
      <c r="CE95" s="243"/>
      <c r="CF95" s="243"/>
      <c r="CG95" s="243"/>
      <c r="CH95" s="243"/>
      <c r="CI95" s="243"/>
      <c r="CJ95" s="243"/>
      <c r="CK95" s="243"/>
      <c r="CL95" s="243"/>
      <c r="CM95" s="243"/>
      <c r="CN95" s="243"/>
      <c r="CO95" s="243"/>
      <c r="CP95" s="243"/>
      <c r="CQ95" s="243"/>
      <c r="CR95" s="243"/>
      <c r="CS95" s="243"/>
      <c r="CT95" s="243"/>
      <c r="CU95" s="243"/>
      <c r="CV95" s="243"/>
      <c r="CW95" s="243"/>
      <c r="CX95" s="243"/>
      <c r="CY95" s="243"/>
      <c r="CZ95" s="243"/>
      <c r="DA95" s="243"/>
      <c r="DB95" s="243"/>
      <c r="DC95" s="243"/>
      <c r="DD95" s="243"/>
      <c r="DE95" s="243"/>
      <c r="DF95" s="243"/>
      <c r="DG95" s="243"/>
      <c r="DH95" s="243"/>
      <c r="DI95" s="243"/>
      <c r="DJ95" s="243"/>
      <c r="DK95" s="243"/>
      <c r="DL95" s="243"/>
      <c r="DM95" s="243"/>
      <c r="DN95" s="243"/>
      <c r="DO95" s="243"/>
      <c r="DP95" s="243"/>
      <c r="DQ95" s="243"/>
      <c r="DR95" s="243"/>
    </row>
    <row r="96" spans="16:122" x14ac:dyDescent="0.2"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  <c r="AM96" s="243"/>
      <c r="AN96" s="243"/>
      <c r="AO96" s="243"/>
      <c r="AP96" s="243"/>
      <c r="AQ96" s="243"/>
      <c r="AR96" s="243"/>
      <c r="AS96" s="243"/>
      <c r="AT96" s="243"/>
      <c r="AU96" s="243"/>
      <c r="AV96" s="243"/>
      <c r="AW96" s="243"/>
      <c r="AX96" s="243"/>
      <c r="AY96" s="243"/>
      <c r="AZ96" s="243"/>
      <c r="BA96" s="243"/>
      <c r="BB96" s="243"/>
      <c r="BC96" s="243"/>
      <c r="BD96" s="243"/>
      <c r="BE96" s="243"/>
      <c r="BF96" s="243"/>
      <c r="BG96" s="243"/>
      <c r="BH96" s="243"/>
      <c r="BI96" s="243"/>
      <c r="BJ96" s="243"/>
      <c r="BK96" s="243"/>
      <c r="BL96" s="243"/>
      <c r="BM96" s="243"/>
      <c r="BN96" s="243"/>
      <c r="BO96" s="243"/>
      <c r="BP96" s="243"/>
      <c r="BQ96" s="243"/>
      <c r="BR96" s="243"/>
      <c r="BS96" s="243"/>
      <c r="BT96" s="243"/>
      <c r="BU96" s="243"/>
      <c r="BV96" s="243"/>
      <c r="BW96" s="243"/>
      <c r="BX96" s="243"/>
      <c r="BY96" s="243"/>
      <c r="BZ96" s="243"/>
      <c r="CA96" s="243"/>
      <c r="CB96" s="243"/>
      <c r="CC96" s="243"/>
      <c r="CD96" s="243"/>
      <c r="CE96" s="243"/>
      <c r="CF96" s="243"/>
      <c r="CG96" s="243"/>
      <c r="CH96" s="243"/>
      <c r="CI96" s="243"/>
      <c r="CJ96" s="243"/>
      <c r="CK96" s="243"/>
      <c r="CL96" s="243"/>
      <c r="CM96" s="243"/>
      <c r="CN96" s="243"/>
      <c r="CO96" s="243"/>
      <c r="CP96" s="243"/>
      <c r="CQ96" s="243"/>
      <c r="CR96" s="243"/>
      <c r="CS96" s="243"/>
      <c r="CT96" s="243"/>
      <c r="CU96" s="243"/>
      <c r="CV96" s="243"/>
      <c r="CW96" s="243"/>
      <c r="CX96" s="243"/>
      <c r="CY96" s="243"/>
      <c r="CZ96" s="243"/>
      <c r="DA96" s="243"/>
      <c r="DB96" s="243"/>
      <c r="DC96" s="243"/>
      <c r="DD96" s="243"/>
      <c r="DE96" s="243"/>
      <c r="DF96" s="243"/>
      <c r="DG96" s="243"/>
      <c r="DH96" s="243"/>
      <c r="DI96" s="243"/>
      <c r="DJ96" s="243"/>
      <c r="DK96" s="243"/>
      <c r="DL96" s="243"/>
      <c r="DM96" s="243"/>
      <c r="DN96" s="243"/>
      <c r="DO96" s="243"/>
      <c r="DP96" s="243"/>
      <c r="DQ96" s="243"/>
      <c r="DR96" s="243"/>
    </row>
    <row r="97" spans="16:122" x14ac:dyDescent="0.2"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M97" s="243"/>
      <c r="AN97" s="243"/>
      <c r="AO97" s="243"/>
      <c r="AP97" s="243"/>
      <c r="AQ97" s="243"/>
      <c r="AR97" s="243"/>
      <c r="AS97" s="243"/>
      <c r="AT97" s="243"/>
      <c r="AU97" s="243"/>
      <c r="AV97" s="243"/>
      <c r="AW97" s="243"/>
      <c r="AX97" s="243"/>
      <c r="AY97" s="243"/>
      <c r="AZ97" s="243"/>
      <c r="BA97" s="243"/>
      <c r="BB97" s="243"/>
      <c r="BC97" s="243"/>
      <c r="BD97" s="243"/>
      <c r="BE97" s="243"/>
      <c r="BF97" s="243"/>
      <c r="BG97" s="243"/>
      <c r="BH97" s="243"/>
      <c r="BI97" s="243"/>
      <c r="BJ97" s="243"/>
      <c r="BK97" s="243"/>
      <c r="BL97" s="243"/>
      <c r="BM97" s="243"/>
      <c r="BN97" s="243"/>
      <c r="BO97" s="243"/>
      <c r="BP97" s="243"/>
      <c r="BQ97" s="243"/>
      <c r="BR97" s="243"/>
      <c r="BS97" s="243"/>
      <c r="BT97" s="243"/>
      <c r="BU97" s="243"/>
      <c r="BV97" s="243"/>
      <c r="BW97" s="243"/>
      <c r="BX97" s="243"/>
      <c r="BY97" s="243"/>
      <c r="BZ97" s="243"/>
      <c r="CA97" s="243"/>
      <c r="CB97" s="243"/>
      <c r="CC97" s="243"/>
      <c r="CD97" s="243"/>
      <c r="CE97" s="243"/>
      <c r="CF97" s="243"/>
      <c r="CG97" s="243"/>
      <c r="CH97" s="243"/>
      <c r="CI97" s="243"/>
      <c r="CJ97" s="243"/>
      <c r="CK97" s="243"/>
      <c r="CL97" s="243"/>
      <c r="CM97" s="243"/>
      <c r="CN97" s="243"/>
      <c r="CO97" s="243"/>
      <c r="CP97" s="243"/>
      <c r="CQ97" s="243"/>
      <c r="CR97" s="243"/>
      <c r="CS97" s="243"/>
      <c r="CT97" s="243"/>
      <c r="CU97" s="243"/>
      <c r="CV97" s="243"/>
      <c r="CW97" s="243"/>
      <c r="CX97" s="243"/>
      <c r="CY97" s="243"/>
      <c r="CZ97" s="243"/>
      <c r="DA97" s="243"/>
      <c r="DB97" s="243"/>
      <c r="DC97" s="243"/>
      <c r="DD97" s="243"/>
      <c r="DE97" s="243"/>
      <c r="DF97" s="243"/>
      <c r="DG97" s="243"/>
      <c r="DH97" s="243"/>
      <c r="DI97" s="243"/>
      <c r="DJ97" s="243"/>
      <c r="DK97" s="243"/>
      <c r="DL97" s="243"/>
      <c r="DM97" s="243"/>
      <c r="DN97" s="243"/>
      <c r="DO97" s="243"/>
      <c r="DP97" s="243"/>
      <c r="DQ97" s="243"/>
      <c r="DR97" s="243"/>
    </row>
    <row r="98" spans="16:122" x14ac:dyDescent="0.2"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M98" s="243"/>
      <c r="AN98" s="243"/>
      <c r="AO98" s="243"/>
      <c r="AP98" s="243"/>
      <c r="AQ98" s="243"/>
      <c r="AR98" s="243"/>
      <c r="AS98" s="243"/>
      <c r="AT98" s="243"/>
      <c r="AU98" s="243"/>
      <c r="AV98" s="243"/>
      <c r="AW98" s="243"/>
      <c r="AX98" s="243"/>
      <c r="AY98" s="243"/>
      <c r="AZ98" s="243"/>
      <c r="BA98" s="243"/>
      <c r="BB98" s="243"/>
      <c r="BC98" s="243"/>
      <c r="BD98" s="243"/>
      <c r="BE98" s="243"/>
      <c r="BF98" s="243"/>
      <c r="BG98" s="243"/>
      <c r="BH98" s="243"/>
      <c r="BI98" s="243"/>
      <c r="BJ98" s="243"/>
      <c r="BK98" s="243"/>
      <c r="BL98" s="243"/>
      <c r="BM98" s="243"/>
      <c r="BN98" s="243"/>
      <c r="BO98" s="243"/>
      <c r="BP98" s="243"/>
      <c r="BQ98" s="243"/>
      <c r="BR98" s="243"/>
      <c r="BS98" s="243"/>
      <c r="BT98" s="243"/>
      <c r="BU98" s="243"/>
      <c r="BV98" s="243"/>
      <c r="BW98" s="243"/>
      <c r="BX98" s="243"/>
      <c r="BY98" s="243"/>
      <c r="BZ98" s="243"/>
      <c r="CA98" s="243"/>
      <c r="CB98" s="243"/>
      <c r="CC98" s="243"/>
      <c r="CD98" s="243"/>
      <c r="CE98" s="243"/>
      <c r="CF98" s="243"/>
      <c r="CG98" s="243"/>
      <c r="CH98" s="243"/>
      <c r="CI98" s="243"/>
      <c r="CJ98" s="243"/>
      <c r="CK98" s="243"/>
      <c r="CL98" s="243"/>
      <c r="CM98" s="243"/>
      <c r="CN98" s="243"/>
      <c r="CO98" s="243"/>
      <c r="CP98" s="243"/>
      <c r="CQ98" s="243"/>
      <c r="CR98" s="243"/>
      <c r="CS98" s="243"/>
      <c r="CT98" s="243"/>
      <c r="CU98" s="243"/>
      <c r="CV98" s="243"/>
      <c r="CW98" s="243"/>
      <c r="CX98" s="243"/>
      <c r="CY98" s="243"/>
      <c r="CZ98" s="243"/>
      <c r="DA98" s="243"/>
      <c r="DB98" s="243"/>
      <c r="DC98" s="243"/>
      <c r="DD98" s="243"/>
      <c r="DE98" s="243"/>
      <c r="DF98" s="243"/>
      <c r="DG98" s="243"/>
      <c r="DH98" s="243"/>
      <c r="DI98" s="243"/>
      <c r="DJ98" s="243"/>
      <c r="DK98" s="243"/>
      <c r="DL98" s="243"/>
      <c r="DM98" s="243"/>
      <c r="DN98" s="243"/>
      <c r="DO98" s="243"/>
      <c r="DP98" s="243"/>
      <c r="DQ98" s="243"/>
      <c r="DR98" s="243"/>
    </row>
    <row r="99" spans="16:122" x14ac:dyDescent="0.2">
      <c r="P99" s="243"/>
      <c r="Q99" s="243"/>
      <c r="R99" s="243"/>
      <c r="S99" s="243"/>
      <c r="T99" s="243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M99" s="243"/>
      <c r="AN99" s="243"/>
      <c r="AO99" s="243"/>
      <c r="AP99" s="243"/>
      <c r="AQ99" s="243"/>
      <c r="AR99" s="243"/>
      <c r="AS99" s="243"/>
      <c r="AT99" s="243"/>
      <c r="AU99" s="243"/>
      <c r="AV99" s="243"/>
      <c r="AW99" s="243"/>
      <c r="AX99" s="243"/>
      <c r="AY99" s="243"/>
      <c r="AZ99" s="243"/>
      <c r="BA99" s="243"/>
      <c r="BB99" s="243"/>
      <c r="BC99" s="243"/>
      <c r="BD99" s="243"/>
      <c r="BE99" s="243"/>
      <c r="BF99" s="243"/>
      <c r="BG99" s="243"/>
      <c r="BH99" s="243"/>
      <c r="BI99" s="243"/>
      <c r="BJ99" s="243"/>
      <c r="BK99" s="243"/>
      <c r="BL99" s="243"/>
      <c r="BM99" s="243"/>
      <c r="BN99" s="243"/>
      <c r="BO99" s="243"/>
      <c r="BP99" s="243"/>
      <c r="BQ99" s="243"/>
      <c r="BR99" s="243"/>
      <c r="BS99" s="243"/>
      <c r="BT99" s="243"/>
      <c r="BU99" s="243"/>
      <c r="BV99" s="243"/>
      <c r="BW99" s="243"/>
      <c r="BX99" s="243"/>
      <c r="BY99" s="243"/>
      <c r="BZ99" s="243"/>
      <c r="CA99" s="243"/>
      <c r="CB99" s="243"/>
      <c r="CC99" s="243"/>
      <c r="CD99" s="243"/>
      <c r="CE99" s="243"/>
      <c r="CF99" s="243"/>
      <c r="CG99" s="243"/>
      <c r="CH99" s="243"/>
      <c r="CI99" s="243"/>
      <c r="CJ99" s="243"/>
      <c r="CK99" s="243"/>
      <c r="CL99" s="243"/>
      <c r="CM99" s="243"/>
      <c r="CN99" s="243"/>
      <c r="CO99" s="243"/>
      <c r="CP99" s="243"/>
      <c r="CQ99" s="243"/>
      <c r="CR99" s="243"/>
      <c r="CS99" s="243"/>
      <c r="CT99" s="243"/>
      <c r="CU99" s="243"/>
      <c r="CV99" s="243"/>
      <c r="CW99" s="243"/>
      <c r="CX99" s="243"/>
      <c r="CY99" s="243"/>
      <c r="CZ99" s="243"/>
      <c r="DA99" s="243"/>
      <c r="DB99" s="243"/>
      <c r="DC99" s="243"/>
      <c r="DD99" s="243"/>
      <c r="DE99" s="243"/>
      <c r="DF99" s="243"/>
      <c r="DG99" s="243"/>
      <c r="DH99" s="243"/>
      <c r="DI99" s="243"/>
      <c r="DJ99" s="243"/>
      <c r="DK99" s="243"/>
      <c r="DL99" s="243"/>
      <c r="DM99" s="243"/>
      <c r="DN99" s="243"/>
      <c r="DO99" s="243"/>
      <c r="DP99" s="243"/>
      <c r="DQ99" s="243"/>
      <c r="DR99" s="243"/>
    </row>
    <row r="100" spans="16:122" x14ac:dyDescent="0.2"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  <c r="AO100" s="243"/>
      <c r="AP100" s="243"/>
      <c r="AQ100" s="243"/>
      <c r="AR100" s="243"/>
      <c r="AS100" s="243"/>
      <c r="AT100" s="243"/>
      <c r="AU100" s="243"/>
      <c r="AV100" s="243"/>
      <c r="AW100" s="243"/>
      <c r="AX100" s="243"/>
      <c r="AY100" s="243"/>
      <c r="AZ100" s="243"/>
      <c r="BA100" s="243"/>
      <c r="BB100" s="243"/>
      <c r="BC100" s="243"/>
      <c r="BD100" s="243"/>
      <c r="BE100" s="243"/>
      <c r="BF100" s="243"/>
      <c r="BG100" s="243"/>
      <c r="BH100" s="243"/>
      <c r="BI100" s="243"/>
      <c r="BJ100" s="243"/>
      <c r="BK100" s="243"/>
      <c r="BL100" s="243"/>
      <c r="BM100" s="243"/>
      <c r="BN100" s="243"/>
      <c r="BO100" s="243"/>
      <c r="BP100" s="243"/>
      <c r="BQ100" s="243"/>
      <c r="BR100" s="243"/>
      <c r="BS100" s="243"/>
      <c r="BT100" s="243"/>
      <c r="BU100" s="243"/>
      <c r="BV100" s="243"/>
      <c r="BW100" s="243"/>
      <c r="BX100" s="243"/>
      <c r="BY100" s="243"/>
      <c r="BZ100" s="243"/>
      <c r="CA100" s="243"/>
      <c r="CB100" s="243"/>
      <c r="CC100" s="243"/>
      <c r="CD100" s="243"/>
      <c r="CE100" s="243"/>
      <c r="CF100" s="243"/>
      <c r="CG100" s="243"/>
      <c r="CH100" s="243"/>
      <c r="CI100" s="243"/>
      <c r="CJ100" s="243"/>
      <c r="CK100" s="243"/>
      <c r="CL100" s="243"/>
      <c r="CM100" s="243"/>
      <c r="CN100" s="243"/>
      <c r="CO100" s="243"/>
      <c r="CP100" s="243"/>
      <c r="CQ100" s="243"/>
      <c r="CR100" s="243"/>
      <c r="CS100" s="243"/>
      <c r="CT100" s="243"/>
      <c r="CU100" s="243"/>
      <c r="CV100" s="243"/>
      <c r="CW100" s="243"/>
      <c r="CX100" s="243"/>
      <c r="CY100" s="243"/>
      <c r="CZ100" s="243"/>
      <c r="DA100" s="243"/>
      <c r="DB100" s="243"/>
      <c r="DC100" s="243"/>
      <c r="DD100" s="243"/>
      <c r="DE100" s="243"/>
      <c r="DF100" s="243"/>
      <c r="DG100" s="243"/>
      <c r="DH100" s="243"/>
      <c r="DI100" s="243"/>
      <c r="DJ100" s="243"/>
      <c r="DK100" s="243"/>
      <c r="DL100" s="243"/>
      <c r="DM100" s="243"/>
      <c r="DN100" s="243"/>
      <c r="DO100" s="243"/>
      <c r="DP100" s="243"/>
      <c r="DQ100" s="243"/>
      <c r="DR100" s="243"/>
    </row>
    <row r="101" spans="16:122" x14ac:dyDescent="0.2"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  <c r="AO101" s="243"/>
      <c r="AP101" s="243"/>
      <c r="AQ101" s="243"/>
      <c r="AR101" s="243"/>
      <c r="AS101" s="243"/>
      <c r="AT101" s="243"/>
      <c r="AU101" s="243"/>
      <c r="AV101" s="243"/>
      <c r="AW101" s="243"/>
      <c r="AX101" s="243"/>
      <c r="AY101" s="243"/>
      <c r="AZ101" s="243"/>
      <c r="BA101" s="243"/>
      <c r="BB101" s="243"/>
      <c r="BC101" s="243"/>
      <c r="BD101" s="243"/>
      <c r="BE101" s="243"/>
      <c r="BF101" s="243"/>
      <c r="BG101" s="243"/>
      <c r="BH101" s="243"/>
      <c r="BI101" s="243"/>
      <c r="BJ101" s="243"/>
      <c r="BK101" s="243"/>
      <c r="BL101" s="243"/>
      <c r="BM101" s="243"/>
      <c r="BN101" s="243"/>
      <c r="BO101" s="243"/>
      <c r="BP101" s="243"/>
      <c r="BQ101" s="243"/>
      <c r="BR101" s="243"/>
      <c r="BS101" s="243"/>
      <c r="BT101" s="243"/>
      <c r="BU101" s="243"/>
      <c r="BV101" s="243"/>
      <c r="BW101" s="243"/>
      <c r="BX101" s="243"/>
      <c r="BY101" s="243"/>
      <c r="BZ101" s="243"/>
      <c r="CA101" s="243"/>
      <c r="CB101" s="243"/>
      <c r="CC101" s="243"/>
      <c r="CD101" s="243"/>
      <c r="CE101" s="243"/>
      <c r="CF101" s="243"/>
      <c r="CG101" s="243"/>
      <c r="CH101" s="243"/>
      <c r="CI101" s="243"/>
      <c r="CJ101" s="243"/>
      <c r="CK101" s="243"/>
      <c r="CL101" s="243"/>
      <c r="CM101" s="243"/>
      <c r="CN101" s="243"/>
      <c r="CO101" s="243"/>
      <c r="CP101" s="243"/>
      <c r="CQ101" s="243"/>
      <c r="CR101" s="243"/>
      <c r="CS101" s="243"/>
      <c r="CT101" s="243"/>
      <c r="CU101" s="243"/>
      <c r="CV101" s="243"/>
      <c r="CW101" s="243"/>
      <c r="CX101" s="243"/>
      <c r="CY101" s="243"/>
      <c r="CZ101" s="243"/>
      <c r="DA101" s="243"/>
      <c r="DB101" s="243"/>
      <c r="DC101" s="243"/>
      <c r="DD101" s="243"/>
      <c r="DE101" s="243"/>
      <c r="DF101" s="243"/>
      <c r="DG101" s="243"/>
      <c r="DH101" s="243"/>
      <c r="DI101" s="243"/>
      <c r="DJ101" s="243"/>
      <c r="DK101" s="243"/>
      <c r="DL101" s="243"/>
      <c r="DM101" s="243"/>
      <c r="DN101" s="243"/>
      <c r="DO101" s="243"/>
      <c r="DP101" s="243"/>
      <c r="DQ101" s="243"/>
      <c r="DR101" s="243"/>
    </row>
    <row r="102" spans="16:122" x14ac:dyDescent="0.2"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3"/>
      <c r="BB102" s="243"/>
      <c r="BC102" s="243"/>
      <c r="BD102" s="243"/>
      <c r="BE102" s="243"/>
      <c r="BF102" s="243"/>
      <c r="BG102" s="243"/>
      <c r="BH102" s="243"/>
      <c r="BI102" s="243"/>
      <c r="BJ102" s="243"/>
      <c r="BK102" s="243"/>
      <c r="BL102" s="243"/>
      <c r="BM102" s="243"/>
      <c r="BN102" s="243"/>
      <c r="BO102" s="243"/>
      <c r="BP102" s="243"/>
      <c r="BQ102" s="243"/>
      <c r="BR102" s="243"/>
      <c r="BS102" s="243"/>
      <c r="BT102" s="243"/>
      <c r="BU102" s="243"/>
      <c r="BV102" s="243"/>
      <c r="BW102" s="243"/>
      <c r="BX102" s="243"/>
      <c r="BY102" s="243"/>
      <c r="BZ102" s="243"/>
      <c r="CA102" s="243"/>
      <c r="CB102" s="243"/>
      <c r="CC102" s="243"/>
      <c r="CD102" s="243"/>
      <c r="CE102" s="243"/>
      <c r="CF102" s="243"/>
      <c r="CG102" s="243"/>
      <c r="CH102" s="243"/>
      <c r="CI102" s="243"/>
      <c r="CJ102" s="243"/>
      <c r="CK102" s="243"/>
      <c r="CL102" s="243"/>
      <c r="CM102" s="243"/>
      <c r="CN102" s="243"/>
      <c r="CO102" s="243"/>
      <c r="CP102" s="243"/>
      <c r="CQ102" s="243"/>
      <c r="CR102" s="243"/>
      <c r="CS102" s="243"/>
      <c r="CT102" s="243"/>
      <c r="CU102" s="243"/>
      <c r="CV102" s="243"/>
      <c r="CW102" s="243"/>
      <c r="CX102" s="243"/>
      <c r="CY102" s="243"/>
      <c r="CZ102" s="243"/>
      <c r="DA102" s="243"/>
      <c r="DB102" s="243"/>
      <c r="DC102" s="243"/>
      <c r="DD102" s="243"/>
      <c r="DE102" s="243"/>
      <c r="DF102" s="243"/>
      <c r="DG102" s="243"/>
      <c r="DH102" s="243"/>
      <c r="DI102" s="243"/>
      <c r="DJ102" s="243"/>
      <c r="DK102" s="243"/>
      <c r="DL102" s="243"/>
      <c r="DM102" s="243"/>
      <c r="DN102" s="243"/>
      <c r="DO102" s="243"/>
      <c r="DP102" s="243"/>
      <c r="DQ102" s="243"/>
      <c r="DR102" s="243"/>
    </row>
    <row r="103" spans="16:122" x14ac:dyDescent="0.2"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M103" s="243"/>
      <c r="AN103" s="243"/>
      <c r="AO103" s="243"/>
      <c r="AP103" s="243"/>
      <c r="AQ103" s="243"/>
      <c r="AR103" s="243"/>
      <c r="AS103" s="243"/>
      <c r="AT103" s="243"/>
      <c r="AU103" s="243"/>
      <c r="AV103" s="243"/>
      <c r="AW103" s="243"/>
      <c r="AX103" s="243"/>
      <c r="AY103" s="243"/>
      <c r="AZ103" s="243"/>
      <c r="BA103" s="243"/>
      <c r="BB103" s="243"/>
      <c r="BC103" s="243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43"/>
      <c r="BN103" s="243"/>
      <c r="BO103" s="243"/>
      <c r="BP103" s="243"/>
      <c r="BQ103" s="243"/>
      <c r="BR103" s="243"/>
      <c r="BS103" s="243"/>
      <c r="BT103" s="243"/>
      <c r="BU103" s="243"/>
      <c r="BV103" s="243"/>
      <c r="BW103" s="243"/>
      <c r="BX103" s="243"/>
      <c r="BY103" s="243"/>
      <c r="BZ103" s="243"/>
      <c r="CA103" s="243"/>
      <c r="CB103" s="243"/>
      <c r="CC103" s="243"/>
      <c r="CD103" s="243"/>
      <c r="CE103" s="243"/>
      <c r="CF103" s="243"/>
      <c r="CG103" s="243"/>
      <c r="CH103" s="243"/>
      <c r="CI103" s="243"/>
      <c r="CJ103" s="243"/>
      <c r="CK103" s="243"/>
      <c r="CL103" s="243"/>
      <c r="CM103" s="243"/>
      <c r="CN103" s="243"/>
      <c r="CO103" s="243"/>
      <c r="CP103" s="243"/>
      <c r="CQ103" s="243"/>
      <c r="CR103" s="243"/>
      <c r="CS103" s="243"/>
      <c r="CT103" s="243"/>
      <c r="CU103" s="243"/>
      <c r="CV103" s="243"/>
      <c r="CW103" s="243"/>
      <c r="CX103" s="243"/>
      <c r="CY103" s="243"/>
      <c r="CZ103" s="243"/>
      <c r="DA103" s="243"/>
      <c r="DB103" s="243"/>
      <c r="DC103" s="243"/>
      <c r="DD103" s="243"/>
      <c r="DE103" s="243"/>
      <c r="DF103" s="243"/>
      <c r="DG103" s="243"/>
      <c r="DH103" s="243"/>
      <c r="DI103" s="243"/>
      <c r="DJ103" s="243"/>
      <c r="DK103" s="243"/>
      <c r="DL103" s="243"/>
      <c r="DM103" s="243"/>
      <c r="DN103" s="243"/>
      <c r="DO103" s="243"/>
      <c r="DP103" s="243"/>
      <c r="DQ103" s="243"/>
      <c r="DR103" s="243"/>
    </row>
    <row r="104" spans="16:122" x14ac:dyDescent="0.2"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M104" s="243"/>
      <c r="AN104" s="243"/>
      <c r="AO104" s="243"/>
      <c r="AP104" s="243"/>
      <c r="AQ104" s="243"/>
      <c r="AR104" s="243"/>
      <c r="AS104" s="243"/>
      <c r="AT104" s="243"/>
      <c r="AU104" s="243"/>
      <c r="AV104" s="243"/>
      <c r="AW104" s="243"/>
      <c r="AX104" s="243"/>
      <c r="AY104" s="243"/>
      <c r="AZ104" s="243"/>
      <c r="BA104" s="243"/>
      <c r="BB104" s="243"/>
      <c r="BC104" s="243"/>
      <c r="BD104" s="243"/>
      <c r="BE104" s="243"/>
      <c r="BF104" s="243"/>
      <c r="BG104" s="243"/>
      <c r="BH104" s="243"/>
      <c r="BI104" s="243"/>
      <c r="BJ104" s="243"/>
      <c r="BK104" s="243"/>
      <c r="BL104" s="243"/>
      <c r="BM104" s="243"/>
      <c r="BN104" s="243"/>
      <c r="BO104" s="243"/>
      <c r="BP104" s="243"/>
      <c r="BQ104" s="243"/>
      <c r="BR104" s="243"/>
      <c r="BS104" s="243"/>
      <c r="BT104" s="243"/>
      <c r="BU104" s="243"/>
      <c r="BV104" s="243"/>
      <c r="BW104" s="243"/>
      <c r="BX104" s="243"/>
      <c r="BY104" s="243"/>
      <c r="BZ104" s="243"/>
      <c r="CA104" s="243"/>
      <c r="CB104" s="243"/>
      <c r="CC104" s="243"/>
      <c r="CD104" s="243"/>
      <c r="CE104" s="243"/>
      <c r="CF104" s="243"/>
      <c r="CG104" s="243"/>
      <c r="CH104" s="243"/>
      <c r="CI104" s="243"/>
      <c r="CJ104" s="243"/>
      <c r="CK104" s="243"/>
      <c r="CL104" s="243"/>
      <c r="CM104" s="243"/>
      <c r="CN104" s="243"/>
      <c r="CO104" s="243"/>
      <c r="CP104" s="243"/>
      <c r="CQ104" s="243"/>
      <c r="CR104" s="243"/>
      <c r="CS104" s="243"/>
      <c r="CT104" s="243"/>
      <c r="CU104" s="243"/>
      <c r="CV104" s="243"/>
      <c r="CW104" s="243"/>
      <c r="CX104" s="243"/>
      <c r="CY104" s="243"/>
      <c r="CZ104" s="243"/>
      <c r="DA104" s="243"/>
      <c r="DB104" s="243"/>
      <c r="DC104" s="243"/>
      <c r="DD104" s="243"/>
      <c r="DE104" s="243"/>
      <c r="DF104" s="243"/>
      <c r="DG104" s="243"/>
      <c r="DH104" s="243"/>
      <c r="DI104" s="243"/>
      <c r="DJ104" s="243"/>
      <c r="DK104" s="243"/>
      <c r="DL104" s="243"/>
      <c r="DM104" s="243"/>
      <c r="DN104" s="243"/>
      <c r="DO104" s="243"/>
      <c r="DP104" s="243"/>
      <c r="DQ104" s="243"/>
      <c r="DR104" s="243"/>
    </row>
    <row r="105" spans="16:122" x14ac:dyDescent="0.2"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M105" s="243"/>
      <c r="AN105" s="243"/>
      <c r="AO105" s="243"/>
      <c r="AP105" s="243"/>
      <c r="AQ105" s="243"/>
      <c r="AR105" s="243"/>
      <c r="AS105" s="243"/>
      <c r="AT105" s="243"/>
      <c r="AU105" s="243"/>
      <c r="AV105" s="243"/>
      <c r="AW105" s="243"/>
      <c r="AX105" s="243"/>
      <c r="AY105" s="243"/>
      <c r="AZ105" s="243"/>
      <c r="BA105" s="243"/>
      <c r="BB105" s="243"/>
      <c r="BC105" s="243"/>
      <c r="BD105" s="243"/>
      <c r="BE105" s="243"/>
      <c r="BF105" s="243"/>
      <c r="BG105" s="243"/>
      <c r="BH105" s="243"/>
      <c r="BI105" s="243"/>
      <c r="BJ105" s="243"/>
      <c r="BK105" s="243"/>
      <c r="BL105" s="243"/>
      <c r="BM105" s="243"/>
      <c r="BN105" s="243"/>
      <c r="BO105" s="243"/>
      <c r="BP105" s="243"/>
      <c r="BQ105" s="243"/>
      <c r="BR105" s="243"/>
      <c r="BS105" s="243"/>
      <c r="BT105" s="243"/>
      <c r="BU105" s="243"/>
      <c r="BV105" s="243"/>
      <c r="BW105" s="243"/>
      <c r="BX105" s="243"/>
      <c r="BY105" s="243"/>
      <c r="BZ105" s="243"/>
      <c r="CA105" s="243"/>
      <c r="CB105" s="243"/>
      <c r="CC105" s="243"/>
      <c r="CD105" s="243"/>
      <c r="CE105" s="243"/>
      <c r="CF105" s="243"/>
      <c r="CG105" s="243"/>
      <c r="CH105" s="243"/>
      <c r="CI105" s="243"/>
      <c r="CJ105" s="243"/>
      <c r="CK105" s="243"/>
      <c r="CL105" s="243"/>
      <c r="CM105" s="243"/>
      <c r="CN105" s="243"/>
      <c r="CO105" s="243"/>
      <c r="CP105" s="243"/>
      <c r="CQ105" s="243"/>
      <c r="CR105" s="243"/>
      <c r="CS105" s="243"/>
      <c r="CT105" s="243"/>
      <c r="CU105" s="243"/>
      <c r="CV105" s="243"/>
      <c r="CW105" s="243"/>
      <c r="CX105" s="243"/>
      <c r="CY105" s="243"/>
      <c r="CZ105" s="243"/>
      <c r="DA105" s="243"/>
      <c r="DB105" s="243"/>
      <c r="DC105" s="243"/>
      <c r="DD105" s="243"/>
      <c r="DE105" s="243"/>
      <c r="DF105" s="243"/>
      <c r="DG105" s="243"/>
      <c r="DH105" s="243"/>
      <c r="DI105" s="243"/>
      <c r="DJ105" s="243"/>
      <c r="DK105" s="243"/>
      <c r="DL105" s="243"/>
      <c r="DM105" s="243"/>
      <c r="DN105" s="243"/>
      <c r="DO105" s="243"/>
      <c r="DP105" s="243"/>
      <c r="DQ105" s="243"/>
      <c r="DR105" s="243"/>
    </row>
    <row r="106" spans="16:122" x14ac:dyDescent="0.2"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M106" s="243"/>
      <c r="AN106" s="243"/>
      <c r="AO106" s="243"/>
      <c r="AP106" s="243"/>
      <c r="AQ106" s="243"/>
      <c r="AR106" s="243"/>
      <c r="AS106" s="243"/>
      <c r="AT106" s="243"/>
      <c r="AU106" s="243"/>
      <c r="AV106" s="243"/>
      <c r="AW106" s="243"/>
      <c r="AX106" s="243"/>
      <c r="AY106" s="243"/>
      <c r="AZ106" s="243"/>
      <c r="BA106" s="243"/>
      <c r="BB106" s="243"/>
      <c r="BC106" s="243"/>
      <c r="BD106" s="243"/>
      <c r="BE106" s="243"/>
      <c r="BF106" s="243"/>
      <c r="BG106" s="243"/>
      <c r="BH106" s="243"/>
      <c r="BI106" s="243"/>
      <c r="BJ106" s="243"/>
      <c r="BK106" s="243"/>
      <c r="BL106" s="243"/>
      <c r="BM106" s="243"/>
      <c r="BN106" s="243"/>
      <c r="BO106" s="243"/>
      <c r="BP106" s="243"/>
      <c r="BQ106" s="243"/>
      <c r="BR106" s="243"/>
      <c r="BS106" s="243"/>
      <c r="BT106" s="243"/>
      <c r="BU106" s="243"/>
      <c r="BV106" s="243"/>
      <c r="BW106" s="243"/>
      <c r="BX106" s="243"/>
      <c r="BY106" s="243"/>
      <c r="BZ106" s="243"/>
      <c r="CA106" s="243"/>
      <c r="CB106" s="243"/>
      <c r="CC106" s="243"/>
      <c r="CD106" s="243"/>
      <c r="CE106" s="243"/>
      <c r="CF106" s="243"/>
      <c r="CG106" s="243"/>
      <c r="CH106" s="243"/>
      <c r="CI106" s="243"/>
      <c r="CJ106" s="243"/>
      <c r="CK106" s="243"/>
      <c r="CL106" s="243"/>
      <c r="CM106" s="243"/>
      <c r="CN106" s="243"/>
      <c r="CO106" s="243"/>
      <c r="CP106" s="243"/>
      <c r="CQ106" s="243"/>
      <c r="CR106" s="243"/>
      <c r="CS106" s="243"/>
      <c r="CT106" s="243"/>
      <c r="CU106" s="243"/>
      <c r="CV106" s="243"/>
      <c r="CW106" s="243"/>
      <c r="CX106" s="243"/>
      <c r="CY106" s="243"/>
      <c r="CZ106" s="243"/>
      <c r="DA106" s="243"/>
      <c r="DB106" s="243"/>
      <c r="DC106" s="243"/>
      <c r="DD106" s="243"/>
      <c r="DE106" s="243"/>
      <c r="DF106" s="243"/>
      <c r="DG106" s="243"/>
      <c r="DH106" s="243"/>
      <c r="DI106" s="243"/>
      <c r="DJ106" s="243"/>
      <c r="DK106" s="243"/>
      <c r="DL106" s="243"/>
      <c r="DM106" s="243"/>
      <c r="DN106" s="243"/>
      <c r="DO106" s="243"/>
      <c r="DP106" s="243"/>
      <c r="DQ106" s="243"/>
      <c r="DR106" s="243"/>
    </row>
    <row r="107" spans="16:122" x14ac:dyDescent="0.2"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M107" s="243"/>
      <c r="AN107" s="243"/>
      <c r="AO107" s="243"/>
      <c r="AP107" s="243"/>
      <c r="AQ107" s="243"/>
      <c r="AR107" s="243"/>
      <c r="AS107" s="243"/>
      <c r="AT107" s="243"/>
      <c r="AU107" s="243"/>
      <c r="AV107" s="243"/>
      <c r="AW107" s="243"/>
      <c r="AX107" s="243"/>
      <c r="AY107" s="243"/>
      <c r="AZ107" s="243"/>
      <c r="BA107" s="243"/>
      <c r="BB107" s="243"/>
      <c r="BC107" s="243"/>
      <c r="BD107" s="243"/>
      <c r="BE107" s="243"/>
      <c r="BF107" s="243"/>
      <c r="BG107" s="243"/>
      <c r="BH107" s="243"/>
      <c r="BI107" s="243"/>
      <c r="BJ107" s="243"/>
      <c r="BK107" s="243"/>
      <c r="BL107" s="243"/>
      <c r="BM107" s="243"/>
      <c r="BN107" s="243"/>
      <c r="BO107" s="243"/>
      <c r="BP107" s="243"/>
      <c r="BQ107" s="243"/>
      <c r="BR107" s="243"/>
      <c r="BS107" s="243"/>
      <c r="BT107" s="243"/>
      <c r="BU107" s="243"/>
      <c r="BV107" s="243"/>
      <c r="BW107" s="243"/>
      <c r="BX107" s="243"/>
      <c r="BY107" s="243"/>
      <c r="BZ107" s="243"/>
      <c r="CA107" s="243"/>
      <c r="CB107" s="243"/>
      <c r="CC107" s="243"/>
      <c r="CD107" s="243"/>
      <c r="CE107" s="243"/>
      <c r="CF107" s="243"/>
      <c r="CG107" s="243"/>
      <c r="CH107" s="243"/>
      <c r="CI107" s="243"/>
      <c r="CJ107" s="243"/>
      <c r="CK107" s="243"/>
      <c r="CL107" s="243"/>
      <c r="CM107" s="243"/>
      <c r="CN107" s="243"/>
      <c r="CO107" s="243"/>
      <c r="CP107" s="243"/>
      <c r="CQ107" s="243"/>
      <c r="CR107" s="243"/>
      <c r="CS107" s="243"/>
      <c r="CT107" s="243"/>
      <c r="CU107" s="243"/>
      <c r="CV107" s="243"/>
      <c r="CW107" s="243"/>
      <c r="CX107" s="243"/>
      <c r="CY107" s="243"/>
      <c r="CZ107" s="243"/>
      <c r="DA107" s="243"/>
      <c r="DB107" s="243"/>
      <c r="DC107" s="243"/>
      <c r="DD107" s="243"/>
      <c r="DE107" s="243"/>
      <c r="DF107" s="243"/>
      <c r="DG107" s="243"/>
      <c r="DH107" s="243"/>
      <c r="DI107" s="243"/>
      <c r="DJ107" s="243"/>
      <c r="DK107" s="243"/>
      <c r="DL107" s="243"/>
      <c r="DM107" s="243"/>
      <c r="DN107" s="243"/>
      <c r="DO107" s="243"/>
      <c r="DP107" s="243"/>
      <c r="DQ107" s="243"/>
      <c r="DR107" s="243"/>
    </row>
    <row r="108" spans="16:122" x14ac:dyDescent="0.2"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M108" s="243"/>
      <c r="AN108" s="243"/>
      <c r="AO108" s="243"/>
      <c r="AP108" s="243"/>
      <c r="AQ108" s="243"/>
      <c r="AR108" s="243"/>
      <c r="AS108" s="243"/>
      <c r="AT108" s="243"/>
      <c r="AU108" s="243"/>
      <c r="AV108" s="243"/>
      <c r="AW108" s="243"/>
      <c r="AX108" s="243"/>
      <c r="AY108" s="243"/>
      <c r="AZ108" s="243"/>
      <c r="BA108" s="243"/>
      <c r="BB108" s="243"/>
      <c r="BC108" s="243"/>
      <c r="BD108" s="243"/>
      <c r="BE108" s="243"/>
      <c r="BF108" s="243"/>
      <c r="BG108" s="243"/>
      <c r="BH108" s="243"/>
      <c r="BI108" s="243"/>
      <c r="BJ108" s="243"/>
      <c r="BK108" s="243"/>
      <c r="BL108" s="243"/>
      <c r="BM108" s="243"/>
      <c r="BN108" s="243"/>
      <c r="BO108" s="243"/>
      <c r="BP108" s="243"/>
      <c r="BQ108" s="243"/>
      <c r="BR108" s="243"/>
      <c r="BS108" s="243"/>
      <c r="BT108" s="243"/>
      <c r="BU108" s="243"/>
      <c r="BV108" s="243"/>
      <c r="BW108" s="243"/>
      <c r="BX108" s="243"/>
      <c r="BY108" s="243"/>
      <c r="BZ108" s="243"/>
      <c r="CA108" s="243"/>
      <c r="CB108" s="243"/>
      <c r="CC108" s="243"/>
      <c r="CD108" s="243"/>
      <c r="CE108" s="243"/>
      <c r="CF108" s="243"/>
      <c r="CG108" s="243"/>
      <c r="CH108" s="243"/>
      <c r="CI108" s="243"/>
      <c r="CJ108" s="243"/>
      <c r="CK108" s="243"/>
      <c r="CL108" s="243"/>
      <c r="CM108" s="243"/>
      <c r="CN108" s="243"/>
      <c r="CO108" s="243"/>
      <c r="CP108" s="243"/>
      <c r="CQ108" s="243"/>
      <c r="CR108" s="243"/>
      <c r="CS108" s="243"/>
      <c r="CT108" s="243"/>
      <c r="CU108" s="243"/>
      <c r="CV108" s="243"/>
      <c r="CW108" s="243"/>
      <c r="CX108" s="243"/>
      <c r="CY108" s="243"/>
      <c r="CZ108" s="243"/>
      <c r="DA108" s="243"/>
      <c r="DB108" s="243"/>
      <c r="DC108" s="243"/>
      <c r="DD108" s="243"/>
      <c r="DE108" s="243"/>
      <c r="DF108" s="243"/>
      <c r="DG108" s="243"/>
      <c r="DH108" s="243"/>
      <c r="DI108" s="243"/>
      <c r="DJ108" s="243"/>
      <c r="DK108" s="243"/>
      <c r="DL108" s="243"/>
      <c r="DM108" s="243"/>
      <c r="DN108" s="243"/>
      <c r="DO108" s="243"/>
      <c r="DP108" s="243"/>
      <c r="DQ108" s="243"/>
      <c r="DR108" s="243"/>
    </row>
    <row r="109" spans="16:122" x14ac:dyDescent="0.2"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M109" s="243"/>
      <c r="AN109" s="243"/>
      <c r="AO109" s="243"/>
      <c r="AP109" s="243"/>
      <c r="AQ109" s="243"/>
      <c r="AR109" s="243"/>
      <c r="AS109" s="243"/>
      <c r="AT109" s="243"/>
      <c r="AU109" s="243"/>
      <c r="AV109" s="243"/>
      <c r="AW109" s="243"/>
      <c r="AX109" s="243"/>
      <c r="AY109" s="243"/>
      <c r="AZ109" s="243"/>
      <c r="BA109" s="243"/>
      <c r="BB109" s="243"/>
      <c r="BC109" s="243"/>
      <c r="BD109" s="243"/>
      <c r="BE109" s="243"/>
      <c r="BF109" s="243"/>
      <c r="BG109" s="243"/>
      <c r="BH109" s="243"/>
      <c r="BI109" s="243"/>
      <c r="BJ109" s="243"/>
      <c r="BK109" s="243"/>
      <c r="BL109" s="243"/>
      <c r="BM109" s="243"/>
      <c r="BN109" s="243"/>
      <c r="BO109" s="243"/>
      <c r="BP109" s="243"/>
      <c r="BQ109" s="243"/>
      <c r="BR109" s="243"/>
      <c r="BS109" s="243"/>
      <c r="BT109" s="243"/>
      <c r="BU109" s="243"/>
      <c r="BV109" s="243"/>
      <c r="BW109" s="243"/>
      <c r="BX109" s="243"/>
      <c r="BY109" s="243"/>
      <c r="BZ109" s="243"/>
      <c r="CA109" s="243"/>
      <c r="CB109" s="243"/>
      <c r="CC109" s="243"/>
      <c r="CD109" s="243"/>
      <c r="CE109" s="243"/>
      <c r="CF109" s="243"/>
      <c r="CG109" s="243"/>
      <c r="CH109" s="243"/>
      <c r="CI109" s="243"/>
      <c r="CJ109" s="243"/>
      <c r="CK109" s="243"/>
      <c r="CL109" s="243"/>
      <c r="CM109" s="243"/>
      <c r="CN109" s="243"/>
      <c r="CO109" s="243"/>
      <c r="CP109" s="243"/>
      <c r="CQ109" s="243"/>
      <c r="CR109" s="243"/>
      <c r="CS109" s="243"/>
      <c r="CT109" s="243"/>
      <c r="CU109" s="243"/>
      <c r="CV109" s="243"/>
      <c r="CW109" s="243"/>
      <c r="CX109" s="243"/>
      <c r="CY109" s="243"/>
      <c r="CZ109" s="243"/>
      <c r="DA109" s="243"/>
      <c r="DB109" s="243"/>
      <c r="DC109" s="243"/>
      <c r="DD109" s="243"/>
      <c r="DE109" s="243"/>
      <c r="DF109" s="243"/>
      <c r="DG109" s="243"/>
      <c r="DH109" s="243"/>
      <c r="DI109" s="243"/>
      <c r="DJ109" s="243"/>
      <c r="DK109" s="243"/>
      <c r="DL109" s="243"/>
      <c r="DM109" s="243"/>
      <c r="DN109" s="243"/>
      <c r="DO109" s="243"/>
      <c r="DP109" s="243"/>
      <c r="DQ109" s="243"/>
      <c r="DR109" s="243"/>
    </row>
    <row r="110" spans="16:122" x14ac:dyDescent="0.2"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M110" s="243"/>
      <c r="AN110" s="243"/>
      <c r="AO110" s="243"/>
      <c r="AP110" s="243"/>
      <c r="AQ110" s="243"/>
      <c r="AR110" s="243"/>
      <c r="AS110" s="243"/>
      <c r="AT110" s="243"/>
      <c r="AU110" s="243"/>
      <c r="AV110" s="243"/>
      <c r="AW110" s="243"/>
      <c r="AX110" s="243"/>
      <c r="AY110" s="243"/>
      <c r="AZ110" s="243"/>
      <c r="BA110" s="243"/>
      <c r="BB110" s="243"/>
      <c r="BC110" s="243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43"/>
      <c r="BN110" s="243"/>
      <c r="BO110" s="243"/>
      <c r="BP110" s="243"/>
      <c r="BQ110" s="243"/>
      <c r="BR110" s="243"/>
      <c r="BS110" s="243"/>
      <c r="BT110" s="243"/>
      <c r="BU110" s="243"/>
      <c r="BV110" s="243"/>
      <c r="BW110" s="243"/>
      <c r="BX110" s="243"/>
      <c r="BY110" s="243"/>
      <c r="BZ110" s="243"/>
      <c r="CA110" s="243"/>
      <c r="CB110" s="243"/>
      <c r="CC110" s="243"/>
      <c r="CD110" s="243"/>
      <c r="CE110" s="243"/>
      <c r="CF110" s="243"/>
      <c r="CG110" s="243"/>
      <c r="CH110" s="243"/>
      <c r="CI110" s="243"/>
      <c r="CJ110" s="243"/>
      <c r="CK110" s="243"/>
      <c r="CL110" s="243"/>
      <c r="CM110" s="243"/>
      <c r="CN110" s="243"/>
      <c r="CO110" s="243"/>
      <c r="CP110" s="243"/>
      <c r="CQ110" s="243"/>
      <c r="CR110" s="243"/>
      <c r="CS110" s="243"/>
      <c r="CT110" s="243"/>
      <c r="CU110" s="243"/>
      <c r="CV110" s="243"/>
      <c r="CW110" s="243"/>
      <c r="CX110" s="243"/>
      <c r="CY110" s="243"/>
      <c r="CZ110" s="243"/>
      <c r="DA110" s="243"/>
      <c r="DB110" s="243"/>
      <c r="DC110" s="243"/>
      <c r="DD110" s="243"/>
      <c r="DE110" s="243"/>
      <c r="DF110" s="243"/>
      <c r="DG110" s="243"/>
      <c r="DH110" s="243"/>
      <c r="DI110" s="243"/>
      <c r="DJ110" s="243"/>
      <c r="DK110" s="243"/>
      <c r="DL110" s="243"/>
      <c r="DM110" s="243"/>
      <c r="DN110" s="243"/>
      <c r="DO110" s="243"/>
      <c r="DP110" s="243"/>
      <c r="DQ110" s="243"/>
      <c r="DR110" s="243"/>
    </row>
    <row r="111" spans="16:122" x14ac:dyDescent="0.2"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  <c r="AM111" s="243"/>
      <c r="AN111" s="243"/>
      <c r="AO111" s="243"/>
      <c r="AP111" s="243"/>
      <c r="AQ111" s="243"/>
      <c r="AR111" s="243"/>
      <c r="AS111" s="243"/>
      <c r="AT111" s="243"/>
      <c r="AU111" s="243"/>
      <c r="AV111" s="243"/>
      <c r="AW111" s="243"/>
      <c r="AX111" s="243"/>
      <c r="AY111" s="243"/>
      <c r="AZ111" s="243"/>
      <c r="BA111" s="243"/>
      <c r="BB111" s="243"/>
      <c r="BC111" s="243"/>
      <c r="BD111" s="243"/>
      <c r="BE111" s="243"/>
      <c r="BF111" s="243"/>
      <c r="BG111" s="243"/>
      <c r="BH111" s="243"/>
      <c r="BI111" s="243"/>
      <c r="BJ111" s="243"/>
      <c r="BK111" s="243"/>
      <c r="BL111" s="243"/>
      <c r="BM111" s="243"/>
      <c r="BN111" s="243"/>
      <c r="BO111" s="243"/>
      <c r="BP111" s="243"/>
      <c r="BQ111" s="243"/>
      <c r="BR111" s="243"/>
      <c r="BS111" s="243"/>
      <c r="BT111" s="243"/>
      <c r="BU111" s="243"/>
      <c r="BV111" s="243"/>
      <c r="BW111" s="243"/>
      <c r="BX111" s="243"/>
      <c r="BY111" s="243"/>
      <c r="BZ111" s="243"/>
      <c r="CA111" s="243"/>
      <c r="CB111" s="243"/>
      <c r="CC111" s="243"/>
      <c r="CD111" s="243"/>
      <c r="CE111" s="243"/>
      <c r="CF111" s="243"/>
      <c r="CG111" s="243"/>
      <c r="CH111" s="243"/>
      <c r="CI111" s="243"/>
      <c r="CJ111" s="243"/>
      <c r="CK111" s="243"/>
      <c r="CL111" s="243"/>
      <c r="CM111" s="243"/>
      <c r="CN111" s="243"/>
      <c r="CO111" s="243"/>
      <c r="CP111" s="243"/>
      <c r="CQ111" s="243"/>
      <c r="CR111" s="243"/>
      <c r="CS111" s="243"/>
      <c r="CT111" s="243"/>
      <c r="CU111" s="243"/>
      <c r="CV111" s="243"/>
      <c r="CW111" s="243"/>
      <c r="CX111" s="243"/>
      <c r="CY111" s="243"/>
      <c r="CZ111" s="243"/>
      <c r="DA111" s="243"/>
      <c r="DB111" s="243"/>
      <c r="DC111" s="243"/>
      <c r="DD111" s="243"/>
      <c r="DE111" s="243"/>
      <c r="DF111" s="243"/>
      <c r="DG111" s="243"/>
      <c r="DH111" s="243"/>
      <c r="DI111" s="243"/>
      <c r="DJ111" s="243"/>
      <c r="DK111" s="243"/>
      <c r="DL111" s="243"/>
      <c r="DM111" s="243"/>
      <c r="DN111" s="243"/>
      <c r="DO111" s="243"/>
      <c r="DP111" s="243"/>
      <c r="DQ111" s="243"/>
      <c r="DR111" s="243"/>
    </row>
    <row r="112" spans="16:122" x14ac:dyDescent="0.2"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  <c r="AM112" s="243"/>
      <c r="AN112" s="243"/>
      <c r="AO112" s="243"/>
      <c r="AP112" s="243"/>
      <c r="AQ112" s="243"/>
      <c r="AR112" s="243"/>
      <c r="AS112" s="243"/>
      <c r="AT112" s="243"/>
      <c r="AU112" s="243"/>
      <c r="AV112" s="243"/>
      <c r="AW112" s="243"/>
      <c r="AX112" s="243"/>
      <c r="AY112" s="243"/>
      <c r="AZ112" s="243"/>
      <c r="BA112" s="243"/>
      <c r="BB112" s="243"/>
      <c r="BC112" s="243"/>
      <c r="BD112" s="243"/>
      <c r="BE112" s="243"/>
      <c r="BF112" s="243"/>
      <c r="BG112" s="243"/>
      <c r="BH112" s="243"/>
      <c r="BI112" s="243"/>
      <c r="BJ112" s="243"/>
      <c r="BK112" s="243"/>
      <c r="BL112" s="243"/>
      <c r="BM112" s="243"/>
      <c r="BN112" s="243"/>
      <c r="BO112" s="243"/>
      <c r="BP112" s="243"/>
      <c r="BQ112" s="243"/>
      <c r="BR112" s="243"/>
      <c r="BS112" s="243"/>
      <c r="BT112" s="243"/>
      <c r="BU112" s="243"/>
      <c r="BV112" s="243"/>
      <c r="BW112" s="243"/>
      <c r="BX112" s="243"/>
      <c r="BY112" s="243"/>
      <c r="BZ112" s="243"/>
      <c r="CA112" s="243"/>
      <c r="CB112" s="243"/>
      <c r="CC112" s="243"/>
      <c r="CD112" s="243"/>
      <c r="CE112" s="243"/>
      <c r="CF112" s="243"/>
      <c r="CG112" s="243"/>
      <c r="CH112" s="243"/>
      <c r="CI112" s="243"/>
      <c r="CJ112" s="243"/>
      <c r="CK112" s="243"/>
      <c r="CL112" s="243"/>
      <c r="CM112" s="243"/>
      <c r="CN112" s="243"/>
      <c r="CO112" s="243"/>
      <c r="CP112" s="243"/>
      <c r="CQ112" s="243"/>
      <c r="CR112" s="243"/>
      <c r="CS112" s="243"/>
      <c r="CT112" s="243"/>
      <c r="CU112" s="243"/>
      <c r="CV112" s="243"/>
      <c r="CW112" s="243"/>
      <c r="CX112" s="243"/>
      <c r="CY112" s="243"/>
      <c r="CZ112" s="243"/>
      <c r="DA112" s="243"/>
      <c r="DB112" s="243"/>
      <c r="DC112" s="243"/>
      <c r="DD112" s="243"/>
      <c r="DE112" s="243"/>
      <c r="DF112" s="243"/>
      <c r="DG112" s="243"/>
      <c r="DH112" s="243"/>
      <c r="DI112" s="243"/>
      <c r="DJ112" s="243"/>
      <c r="DK112" s="243"/>
      <c r="DL112" s="243"/>
      <c r="DM112" s="243"/>
      <c r="DN112" s="243"/>
      <c r="DO112" s="243"/>
      <c r="DP112" s="243"/>
      <c r="DQ112" s="243"/>
      <c r="DR112" s="243"/>
    </row>
    <row r="113" spans="16:122" x14ac:dyDescent="0.2"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  <c r="AM113" s="243"/>
      <c r="AN113" s="243"/>
      <c r="AO113" s="243"/>
      <c r="AP113" s="243"/>
      <c r="AQ113" s="243"/>
      <c r="AR113" s="243"/>
      <c r="AS113" s="243"/>
      <c r="AT113" s="243"/>
      <c r="AU113" s="243"/>
      <c r="AV113" s="243"/>
      <c r="AW113" s="243"/>
      <c r="AX113" s="243"/>
      <c r="AY113" s="243"/>
      <c r="AZ113" s="243"/>
      <c r="BA113" s="243"/>
      <c r="BB113" s="243"/>
      <c r="BC113" s="243"/>
      <c r="BD113" s="243"/>
      <c r="BE113" s="243"/>
      <c r="BF113" s="243"/>
      <c r="BG113" s="243"/>
      <c r="BH113" s="243"/>
      <c r="BI113" s="243"/>
      <c r="BJ113" s="243"/>
      <c r="BK113" s="243"/>
      <c r="BL113" s="243"/>
      <c r="BM113" s="243"/>
      <c r="BN113" s="243"/>
      <c r="BO113" s="243"/>
      <c r="BP113" s="243"/>
      <c r="BQ113" s="243"/>
      <c r="BR113" s="243"/>
      <c r="BS113" s="243"/>
      <c r="BT113" s="243"/>
      <c r="BU113" s="243"/>
      <c r="BV113" s="243"/>
      <c r="BW113" s="243"/>
      <c r="BX113" s="243"/>
      <c r="BY113" s="243"/>
      <c r="BZ113" s="243"/>
      <c r="CA113" s="243"/>
      <c r="CB113" s="243"/>
      <c r="CC113" s="243"/>
      <c r="CD113" s="243"/>
      <c r="CE113" s="243"/>
      <c r="CF113" s="243"/>
      <c r="CG113" s="243"/>
      <c r="CH113" s="243"/>
      <c r="CI113" s="243"/>
      <c r="CJ113" s="243"/>
      <c r="CK113" s="243"/>
      <c r="CL113" s="243"/>
      <c r="CM113" s="243"/>
      <c r="CN113" s="243"/>
      <c r="CO113" s="243"/>
      <c r="CP113" s="243"/>
      <c r="CQ113" s="243"/>
      <c r="CR113" s="243"/>
      <c r="CS113" s="243"/>
      <c r="CT113" s="243"/>
      <c r="CU113" s="243"/>
      <c r="CV113" s="243"/>
      <c r="CW113" s="243"/>
      <c r="CX113" s="243"/>
      <c r="CY113" s="243"/>
      <c r="CZ113" s="243"/>
      <c r="DA113" s="243"/>
      <c r="DB113" s="243"/>
      <c r="DC113" s="243"/>
      <c r="DD113" s="243"/>
      <c r="DE113" s="243"/>
      <c r="DF113" s="243"/>
      <c r="DG113" s="243"/>
      <c r="DH113" s="243"/>
      <c r="DI113" s="243"/>
      <c r="DJ113" s="243"/>
      <c r="DK113" s="243"/>
      <c r="DL113" s="243"/>
      <c r="DM113" s="243"/>
      <c r="DN113" s="243"/>
      <c r="DO113" s="243"/>
      <c r="DP113" s="243"/>
      <c r="DQ113" s="243"/>
      <c r="DR113" s="243"/>
    </row>
    <row r="114" spans="16:122" x14ac:dyDescent="0.2"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  <c r="AM114" s="243"/>
      <c r="AN114" s="243"/>
      <c r="AO114" s="243"/>
      <c r="AP114" s="243"/>
      <c r="AQ114" s="243"/>
      <c r="AR114" s="243"/>
      <c r="AS114" s="243"/>
      <c r="AT114" s="243"/>
      <c r="AU114" s="243"/>
      <c r="AV114" s="243"/>
      <c r="AW114" s="243"/>
      <c r="AX114" s="243"/>
      <c r="AY114" s="243"/>
      <c r="AZ114" s="243"/>
      <c r="BA114" s="243"/>
      <c r="BB114" s="243"/>
      <c r="BC114" s="243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43"/>
      <c r="BN114" s="243"/>
      <c r="BO114" s="243"/>
      <c r="BP114" s="243"/>
      <c r="BQ114" s="243"/>
      <c r="BR114" s="243"/>
      <c r="BS114" s="243"/>
      <c r="BT114" s="243"/>
      <c r="BU114" s="243"/>
      <c r="BV114" s="243"/>
      <c r="BW114" s="243"/>
      <c r="BX114" s="243"/>
      <c r="BY114" s="243"/>
      <c r="BZ114" s="243"/>
      <c r="CA114" s="243"/>
      <c r="CB114" s="243"/>
      <c r="CC114" s="243"/>
      <c r="CD114" s="243"/>
      <c r="CE114" s="243"/>
      <c r="CF114" s="243"/>
      <c r="CG114" s="243"/>
      <c r="CH114" s="243"/>
      <c r="CI114" s="243"/>
      <c r="CJ114" s="243"/>
      <c r="CK114" s="243"/>
      <c r="CL114" s="243"/>
      <c r="CM114" s="243"/>
      <c r="CN114" s="243"/>
      <c r="CO114" s="243"/>
      <c r="CP114" s="243"/>
      <c r="CQ114" s="243"/>
      <c r="CR114" s="243"/>
      <c r="CS114" s="243"/>
      <c r="CT114" s="243"/>
      <c r="CU114" s="243"/>
      <c r="CV114" s="243"/>
      <c r="CW114" s="243"/>
      <c r="CX114" s="243"/>
      <c r="CY114" s="243"/>
      <c r="CZ114" s="243"/>
      <c r="DA114" s="243"/>
      <c r="DB114" s="243"/>
      <c r="DC114" s="243"/>
      <c r="DD114" s="243"/>
      <c r="DE114" s="243"/>
      <c r="DF114" s="243"/>
      <c r="DG114" s="243"/>
      <c r="DH114" s="243"/>
      <c r="DI114" s="243"/>
      <c r="DJ114" s="243"/>
      <c r="DK114" s="243"/>
      <c r="DL114" s="243"/>
      <c r="DM114" s="243"/>
      <c r="DN114" s="243"/>
      <c r="DO114" s="243"/>
      <c r="DP114" s="243"/>
      <c r="DQ114" s="243"/>
      <c r="DR114" s="243"/>
    </row>
    <row r="115" spans="16:122" x14ac:dyDescent="0.2"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M115" s="243"/>
      <c r="AN115" s="243"/>
      <c r="AO115" s="243"/>
      <c r="AP115" s="243"/>
      <c r="AQ115" s="243"/>
      <c r="AR115" s="243"/>
      <c r="AS115" s="243"/>
      <c r="AT115" s="243"/>
      <c r="AU115" s="243"/>
      <c r="AV115" s="243"/>
      <c r="AW115" s="243"/>
      <c r="AX115" s="243"/>
      <c r="AY115" s="243"/>
      <c r="AZ115" s="243"/>
      <c r="BA115" s="243"/>
      <c r="BB115" s="243"/>
      <c r="BC115" s="243"/>
      <c r="BD115" s="243"/>
      <c r="BE115" s="243"/>
      <c r="BF115" s="243"/>
      <c r="BG115" s="243"/>
      <c r="BH115" s="243"/>
      <c r="BI115" s="243"/>
      <c r="BJ115" s="243"/>
      <c r="BK115" s="243"/>
      <c r="BL115" s="243"/>
      <c r="BM115" s="243"/>
      <c r="BN115" s="243"/>
      <c r="BO115" s="243"/>
      <c r="BP115" s="243"/>
      <c r="BQ115" s="243"/>
      <c r="BR115" s="243"/>
      <c r="BS115" s="243"/>
      <c r="BT115" s="243"/>
      <c r="BU115" s="243"/>
      <c r="BV115" s="243"/>
      <c r="BW115" s="243"/>
      <c r="BX115" s="243"/>
      <c r="BY115" s="243"/>
      <c r="BZ115" s="243"/>
      <c r="CA115" s="243"/>
      <c r="CB115" s="243"/>
      <c r="CC115" s="243"/>
      <c r="CD115" s="243"/>
      <c r="CE115" s="243"/>
      <c r="CF115" s="243"/>
      <c r="CG115" s="243"/>
      <c r="CH115" s="243"/>
      <c r="CI115" s="243"/>
      <c r="CJ115" s="243"/>
      <c r="CK115" s="243"/>
      <c r="CL115" s="243"/>
      <c r="CM115" s="243"/>
      <c r="CN115" s="243"/>
      <c r="CO115" s="243"/>
      <c r="CP115" s="243"/>
      <c r="CQ115" s="243"/>
      <c r="CR115" s="243"/>
      <c r="CS115" s="243"/>
      <c r="CT115" s="243"/>
      <c r="CU115" s="243"/>
      <c r="CV115" s="243"/>
      <c r="CW115" s="243"/>
      <c r="CX115" s="243"/>
      <c r="CY115" s="243"/>
      <c r="CZ115" s="243"/>
      <c r="DA115" s="243"/>
      <c r="DB115" s="243"/>
      <c r="DC115" s="243"/>
      <c r="DD115" s="243"/>
      <c r="DE115" s="243"/>
      <c r="DF115" s="243"/>
      <c r="DG115" s="243"/>
      <c r="DH115" s="243"/>
      <c r="DI115" s="243"/>
      <c r="DJ115" s="243"/>
      <c r="DK115" s="243"/>
      <c r="DL115" s="243"/>
      <c r="DM115" s="243"/>
      <c r="DN115" s="243"/>
      <c r="DO115" s="243"/>
      <c r="DP115" s="243"/>
      <c r="DQ115" s="243"/>
      <c r="DR115" s="243"/>
    </row>
    <row r="116" spans="16:122" x14ac:dyDescent="0.2"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M116" s="243"/>
      <c r="AN116" s="243"/>
      <c r="AO116" s="243"/>
      <c r="AP116" s="243"/>
      <c r="AQ116" s="243"/>
      <c r="AR116" s="243"/>
      <c r="AS116" s="243"/>
      <c r="AT116" s="243"/>
      <c r="AU116" s="243"/>
      <c r="AV116" s="243"/>
      <c r="AW116" s="243"/>
      <c r="AX116" s="243"/>
      <c r="AY116" s="243"/>
      <c r="AZ116" s="243"/>
      <c r="BA116" s="243"/>
      <c r="BB116" s="243"/>
      <c r="BC116" s="243"/>
      <c r="BD116" s="243"/>
      <c r="BE116" s="243"/>
      <c r="BF116" s="243"/>
      <c r="BG116" s="243"/>
      <c r="BH116" s="243"/>
      <c r="BI116" s="243"/>
      <c r="BJ116" s="243"/>
      <c r="BK116" s="243"/>
      <c r="BL116" s="243"/>
      <c r="BM116" s="243"/>
      <c r="BN116" s="243"/>
      <c r="BO116" s="243"/>
      <c r="BP116" s="243"/>
      <c r="BQ116" s="243"/>
      <c r="BR116" s="243"/>
      <c r="BS116" s="243"/>
      <c r="BT116" s="243"/>
      <c r="BU116" s="243"/>
      <c r="BV116" s="243"/>
      <c r="BW116" s="243"/>
      <c r="BX116" s="243"/>
      <c r="BY116" s="243"/>
      <c r="BZ116" s="243"/>
      <c r="CA116" s="243"/>
      <c r="CB116" s="243"/>
      <c r="CC116" s="243"/>
      <c r="CD116" s="243"/>
      <c r="CE116" s="243"/>
      <c r="CF116" s="243"/>
      <c r="CG116" s="243"/>
      <c r="CH116" s="243"/>
      <c r="CI116" s="243"/>
      <c r="CJ116" s="243"/>
      <c r="CK116" s="243"/>
      <c r="CL116" s="243"/>
      <c r="CM116" s="243"/>
      <c r="CN116" s="243"/>
      <c r="CO116" s="243"/>
      <c r="CP116" s="243"/>
      <c r="CQ116" s="243"/>
      <c r="CR116" s="243"/>
      <c r="CS116" s="243"/>
      <c r="CT116" s="243"/>
      <c r="CU116" s="243"/>
      <c r="CV116" s="243"/>
      <c r="CW116" s="243"/>
      <c r="CX116" s="243"/>
      <c r="CY116" s="243"/>
      <c r="CZ116" s="243"/>
      <c r="DA116" s="243"/>
      <c r="DB116" s="243"/>
      <c r="DC116" s="243"/>
      <c r="DD116" s="243"/>
      <c r="DE116" s="243"/>
      <c r="DF116" s="243"/>
      <c r="DG116" s="243"/>
      <c r="DH116" s="243"/>
      <c r="DI116" s="243"/>
      <c r="DJ116" s="243"/>
      <c r="DK116" s="243"/>
      <c r="DL116" s="243"/>
      <c r="DM116" s="243"/>
      <c r="DN116" s="243"/>
      <c r="DO116" s="243"/>
      <c r="DP116" s="243"/>
      <c r="DQ116" s="243"/>
      <c r="DR116" s="243"/>
    </row>
    <row r="117" spans="16:122" x14ac:dyDescent="0.2"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M117" s="243"/>
      <c r="AN117" s="243"/>
      <c r="AO117" s="243"/>
      <c r="AP117" s="243"/>
      <c r="AQ117" s="243"/>
      <c r="AR117" s="243"/>
      <c r="AS117" s="243"/>
      <c r="AT117" s="243"/>
      <c r="AU117" s="243"/>
      <c r="AV117" s="243"/>
      <c r="AW117" s="243"/>
      <c r="AX117" s="243"/>
      <c r="AY117" s="243"/>
      <c r="AZ117" s="243"/>
      <c r="BA117" s="243"/>
      <c r="BB117" s="243"/>
      <c r="BC117" s="243"/>
      <c r="BD117" s="243"/>
      <c r="BE117" s="243"/>
      <c r="BF117" s="243"/>
      <c r="BG117" s="243"/>
      <c r="BH117" s="243"/>
      <c r="BI117" s="243"/>
      <c r="BJ117" s="243"/>
      <c r="BK117" s="243"/>
      <c r="BL117" s="243"/>
      <c r="BM117" s="243"/>
      <c r="BN117" s="243"/>
      <c r="BO117" s="243"/>
      <c r="BP117" s="243"/>
      <c r="BQ117" s="243"/>
      <c r="BR117" s="243"/>
      <c r="BS117" s="243"/>
      <c r="BT117" s="243"/>
      <c r="BU117" s="243"/>
      <c r="BV117" s="243"/>
      <c r="BW117" s="243"/>
      <c r="BX117" s="243"/>
      <c r="BY117" s="243"/>
      <c r="BZ117" s="243"/>
      <c r="CA117" s="243"/>
      <c r="CB117" s="243"/>
      <c r="CC117" s="243"/>
      <c r="CD117" s="243"/>
      <c r="CE117" s="243"/>
      <c r="CF117" s="243"/>
      <c r="CG117" s="243"/>
      <c r="CH117" s="243"/>
      <c r="CI117" s="243"/>
      <c r="CJ117" s="243"/>
      <c r="CK117" s="243"/>
      <c r="CL117" s="243"/>
      <c r="CM117" s="243"/>
      <c r="CN117" s="243"/>
      <c r="CO117" s="243"/>
      <c r="CP117" s="243"/>
      <c r="CQ117" s="243"/>
      <c r="CR117" s="243"/>
      <c r="CS117" s="243"/>
      <c r="CT117" s="243"/>
      <c r="CU117" s="243"/>
      <c r="CV117" s="243"/>
      <c r="CW117" s="243"/>
      <c r="CX117" s="243"/>
      <c r="CY117" s="243"/>
      <c r="CZ117" s="243"/>
      <c r="DA117" s="243"/>
      <c r="DB117" s="243"/>
      <c r="DC117" s="243"/>
      <c r="DD117" s="243"/>
      <c r="DE117" s="243"/>
      <c r="DF117" s="243"/>
      <c r="DG117" s="243"/>
      <c r="DH117" s="243"/>
      <c r="DI117" s="243"/>
      <c r="DJ117" s="243"/>
      <c r="DK117" s="243"/>
      <c r="DL117" s="243"/>
      <c r="DM117" s="243"/>
      <c r="DN117" s="243"/>
      <c r="DO117" s="243"/>
      <c r="DP117" s="243"/>
      <c r="DQ117" s="243"/>
      <c r="DR117" s="243"/>
    </row>
    <row r="118" spans="16:122" x14ac:dyDescent="0.2"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M118" s="243"/>
      <c r="AN118" s="243"/>
      <c r="AO118" s="243"/>
      <c r="AP118" s="243"/>
      <c r="AQ118" s="243"/>
      <c r="AR118" s="243"/>
      <c r="AS118" s="243"/>
      <c r="AT118" s="243"/>
      <c r="AU118" s="243"/>
      <c r="AV118" s="243"/>
      <c r="AW118" s="243"/>
      <c r="AX118" s="243"/>
      <c r="AY118" s="243"/>
      <c r="AZ118" s="243"/>
      <c r="BA118" s="243"/>
      <c r="BB118" s="243"/>
      <c r="BC118" s="243"/>
      <c r="BD118" s="243"/>
      <c r="BE118" s="243"/>
      <c r="BF118" s="243"/>
      <c r="BG118" s="243"/>
      <c r="BH118" s="243"/>
      <c r="BI118" s="243"/>
      <c r="BJ118" s="243"/>
      <c r="BK118" s="243"/>
      <c r="BL118" s="243"/>
      <c r="BM118" s="243"/>
      <c r="BN118" s="243"/>
      <c r="BO118" s="243"/>
      <c r="BP118" s="243"/>
      <c r="BQ118" s="243"/>
      <c r="BR118" s="243"/>
      <c r="BS118" s="243"/>
      <c r="BT118" s="243"/>
      <c r="BU118" s="243"/>
      <c r="BV118" s="243"/>
      <c r="BW118" s="243"/>
      <c r="BX118" s="243"/>
      <c r="BY118" s="243"/>
      <c r="BZ118" s="243"/>
      <c r="CA118" s="243"/>
      <c r="CB118" s="243"/>
      <c r="CC118" s="243"/>
      <c r="CD118" s="243"/>
      <c r="CE118" s="243"/>
      <c r="CF118" s="243"/>
      <c r="CG118" s="243"/>
      <c r="CH118" s="243"/>
      <c r="CI118" s="243"/>
      <c r="CJ118" s="243"/>
      <c r="CK118" s="243"/>
      <c r="CL118" s="243"/>
      <c r="CM118" s="243"/>
      <c r="CN118" s="243"/>
      <c r="CO118" s="243"/>
      <c r="CP118" s="243"/>
      <c r="CQ118" s="243"/>
      <c r="CR118" s="243"/>
      <c r="CS118" s="243"/>
      <c r="CT118" s="243"/>
      <c r="CU118" s="243"/>
      <c r="CV118" s="243"/>
      <c r="CW118" s="243"/>
      <c r="CX118" s="243"/>
      <c r="CY118" s="243"/>
      <c r="CZ118" s="243"/>
      <c r="DA118" s="243"/>
      <c r="DB118" s="243"/>
      <c r="DC118" s="243"/>
      <c r="DD118" s="243"/>
      <c r="DE118" s="243"/>
      <c r="DF118" s="243"/>
      <c r="DG118" s="243"/>
      <c r="DH118" s="243"/>
      <c r="DI118" s="243"/>
      <c r="DJ118" s="243"/>
      <c r="DK118" s="243"/>
      <c r="DL118" s="243"/>
      <c r="DM118" s="243"/>
      <c r="DN118" s="243"/>
      <c r="DO118" s="243"/>
      <c r="DP118" s="243"/>
      <c r="DQ118" s="243"/>
      <c r="DR118" s="243"/>
    </row>
    <row r="119" spans="16:122" x14ac:dyDescent="0.2"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  <c r="CY119" s="243"/>
      <c r="CZ119" s="243"/>
      <c r="DA119" s="243"/>
      <c r="DB119" s="243"/>
      <c r="DC119" s="243"/>
      <c r="DD119" s="243"/>
      <c r="DE119" s="243"/>
      <c r="DF119" s="243"/>
      <c r="DG119" s="243"/>
      <c r="DH119" s="243"/>
      <c r="DI119" s="243"/>
      <c r="DJ119" s="243"/>
      <c r="DK119" s="243"/>
      <c r="DL119" s="243"/>
      <c r="DM119" s="243"/>
      <c r="DN119" s="243"/>
      <c r="DO119" s="243"/>
      <c r="DP119" s="243"/>
      <c r="DQ119" s="243"/>
      <c r="DR119" s="243"/>
    </row>
    <row r="120" spans="16:122" x14ac:dyDescent="0.2"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M120" s="243"/>
      <c r="AN120" s="243"/>
      <c r="AO120" s="243"/>
      <c r="AP120" s="243"/>
      <c r="AQ120" s="243"/>
      <c r="AR120" s="243"/>
      <c r="AS120" s="243"/>
      <c r="AT120" s="243"/>
      <c r="AU120" s="243"/>
      <c r="AV120" s="243"/>
      <c r="AW120" s="243"/>
      <c r="AX120" s="243"/>
      <c r="AY120" s="243"/>
      <c r="AZ120" s="243"/>
      <c r="BA120" s="243"/>
      <c r="BB120" s="243"/>
      <c r="BC120" s="243"/>
      <c r="BD120" s="243"/>
      <c r="BE120" s="243"/>
      <c r="BF120" s="243"/>
      <c r="BG120" s="243"/>
      <c r="BH120" s="243"/>
      <c r="BI120" s="243"/>
      <c r="BJ120" s="243"/>
      <c r="BK120" s="243"/>
      <c r="BL120" s="243"/>
      <c r="BM120" s="243"/>
      <c r="BN120" s="243"/>
      <c r="BO120" s="243"/>
      <c r="BP120" s="243"/>
      <c r="BQ120" s="243"/>
      <c r="BR120" s="243"/>
      <c r="BS120" s="243"/>
      <c r="BT120" s="243"/>
      <c r="BU120" s="243"/>
      <c r="BV120" s="243"/>
      <c r="BW120" s="243"/>
      <c r="BX120" s="243"/>
      <c r="BY120" s="243"/>
      <c r="BZ120" s="243"/>
      <c r="CA120" s="243"/>
      <c r="CB120" s="243"/>
      <c r="CC120" s="243"/>
      <c r="CD120" s="243"/>
      <c r="CE120" s="243"/>
      <c r="CF120" s="243"/>
      <c r="CG120" s="243"/>
      <c r="CH120" s="243"/>
      <c r="CI120" s="243"/>
      <c r="CJ120" s="243"/>
      <c r="CK120" s="243"/>
      <c r="CL120" s="243"/>
      <c r="CM120" s="243"/>
      <c r="CN120" s="243"/>
      <c r="CO120" s="243"/>
      <c r="CP120" s="243"/>
      <c r="CQ120" s="243"/>
      <c r="CR120" s="243"/>
      <c r="CS120" s="243"/>
      <c r="CT120" s="243"/>
      <c r="CU120" s="243"/>
      <c r="CV120" s="243"/>
      <c r="CW120" s="243"/>
      <c r="CX120" s="243"/>
      <c r="CY120" s="243"/>
      <c r="CZ120" s="243"/>
      <c r="DA120" s="243"/>
      <c r="DB120" s="243"/>
      <c r="DC120" s="243"/>
      <c r="DD120" s="243"/>
      <c r="DE120" s="243"/>
      <c r="DF120" s="243"/>
      <c r="DG120" s="243"/>
      <c r="DH120" s="243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</row>
    <row r="121" spans="16:122" x14ac:dyDescent="0.2"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M121" s="243"/>
      <c r="AN121" s="243"/>
      <c r="AO121" s="243"/>
      <c r="AP121" s="243"/>
      <c r="AQ121" s="243"/>
      <c r="AR121" s="243"/>
      <c r="AS121" s="243"/>
      <c r="AT121" s="243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</row>
    <row r="122" spans="16:122" x14ac:dyDescent="0.2"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M122" s="243"/>
      <c r="AN122" s="243"/>
      <c r="AO122" s="243"/>
      <c r="AP122" s="243"/>
      <c r="AQ122" s="243"/>
      <c r="AR122" s="243"/>
      <c r="AS122" s="243"/>
      <c r="AT122" s="243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</row>
    <row r="123" spans="16:122" x14ac:dyDescent="0.2"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M123" s="243"/>
      <c r="AN123" s="243"/>
      <c r="AO123" s="243"/>
      <c r="AP123" s="243"/>
      <c r="AQ123" s="243"/>
      <c r="AR123" s="243"/>
      <c r="AS123" s="243"/>
      <c r="AT123" s="243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</row>
    <row r="124" spans="16:122" x14ac:dyDescent="0.2"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M124" s="243"/>
      <c r="AN124" s="243"/>
      <c r="AO124" s="243"/>
      <c r="AP124" s="243"/>
      <c r="AQ124" s="243"/>
      <c r="AR124" s="243"/>
      <c r="AS124" s="243"/>
      <c r="AT124" s="243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</row>
    <row r="125" spans="16:122" x14ac:dyDescent="0.2"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</row>
    <row r="126" spans="16:122" x14ac:dyDescent="0.2"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M126" s="243"/>
      <c r="AN126" s="243"/>
      <c r="AO126" s="243"/>
      <c r="AP126" s="243"/>
      <c r="AQ126" s="243"/>
      <c r="AR126" s="243"/>
      <c r="AS126" s="243"/>
      <c r="AT126" s="243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</row>
    <row r="127" spans="16:122" x14ac:dyDescent="0.2"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M127" s="243"/>
      <c r="AN127" s="243"/>
      <c r="AO127" s="243"/>
      <c r="AP127" s="243"/>
      <c r="AQ127" s="243"/>
      <c r="AR127" s="243"/>
      <c r="AS127" s="243"/>
      <c r="AT127" s="243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</row>
    <row r="128" spans="16:122" x14ac:dyDescent="0.2"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M128" s="243"/>
      <c r="AN128" s="243"/>
      <c r="AO128" s="243"/>
      <c r="AP128" s="243"/>
      <c r="AQ128" s="243"/>
      <c r="AR128" s="243"/>
      <c r="AS128" s="243"/>
      <c r="AT128" s="243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</row>
    <row r="129" spans="16:122" x14ac:dyDescent="0.2"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  <c r="AM129" s="243"/>
      <c r="AN129" s="243"/>
      <c r="AO129" s="243"/>
      <c r="AP129" s="243"/>
      <c r="AQ129" s="243"/>
      <c r="AR129" s="243"/>
      <c r="AS129" s="243"/>
      <c r="AT129" s="243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</row>
    <row r="130" spans="16:122" x14ac:dyDescent="0.2"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  <c r="AM130" s="243"/>
      <c r="AN130" s="243"/>
      <c r="AO130" s="243"/>
      <c r="AP130" s="243"/>
      <c r="AQ130" s="243"/>
      <c r="AR130" s="243"/>
      <c r="AS130" s="243"/>
      <c r="AT130" s="243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</row>
    <row r="131" spans="16:122" x14ac:dyDescent="0.2"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  <c r="AM131" s="243"/>
      <c r="AN131" s="243"/>
      <c r="AO131" s="243"/>
      <c r="AP131" s="243"/>
      <c r="AQ131" s="243"/>
      <c r="AR131" s="243"/>
      <c r="AS131" s="243"/>
      <c r="AT131" s="243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</row>
    <row r="132" spans="16:122" x14ac:dyDescent="0.2"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  <c r="AO132" s="243"/>
      <c r="AP132" s="243"/>
      <c r="AQ132" s="243"/>
      <c r="AR132" s="243"/>
      <c r="AS132" s="243"/>
      <c r="AT132" s="243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</row>
    <row r="133" spans="16:122" x14ac:dyDescent="0.2"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</row>
    <row r="134" spans="16:122" x14ac:dyDescent="0.2"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M134" s="243"/>
      <c r="AN134" s="243"/>
      <c r="AO134" s="243"/>
      <c r="AP134" s="243"/>
      <c r="AQ134" s="243"/>
      <c r="AR134" s="243"/>
      <c r="AS134" s="243"/>
      <c r="AT134" s="243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</row>
    <row r="135" spans="16:122" x14ac:dyDescent="0.2"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M135" s="243"/>
      <c r="AN135" s="243"/>
      <c r="AO135" s="243"/>
      <c r="AP135" s="243"/>
      <c r="AQ135" s="243"/>
      <c r="AR135" s="243"/>
      <c r="AS135" s="243"/>
      <c r="AT135" s="243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</row>
    <row r="136" spans="16:122" x14ac:dyDescent="0.2"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M136" s="243"/>
      <c r="AN136" s="243"/>
      <c r="AO136" s="243"/>
      <c r="AP136" s="243"/>
      <c r="AQ136" s="243"/>
      <c r="AR136" s="243"/>
      <c r="AS136" s="243"/>
      <c r="AT136" s="243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</row>
    <row r="137" spans="16:122" x14ac:dyDescent="0.2"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M137" s="243"/>
      <c r="AN137" s="243"/>
      <c r="AO137" s="243"/>
      <c r="AP137" s="243"/>
      <c r="AQ137" s="243"/>
      <c r="AR137" s="243"/>
      <c r="AS137" s="243"/>
      <c r="AT137" s="243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</row>
    <row r="138" spans="16:122" x14ac:dyDescent="0.2"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M138" s="243"/>
      <c r="AN138" s="243"/>
      <c r="AO138" s="243"/>
      <c r="AP138" s="243"/>
      <c r="AQ138" s="243"/>
      <c r="AR138" s="243"/>
      <c r="AS138" s="243"/>
      <c r="AT138" s="243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</row>
    <row r="139" spans="16:122" x14ac:dyDescent="0.2"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M139" s="243"/>
      <c r="AN139" s="243"/>
      <c r="AO139" s="243"/>
      <c r="AP139" s="243"/>
      <c r="AQ139" s="243"/>
      <c r="AR139" s="243"/>
      <c r="AS139" s="243"/>
      <c r="AT139" s="243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</row>
    <row r="140" spans="16:122" x14ac:dyDescent="0.2"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M140" s="243"/>
      <c r="AN140" s="243"/>
      <c r="AO140" s="243"/>
      <c r="AP140" s="243"/>
      <c r="AQ140" s="243"/>
      <c r="AR140" s="243"/>
      <c r="AS140" s="243"/>
      <c r="AT140" s="243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</row>
    <row r="141" spans="16:122" x14ac:dyDescent="0.2"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M141" s="243"/>
      <c r="AN141" s="243"/>
      <c r="AO141" s="243"/>
      <c r="AP141" s="243"/>
      <c r="AQ141" s="243"/>
      <c r="AR141" s="243"/>
      <c r="AS141" s="243"/>
      <c r="AT141" s="243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</row>
    <row r="142" spans="16:122" x14ac:dyDescent="0.2"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M142" s="243"/>
      <c r="AN142" s="243"/>
      <c r="AO142" s="243"/>
      <c r="AP142" s="243"/>
      <c r="AQ142" s="243"/>
      <c r="AR142" s="243"/>
      <c r="AS142" s="243"/>
      <c r="AT142" s="243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</row>
    <row r="143" spans="16:122" x14ac:dyDescent="0.2"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M143" s="243"/>
      <c r="AN143" s="243"/>
      <c r="AO143" s="243"/>
      <c r="AP143" s="243"/>
      <c r="AQ143" s="243"/>
      <c r="AR143" s="243"/>
      <c r="AS143" s="243"/>
      <c r="AT143" s="243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</row>
    <row r="144" spans="16:122" x14ac:dyDescent="0.2"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M144" s="243"/>
      <c r="AN144" s="243"/>
      <c r="AO144" s="243"/>
      <c r="AP144" s="243"/>
      <c r="AQ144" s="243"/>
      <c r="AR144" s="243"/>
      <c r="AS144" s="243"/>
      <c r="AT144" s="243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</row>
    <row r="145" spans="16:122" x14ac:dyDescent="0.2"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M145" s="243"/>
      <c r="AN145" s="243"/>
      <c r="AO145" s="243"/>
      <c r="AP145" s="243"/>
      <c r="AQ145" s="243"/>
      <c r="AR145" s="243"/>
      <c r="AS145" s="243"/>
      <c r="AT145" s="243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</row>
    <row r="146" spans="16:122" x14ac:dyDescent="0.2"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M146" s="243"/>
      <c r="AN146" s="243"/>
      <c r="AO146" s="243"/>
      <c r="AP146" s="243"/>
      <c r="AQ146" s="243"/>
      <c r="AR146" s="243"/>
      <c r="AS146" s="243"/>
      <c r="AT146" s="243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</row>
    <row r="147" spans="16:122" x14ac:dyDescent="0.2"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  <c r="AM147" s="243"/>
      <c r="AN147" s="243"/>
      <c r="AO147" s="243"/>
      <c r="AP147" s="243"/>
      <c r="AQ147" s="243"/>
      <c r="AR147" s="243"/>
      <c r="AS147" s="243"/>
      <c r="AT147" s="243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</row>
    <row r="148" spans="16:122" x14ac:dyDescent="0.2"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  <c r="AM148" s="243"/>
      <c r="AN148" s="243"/>
      <c r="AO148" s="243"/>
      <c r="AP148" s="243"/>
      <c r="AQ148" s="243"/>
      <c r="AR148" s="243"/>
      <c r="AS148" s="243"/>
      <c r="AT148" s="243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</row>
    <row r="149" spans="16:122" x14ac:dyDescent="0.2"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</row>
    <row r="150" spans="16:122" x14ac:dyDescent="0.2"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  <c r="AM150" s="243"/>
      <c r="AN150" s="243"/>
      <c r="AO150" s="243"/>
      <c r="AP150" s="243"/>
      <c r="AQ150" s="243"/>
      <c r="AR150" s="243"/>
      <c r="AS150" s="243"/>
      <c r="AT150" s="243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</row>
    <row r="151" spans="16:122" x14ac:dyDescent="0.2"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M151" s="243"/>
      <c r="AN151" s="243"/>
      <c r="AO151" s="243"/>
      <c r="AP151" s="243"/>
      <c r="AQ151" s="243"/>
      <c r="AR151" s="243"/>
      <c r="AS151" s="243"/>
      <c r="AT151" s="243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</row>
    <row r="152" spans="16:122" x14ac:dyDescent="0.2"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M152" s="243"/>
      <c r="AN152" s="243"/>
      <c r="AO152" s="243"/>
      <c r="AP152" s="243"/>
      <c r="AQ152" s="243"/>
      <c r="AR152" s="243"/>
      <c r="AS152" s="243"/>
      <c r="AT152" s="243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</row>
    <row r="153" spans="16:122" x14ac:dyDescent="0.2"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M153" s="243"/>
      <c r="AN153" s="243"/>
      <c r="AO153" s="243"/>
      <c r="AP153" s="243"/>
      <c r="AQ153" s="243"/>
      <c r="AR153" s="243"/>
      <c r="AS153" s="243"/>
      <c r="AT153" s="243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</row>
    <row r="154" spans="16:122" x14ac:dyDescent="0.2"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M154" s="243"/>
      <c r="AN154" s="243"/>
      <c r="AO154" s="243"/>
      <c r="AP154" s="243"/>
      <c r="AQ154" s="243"/>
      <c r="AR154" s="243"/>
      <c r="AS154" s="243"/>
      <c r="AT154" s="243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</row>
    <row r="155" spans="16:122" x14ac:dyDescent="0.2"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M155" s="243"/>
      <c r="AN155" s="243"/>
      <c r="AO155" s="243"/>
      <c r="AP155" s="243"/>
      <c r="AQ155" s="243"/>
      <c r="AR155" s="243"/>
      <c r="AS155" s="243"/>
      <c r="AT155" s="243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</row>
    <row r="156" spans="16:122" x14ac:dyDescent="0.2"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M156" s="243"/>
      <c r="AN156" s="243"/>
      <c r="AO156" s="243"/>
      <c r="AP156" s="243"/>
      <c r="AQ156" s="243"/>
      <c r="AR156" s="243"/>
      <c r="AS156" s="243"/>
      <c r="AT156" s="243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</row>
    <row r="157" spans="16:122" x14ac:dyDescent="0.2"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M157" s="243"/>
      <c r="AN157" s="243"/>
      <c r="AO157" s="243"/>
      <c r="AP157" s="243"/>
      <c r="AQ157" s="243"/>
      <c r="AR157" s="243"/>
      <c r="AS157" s="243"/>
      <c r="AT157" s="243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</row>
    <row r="158" spans="16:122" x14ac:dyDescent="0.2"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M158" s="243"/>
      <c r="AN158" s="243"/>
      <c r="AO158" s="243"/>
      <c r="AP158" s="243"/>
      <c r="AQ158" s="243"/>
      <c r="AR158" s="243"/>
      <c r="AS158" s="243"/>
      <c r="AT158" s="243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</row>
    <row r="159" spans="16:122" x14ac:dyDescent="0.2"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M159" s="243"/>
      <c r="AN159" s="243"/>
      <c r="AO159" s="243"/>
      <c r="AP159" s="243"/>
      <c r="AQ159" s="243"/>
      <c r="AR159" s="243"/>
      <c r="AS159" s="243"/>
      <c r="AT159" s="243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</row>
    <row r="160" spans="16:122" x14ac:dyDescent="0.2"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M160" s="243"/>
      <c r="AN160" s="243"/>
      <c r="AO160" s="243"/>
      <c r="AP160" s="243"/>
      <c r="AQ160" s="243"/>
      <c r="AR160" s="243"/>
      <c r="AS160" s="243"/>
      <c r="AT160" s="243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</row>
    <row r="161" spans="16:122" x14ac:dyDescent="0.2"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M161" s="243"/>
      <c r="AN161" s="243"/>
      <c r="AO161" s="243"/>
      <c r="AP161" s="243"/>
      <c r="AQ161" s="243"/>
      <c r="AR161" s="243"/>
      <c r="AS161" s="243"/>
      <c r="AT161" s="243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</row>
    <row r="162" spans="16:122" x14ac:dyDescent="0.2"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M162" s="243"/>
      <c r="AN162" s="243"/>
      <c r="AO162" s="243"/>
      <c r="AP162" s="243"/>
      <c r="AQ162" s="243"/>
      <c r="AR162" s="243"/>
      <c r="AS162" s="243"/>
      <c r="AT162" s="243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</row>
    <row r="163" spans="16:122" x14ac:dyDescent="0.2"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M163" s="243"/>
      <c r="AN163" s="243"/>
      <c r="AO163" s="243"/>
      <c r="AP163" s="243"/>
      <c r="AQ163" s="243"/>
      <c r="AR163" s="243"/>
      <c r="AS163" s="243"/>
      <c r="AT163" s="243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</row>
    <row r="164" spans="16:122" x14ac:dyDescent="0.2"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  <c r="AO164" s="243"/>
      <c r="AP164" s="243"/>
      <c r="AQ164" s="243"/>
      <c r="AR164" s="243"/>
      <c r="AS164" s="243"/>
      <c r="AT164" s="243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</row>
    <row r="165" spans="16:122" x14ac:dyDescent="0.2"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  <c r="AO165" s="243"/>
      <c r="AP165" s="243"/>
      <c r="AQ165" s="243"/>
      <c r="AR165" s="243"/>
      <c r="AS165" s="243"/>
      <c r="AT165" s="243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</row>
    <row r="166" spans="16:122" x14ac:dyDescent="0.2"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  <c r="AM166" s="243"/>
      <c r="AN166" s="243"/>
      <c r="AO166" s="243"/>
      <c r="AP166" s="243"/>
      <c r="AQ166" s="243"/>
      <c r="AR166" s="243"/>
      <c r="AS166" s="243"/>
      <c r="AT166" s="243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</row>
    <row r="167" spans="16:122" x14ac:dyDescent="0.2"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  <c r="AM167" s="243"/>
      <c r="AN167" s="243"/>
      <c r="AO167" s="243"/>
      <c r="AP167" s="243"/>
      <c r="AQ167" s="243"/>
      <c r="AR167" s="243"/>
      <c r="AS167" s="243"/>
      <c r="AT167" s="243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</row>
    <row r="168" spans="16:122" x14ac:dyDescent="0.2"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  <c r="AM168" s="243"/>
      <c r="AN168" s="243"/>
      <c r="AO168" s="243"/>
      <c r="AP168" s="243"/>
      <c r="AQ168" s="243"/>
      <c r="AR168" s="243"/>
      <c r="AS168" s="243"/>
      <c r="AT168" s="243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</row>
    <row r="169" spans="16:122" x14ac:dyDescent="0.2"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M169" s="243"/>
      <c r="AN169" s="243"/>
      <c r="AO169" s="243"/>
      <c r="AP169" s="243"/>
      <c r="AQ169" s="243"/>
      <c r="AR169" s="243"/>
      <c r="AS169" s="243"/>
      <c r="AT169" s="243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</row>
  </sheetData>
  <sheetProtection password="B39D" sheet="1" formatCells="0" formatColumns="0"/>
  <protectedRanges>
    <protectedRange sqref="M4:N4" name="Rango1_1_1"/>
    <protectedRange sqref="M3:N3" name="Rango1_1_1_1"/>
  </protectedRanges>
  <mergeCells count="97">
    <mergeCell ref="B41:N43"/>
    <mergeCell ref="B38:D38"/>
    <mergeCell ref="E38:F38"/>
    <mergeCell ref="H38:I38"/>
    <mergeCell ref="E40:N40"/>
    <mergeCell ref="B40:D40"/>
    <mergeCell ref="M16:O16"/>
    <mergeCell ref="M4:O4"/>
    <mergeCell ref="L8:N8"/>
    <mergeCell ref="A1:B5"/>
    <mergeCell ref="C1:O3"/>
    <mergeCell ref="C4:L4"/>
    <mergeCell ref="C5:O5"/>
    <mergeCell ref="L7:N7"/>
    <mergeCell ref="J7:K7"/>
    <mergeCell ref="A73:C73"/>
    <mergeCell ref="A74:C74"/>
    <mergeCell ref="A75:C75"/>
    <mergeCell ref="M17:O17"/>
    <mergeCell ref="A10:O10"/>
    <mergeCell ref="J12:L12"/>
    <mergeCell ref="J29:L29"/>
    <mergeCell ref="A14:H14"/>
    <mergeCell ref="A18:O18"/>
    <mergeCell ref="A23:H23"/>
    <mergeCell ref="A24:H24"/>
    <mergeCell ref="M29:O29"/>
    <mergeCell ref="A19:H19"/>
    <mergeCell ref="A20:H20"/>
    <mergeCell ref="A21:H21"/>
    <mergeCell ref="A22:H22"/>
    <mergeCell ref="A44:O44"/>
    <mergeCell ref="A45:O45"/>
    <mergeCell ref="A46:O47"/>
    <mergeCell ref="A76:C76"/>
    <mergeCell ref="A67:C67"/>
    <mergeCell ref="A68:C68"/>
    <mergeCell ref="A69:C69"/>
    <mergeCell ref="A70:C70"/>
    <mergeCell ref="A71:C71"/>
    <mergeCell ref="A72:C72"/>
    <mergeCell ref="A61:C61"/>
    <mergeCell ref="A62:C62"/>
    <mergeCell ref="A63:C63"/>
    <mergeCell ref="A64:C64"/>
    <mergeCell ref="A65:C65"/>
    <mergeCell ref="A66:C66"/>
    <mergeCell ref="A59:C59"/>
    <mergeCell ref="A60:C60"/>
    <mergeCell ref="A53:C53"/>
    <mergeCell ref="A54:C54"/>
    <mergeCell ref="A55:C55"/>
    <mergeCell ref="A56:C56"/>
    <mergeCell ref="A57:C57"/>
    <mergeCell ref="A58:C58"/>
    <mergeCell ref="A32:H32"/>
    <mergeCell ref="A33:H33"/>
    <mergeCell ref="A35:H35"/>
    <mergeCell ref="M36:O36"/>
    <mergeCell ref="A34:H34"/>
    <mergeCell ref="J34:L34"/>
    <mergeCell ref="M34:O34"/>
    <mergeCell ref="M35:O35"/>
    <mergeCell ref="J35:L35"/>
    <mergeCell ref="A36:E36"/>
    <mergeCell ref="F36:L36"/>
    <mergeCell ref="A31:H31"/>
    <mergeCell ref="A26:H26"/>
    <mergeCell ref="A15:H15"/>
    <mergeCell ref="A17:H17"/>
    <mergeCell ref="A16:H16"/>
    <mergeCell ref="A27:H27"/>
    <mergeCell ref="P19:AA19"/>
    <mergeCell ref="A25:H25"/>
    <mergeCell ref="A11:D11"/>
    <mergeCell ref="J11:L11"/>
    <mergeCell ref="M11:O11"/>
    <mergeCell ref="M12:O12"/>
    <mergeCell ref="A12:D12"/>
    <mergeCell ref="J16:L16"/>
    <mergeCell ref="J17:L17"/>
    <mergeCell ref="J13:L13"/>
    <mergeCell ref="J14:L14"/>
    <mergeCell ref="J15:L15"/>
    <mergeCell ref="A13:H13"/>
    <mergeCell ref="M13:O13"/>
    <mergeCell ref="M14:O14"/>
    <mergeCell ref="M15:O15"/>
    <mergeCell ref="Z20:AA20"/>
    <mergeCell ref="A30:H30"/>
    <mergeCell ref="P20:Q20"/>
    <mergeCell ref="R20:S20"/>
    <mergeCell ref="T20:U20"/>
    <mergeCell ref="V20:W20"/>
    <mergeCell ref="X20:Y20"/>
    <mergeCell ref="P23:AA23"/>
    <mergeCell ref="A28:H28"/>
  </mergeCells>
  <printOptions horizontalCentered="1"/>
  <pageMargins left="0.59055118110236227" right="0.39370078740157483" top="0.59055118110236227" bottom="0.59055118110236227" header="0" footer="0.19685039370078741"/>
  <pageSetup paperSize="9" pageOrder="overThenDown" orientation="portrait" r:id="rId1"/>
  <headerFooter scaleWithDoc="0">
    <oddFooter xml:space="preserve">&amp;L&amp;6Calle 26 No.69-76 Edificio Elemento Torre 1, Piso 3 – C.P. 111071
PBX: 3779555 – Información: Línea 195
Sede Operativa - Atención al Ciudadano: Calle 22D No. 120-40
www.umv.gov.co&amp;C&amp;6Página &amp;P de &amp;N
</oddFooter>
  </headerFooter>
  <ignoredErrors>
    <ignoredError sqref="K21:O21 L20:O20 J17:O17" unlocked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55"/>
  <sheetViews>
    <sheetView showGridLines="0" zoomScaleNormal="100" zoomScaleSheetLayoutView="100" workbookViewId="0">
      <selection activeCell="A56" sqref="A56"/>
    </sheetView>
  </sheetViews>
  <sheetFormatPr baseColWidth="10" defaultColWidth="8.42578125" defaultRowHeight="12.75" x14ac:dyDescent="0.2"/>
  <cols>
    <col min="1" max="1" width="3.28515625" style="266" customWidth="1"/>
    <col min="2" max="2" width="4.28515625" style="266" customWidth="1"/>
    <col min="3" max="3" width="3.28515625" style="266" customWidth="1"/>
    <col min="4" max="4" width="4.5703125" style="266" customWidth="1"/>
    <col min="5" max="9" width="3.28515625" style="266" customWidth="1"/>
    <col min="10" max="10" width="4.140625" style="266" customWidth="1"/>
    <col min="11" max="29" width="3.28515625" style="266" customWidth="1"/>
    <col min="30" max="41" width="5.140625" style="266" customWidth="1"/>
    <col min="42" max="16384" width="8.42578125" style="266"/>
  </cols>
  <sheetData>
    <row r="1" spans="1:41" s="258" customFormat="1" ht="14.1" customHeight="1" x14ac:dyDescent="0.2">
      <c r="A1" s="533"/>
      <c r="B1" s="534"/>
      <c r="C1" s="534"/>
      <c r="D1" s="534"/>
      <c r="E1" s="534"/>
      <c r="F1" s="534"/>
      <c r="G1" s="535"/>
      <c r="H1" s="542" t="s">
        <v>172</v>
      </c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4"/>
    </row>
    <row r="2" spans="1:41" s="258" customFormat="1" ht="14.1" customHeight="1" x14ac:dyDescent="0.2">
      <c r="A2" s="536"/>
      <c r="B2" s="537"/>
      <c r="C2" s="537"/>
      <c r="D2" s="537"/>
      <c r="E2" s="537"/>
      <c r="F2" s="537"/>
      <c r="G2" s="538"/>
      <c r="H2" s="545" t="s">
        <v>173</v>
      </c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7"/>
    </row>
    <row r="3" spans="1:41" s="258" customFormat="1" ht="14.1" customHeight="1" x14ac:dyDescent="0.2">
      <c r="A3" s="536"/>
      <c r="B3" s="537"/>
      <c r="C3" s="537"/>
      <c r="D3" s="537"/>
      <c r="E3" s="537"/>
      <c r="F3" s="537"/>
      <c r="G3" s="538"/>
      <c r="H3" s="548"/>
      <c r="I3" s="549"/>
      <c r="J3" s="549"/>
      <c r="K3" s="549"/>
      <c r="L3" s="549"/>
      <c r="M3" s="549"/>
      <c r="N3" s="549"/>
      <c r="O3" s="549"/>
      <c r="P3" s="549"/>
      <c r="Q3" s="549"/>
      <c r="R3" s="549"/>
      <c r="S3" s="549"/>
      <c r="T3" s="549"/>
      <c r="U3" s="549"/>
      <c r="V3" s="549"/>
      <c r="W3" s="549"/>
      <c r="X3" s="549"/>
      <c r="Y3" s="549"/>
      <c r="Z3" s="549"/>
      <c r="AA3" s="549"/>
      <c r="AB3" s="549"/>
      <c r="AC3" s="550"/>
    </row>
    <row r="4" spans="1:41" s="258" customFormat="1" ht="12" customHeight="1" x14ac:dyDescent="0.2">
      <c r="A4" s="536"/>
      <c r="B4" s="537"/>
      <c r="C4" s="537"/>
      <c r="D4" s="537"/>
      <c r="E4" s="537"/>
      <c r="F4" s="537"/>
      <c r="G4" s="538"/>
      <c r="H4" s="551" t="s">
        <v>174</v>
      </c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259"/>
      <c r="V4" s="551" t="s">
        <v>228</v>
      </c>
      <c r="W4" s="552"/>
      <c r="X4" s="552"/>
      <c r="Y4" s="552"/>
      <c r="Z4" s="552"/>
      <c r="AA4" s="552"/>
      <c r="AB4" s="552"/>
      <c r="AC4" s="553"/>
    </row>
    <row r="5" spans="1:41" s="258" customFormat="1" ht="12" customHeight="1" x14ac:dyDescent="0.2">
      <c r="A5" s="539"/>
      <c r="B5" s="540"/>
      <c r="C5" s="540"/>
      <c r="D5" s="540"/>
      <c r="E5" s="540"/>
      <c r="F5" s="540"/>
      <c r="G5" s="541"/>
      <c r="H5" s="554" t="s">
        <v>227</v>
      </c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6"/>
    </row>
    <row r="6" spans="1:41" s="258" customFormat="1" ht="12" customHeight="1" x14ac:dyDescent="0.2">
      <c r="A6" s="557" t="s">
        <v>126</v>
      </c>
      <c r="B6" s="558"/>
      <c r="C6" s="558"/>
      <c r="D6" s="558"/>
      <c r="E6" s="558"/>
      <c r="F6" s="559"/>
      <c r="G6" s="559"/>
      <c r="H6" s="559"/>
      <c r="I6" s="559"/>
      <c r="J6" s="559"/>
      <c r="K6" s="559"/>
      <c r="L6" s="559"/>
      <c r="M6" s="559"/>
      <c r="N6" s="559"/>
      <c r="O6" s="559"/>
      <c r="P6" s="559"/>
      <c r="Q6" s="559"/>
      <c r="R6" s="559"/>
      <c r="S6" s="260"/>
      <c r="T6" s="560" t="s">
        <v>175</v>
      </c>
      <c r="U6" s="560"/>
      <c r="V6" s="560"/>
      <c r="W6" s="560"/>
      <c r="X6" s="560"/>
      <c r="Y6" s="561"/>
      <c r="Z6" s="561"/>
      <c r="AA6" s="561"/>
      <c r="AB6" s="561"/>
      <c r="AC6" s="562"/>
      <c r="AD6" s="261"/>
      <c r="AE6" s="261"/>
      <c r="AF6" s="261"/>
      <c r="AG6" s="261"/>
      <c r="AH6" s="261"/>
      <c r="AI6" s="261"/>
      <c r="AJ6" s="261"/>
      <c r="AK6" s="261"/>
    </row>
    <row r="7" spans="1:41" s="263" customFormat="1" ht="12" customHeight="1" x14ac:dyDescent="0.2">
      <c r="A7" s="563" t="s">
        <v>176</v>
      </c>
      <c r="B7" s="564"/>
      <c r="C7" s="564"/>
      <c r="D7" s="564"/>
      <c r="E7" s="564"/>
      <c r="F7" s="565"/>
      <c r="G7" s="565"/>
      <c r="H7" s="565"/>
      <c r="I7" s="565"/>
      <c r="J7" s="566" t="s">
        <v>127</v>
      </c>
      <c r="K7" s="566"/>
      <c r="L7" s="566"/>
      <c r="M7" s="566"/>
      <c r="N7" s="566"/>
      <c r="O7" s="567"/>
      <c r="P7" s="567"/>
      <c r="Q7" s="567"/>
      <c r="R7" s="567"/>
      <c r="S7" s="567"/>
      <c r="T7" s="568" t="s">
        <v>129</v>
      </c>
      <c r="U7" s="568"/>
      <c r="V7" s="568"/>
      <c r="W7" s="568"/>
      <c r="X7" s="568"/>
      <c r="Y7" s="565"/>
      <c r="Z7" s="565"/>
      <c r="AA7" s="565"/>
      <c r="AB7" s="565"/>
      <c r="AC7" s="569"/>
      <c r="AD7" s="262"/>
      <c r="AE7" s="262"/>
      <c r="AF7" s="262"/>
      <c r="AG7" s="262"/>
      <c r="AH7" s="262"/>
      <c r="AI7" s="262"/>
      <c r="AJ7" s="262"/>
      <c r="AK7" s="262"/>
    </row>
    <row r="8" spans="1:41" s="263" customFormat="1" ht="12" customHeight="1" x14ac:dyDescent="0.2">
      <c r="A8" s="563" t="s">
        <v>177</v>
      </c>
      <c r="B8" s="564"/>
      <c r="C8" s="564"/>
      <c r="D8" s="564"/>
      <c r="E8" s="564"/>
      <c r="F8" s="570"/>
      <c r="G8" s="570"/>
      <c r="H8" s="570"/>
      <c r="I8" s="570"/>
      <c r="J8" s="570"/>
      <c r="K8" s="570"/>
      <c r="L8" s="570"/>
      <c r="M8" s="570"/>
      <c r="N8" s="570"/>
      <c r="O8" s="567"/>
      <c r="P8" s="567"/>
      <c r="Q8" s="567"/>
      <c r="R8" s="567"/>
      <c r="S8" s="567"/>
      <c r="T8" s="571" t="s">
        <v>178</v>
      </c>
      <c r="U8" s="571"/>
      <c r="V8" s="571"/>
      <c r="W8" s="571"/>
      <c r="X8" s="571"/>
      <c r="Y8" s="572"/>
      <c r="Z8" s="572"/>
      <c r="AA8" s="572"/>
      <c r="AB8" s="572"/>
      <c r="AC8" s="573"/>
      <c r="AD8" s="262"/>
      <c r="AE8" s="262"/>
      <c r="AF8" s="262"/>
      <c r="AG8" s="262"/>
      <c r="AH8" s="262"/>
      <c r="AI8" s="262"/>
      <c r="AJ8" s="262"/>
      <c r="AK8" s="262"/>
    </row>
    <row r="9" spans="1:41" s="263" customFormat="1" ht="12" customHeight="1" x14ac:dyDescent="0.2">
      <c r="A9" s="574" t="s">
        <v>130</v>
      </c>
      <c r="B9" s="575"/>
      <c r="C9" s="575"/>
      <c r="D9" s="575"/>
      <c r="E9" s="575"/>
      <c r="F9" s="576"/>
      <c r="G9" s="576"/>
      <c r="H9" s="576"/>
      <c r="I9" s="576"/>
      <c r="J9" s="577" t="s">
        <v>128</v>
      </c>
      <c r="K9" s="577"/>
      <c r="L9" s="577"/>
      <c r="M9" s="577"/>
      <c r="N9" s="577"/>
      <c r="O9" s="576"/>
      <c r="P9" s="576"/>
      <c r="Q9" s="576"/>
      <c r="R9" s="576"/>
      <c r="S9" s="264"/>
      <c r="T9" s="577" t="s">
        <v>179</v>
      </c>
      <c r="U9" s="577"/>
      <c r="V9" s="577"/>
      <c r="W9" s="577"/>
      <c r="X9" s="577"/>
      <c r="Y9" s="576"/>
      <c r="Z9" s="576"/>
      <c r="AA9" s="576"/>
      <c r="AB9" s="576"/>
      <c r="AC9" s="265"/>
      <c r="AD9" s="262"/>
      <c r="AE9" s="262"/>
      <c r="AF9" s="262"/>
      <c r="AG9" s="262"/>
      <c r="AH9" s="262"/>
      <c r="AI9" s="262"/>
      <c r="AJ9" s="262"/>
      <c r="AK9" s="262"/>
    </row>
    <row r="10" spans="1:41" ht="8.25" customHeight="1" x14ac:dyDescent="0.2">
      <c r="A10" s="578" t="s">
        <v>162</v>
      </c>
      <c r="B10" s="579"/>
      <c r="C10" s="579"/>
      <c r="D10" s="579"/>
      <c r="E10" s="579"/>
      <c r="F10" s="579"/>
      <c r="G10" s="579"/>
      <c r="H10" s="579"/>
      <c r="I10" s="579"/>
      <c r="J10" s="579"/>
      <c r="K10" s="580"/>
      <c r="L10" s="581" t="s">
        <v>180</v>
      </c>
      <c r="M10" s="582"/>
      <c r="N10" s="582"/>
      <c r="O10" s="582"/>
      <c r="P10" s="582"/>
      <c r="Q10" s="582"/>
      <c r="R10" s="582"/>
      <c r="S10" s="582"/>
      <c r="T10" s="582"/>
      <c r="U10" s="581" t="s">
        <v>181</v>
      </c>
      <c r="V10" s="582"/>
      <c r="W10" s="582"/>
      <c r="X10" s="582"/>
      <c r="Y10" s="582"/>
      <c r="Z10" s="582"/>
      <c r="AA10" s="582"/>
      <c r="AB10" s="582"/>
      <c r="AC10" s="583"/>
    </row>
    <row r="11" spans="1:41" ht="14.1" customHeight="1" x14ac:dyDescent="0.2">
      <c r="A11" s="267" t="s">
        <v>229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9"/>
      <c r="L11" s="584"/>
      <c r="M11" s="585"/>
      <c r="N11" s="585"/>
      <c r="O11" s="585"/>
      <c r="P11" s="585"/>
      <c r="Q11" s="585"/>
      <c r="R11" s="585"/>
      <c r="S11" s="585"/>
      <c r="T11" s="586"/>
      <c r="U11" s="587"/>
      <c r="V11" s="585"/>
      <c r="W11" s="585"/>
      <c r="X11" s="585"/>
      <c r="Y11" s="585"/>
      <c r="Z11" s="585"/>
      <c r="AA11" s="585"/>
      <c r="AB11" s="585"/>
      <c r="AC11" s="588"/>
    </row>
    <row r="12" spans="1:41" ht="14.1" customHeight="1" x14ac:dyDescent="0.2">
      <c r="A12" s="270" t="s">
        <v>182</v>
      </c>
      <c r="B12" s="271"/>
      <c r="C12" s="271"/>
      <c r="D12" s="271"/>
      <c r="E12" s="271"/>
      <c r="F12" s="271"/>
      <c r="G12" s="271"/>
      <c r="H12" s="271"/>
      <c r="I12" s="271"/>
      <c r="J12" s="271"/>
      <c r="K12" s="272" t="s">
        <v>90</v>
      </c>
      <c r="L12" s="589"/>
      <c r="M12" s="590"/>
      <c r="N12" s="590"/>
      <c r="O12" s="590"/>
      <c r="P12" s="590"/>
      <c r="Q12" s="590"/>
      <c r="R12" s="602"/>
      <c r="S12" s="602"/>
      <c r="T12" s="603"/>
      <c r="U12" s="604"/>
      <c r="V12" s="602"/>
      <c r="W12" s="602"/>
      <c r="X12" s="602"/>
      <c r="Y12" s="602"/>
      <c r="Z12" s="602"/>
      <c r="AA12" s="590"/>
      <c r="AB12" s="590"/>
      <c r="AC12" s="593"/>
      <c r="AD12" s="594" t="s">
        <v>183</v>
      </c>
      <c r="AE12" s="595"/>
      <c r="AF12" s="595"/>
      <c r="AG12" s="595"/>
      <c r="AH12" s="595"/>
      <c r="AI12" s="595"/>
      <c r="AJ12" s="595"/>
      <c r="AK12" s="595"/>
      <c r="AL12" s="595"/>
      <c r="AM12" s="595"/>
      <c r="AN12" s="595"/>
      <c r="AO12" s="595"/>
    </row>
    <row r="13" spans="1:41" ht="14.1" customHeight="1" x14ac:dyDescent="0.2">
      <c r="A13" s="270" t="s">
        <v>184</v>
      </c>
      <c r="B13" s="271"/>
      <c r="C13" s="271"/>
      <c r="D13" s="271"/>
      <c r="E13" s="271"/>
      <c r="F13" s="271"/>
      <c r="G13" s="271"/>
      <c r="H13" s="271"/>
      <c r="I13" s="271"/>
      <c r="J13" s="271"/>
      <c r="K13" s="272" t="s">
        <v>90</v>
      </c>
      <c r="L13" s="596" t="str">
        <f>+IF(AD13="","",AVERAGE(AD13:AE14))</f>
        <v/>
      </c>
      <c r="M13" s="597"/>
      <c r="N13" s="597"/>
      <c r="O13" s="597" t="str">
        <f>+IF(AF13="","",AVERAGE(AF13:AG14))</f>
        <v/>
      </c>
      <c r="P13" s="597"/>
      <c r="Q13" s="597"/>
      <c r="R13" s="597" t="str">
        <f>+IF(AH13="","",AVERAGE(AH13:AI14))</f>
        <v/>
      </c>
      <c r="S13" s="597"/>
      <c r="T13" s="598"/>
      <c r="U13" s="599" t="str">
        <f>+IF(AJ13="","",AVERAGE(AJ13:AK14))</f>
        <v/>
      </c>
      <c r="V13" s="600"/>
      <c r="W13" s="600"/>
      <c r="X13" s="600" t="str">
        <f>+IF(AL13="","",AVERAGE(AL13:AM14))</f>
        <v/>
      </c>
      <c r="Y13" s="600"/>
      <c r="Z13" s="600"/>
      <c r="AA13" s="600" t="str">
        <f>+IF(AN13="","",AVERAGE(AN13:AO14))</f>
        <v/>
      </c>
      <c r="AB13" s="600"/>
      <c r="AC13" s="601"/>
      <c r="AD13" s="273"/>
      <c r="AE13" s="274"/>
      <c r="AF13" s="275"/>
      <c r="AG13" s="274"/>
      <c r="AH13" s="275"/>
      <c r="AI13" s="274"/>
      <c r="AJ13" s="275"/>
      <c r="AK13" s="274"/>
      <c r="AL13" s="275"/>
      <c r="AM13" s="274"/>
      <c r="AN13" s="275"/>
      <c r="AO13" s="274"/>
    </row>
    <row r="14" spans="1:41" ht="14.1" customHeight="1" x14ac:dyDescent="0.2">
      <c r="A14" s="270" t="s">
        <v>185</v>
      </c>
      <c r="B14" s="271"/>
      <c r="C14" s="271"/>
      <c r="D14" s="271"/>
      <c r="E14" s="271"/>
      <c r="F14" s="271"/>
      <c r="G14" s="271"/>
      <c r="H14" s="271"/>
      <c r="I14" s="271"/>
      <c r="J14" s="271"/>
      <c r="K14" s="272" t="s">
        <v>125</v>
      </c>
      <c r="L14" s="589"/>
      <c r="M14" s="590"/>
      <c r="N14" s="590"/>
      <c r="O14" s="590"/>
      <c r="P14" s="590"/>
      <c r="Q14" s="590"/>
      <c r="R14" s="590"/>
      <c r="S14" s="590"/>
      <c r="T14" s="591"/>
      <c r="U14" s="592"/>
      <c r="V14" s="590"/>
      <c r="W14" s="590"/>
      <c r="X14" s="590"/>
      <c r="Y14" s="590"/>
      <c r="Z14" s="590"/>
      <c r="AA14" s="590"/>
      <c r="AB14" s="590"/>
      <c r="AC14" s="593"/>
      <c r="AD14" s="276"/>
      <c r="AE14" s="277"/>
      <c r="AF14" s="278"/>
      <c r="AG14" s="277"/>
      <c r="AH14" s="278"/>
      <c r="AI14" s="277"/>
      <c r="AJ14" s="278"/>
      <c r="AK14" s="277"/>
      <c r="AL14" s="278"/>
      <c r="AM14" s="277"/>
      <c r="AN14" s="278"/>
      <c r="AO14" s="277"/>
    </row>
    <row r="15" spans="1:41" ht="14.1" customHeight="1" x14ac:dyDescent="0.2">
      <c r="A15" s="270" t="s">
        <v>186</v>
      </c>
      <c r="B15" s="271"/>
      <c r="C15" s="271"/>
      <c r="D15" s="271"/>
      <c r="E15" s="271"/>
      <c r="F15" s="271"/>
      <c r="G15" s="271"/>
      <c r="H15" s="271"/>
      <c r="I15" s="271"/>
      <c r="J15" s="271"/>
      <c r="K15" s="272" t="s">
        <v>125</v>
      </c>
      <c r="L15" s="589"/>
      <c r="M15" s="590"/>
      <c r="N15" s="590"/>
      <c r="O15" s="590"/>
      <c r="P15" s="590"/>
      <c r="Q15" s="590"/>
      <c r="R15" s="590"/>
      <c r="S15" s="590"/>
      <c r="T15" s="591"/>
      <c r="U15" s="592"/>
      <c r="V15" s="590"/>
      <c r="W15" s="590"/>
      <c r="X15" s="590"/>
      <c r="Y15" s="590"/>
      <c r="Z15" s="590"/>
      <c r="AA15" s="590"/>
      <c r="AB15" s="590"/>
      <c r="AC15" s="593"/>
    </row>
    <row r="16" spans="1:41" ht="14.1" customHeight="1" x14ac:dyDescent="0.2">
      <c r="A16" s="270" t="s">
        <v>187</v>
      </c>
      <c r="B16" s="271"/>
      <c r="C16" s="271"/>
      <c r="D16" s="271"/>
      <c r="E16" s="271"/>
      <c r="F16" s="271"/>
      <c r="G16" s="271"/>
      <c r="H16" s="271"/>
      <c r="I16" s="271"/>
      <c r="J16" s="271"/>
      <c r="K16" s="272" t="s">
        <v>125</v>
      </c>
      <c r="L16" s="589"/>
      <c r="M16" s="590"/>
      <c r="N16" s="590"/>
      <c r="O16" s="590"/>
      <c r="P16" s="590"/>
      <c r="Q16" s="590"/>
      <c r="R16" s="590"/>
      <c r="S16" s="590"/>
      <c r="T16" s="591"/>
      <c r="U16" s="592"/>
      <c r="V16" s="590"/>
      <c r="W16" s="590"/>
      <c r="X16" s="590"/>
      <c r="Y16" s="590"/>
      <c r="Z16" s="590"/>
      <c r="AA16" s="590"/>
      <c r="AB16" s="590"/>
      <c r="AC16" s="593"/>
    </row>
    <row r="17" spans="1:41" ht="14.1" customHeight="1" x14ac:dyDescent="0.2">
      <c r="A17" s="270" t="s">
        <v>188</v>
      </c>
      <c r="B17" s="271"/>
      <c r="C17" s="271"/>
      <c r="D17" s="271"/>
      <c r="E17" s="271"/>
      <c r="F17" s="271"/>
      <c r="G17" s="271"/>
      <c r="H17" s="271"/>
      <c r="I17" s="271"/>
      <c r="J17" s="271"/>
      <c r="K17" s="272" t="s">
        <v>189</v>
      </c>
      <c r="L17" s="610" t="str">
        <f>+IF(L15="","",(L15-L16))</f>
        <v/>
      </c>
      <c r="M17" s="611"/>
      <c r="N17" s="611"/>
      <c r="O17" s="611" t="str">
        <f>+IF(O15="","",(O15-O16))</f>
        <v/>
      </c>
      <c r="P17" s="611"/>
      <c r="Q17" s="611"/>
      <c r="R17" s="611" t="str">
        <f>+IF(R15="","",(R15-R16))</f>
        <v/>
      </c>
      <c r="S17" s="611"/>
      <c r="T17" s="612"/>
      <c r="U17" s="613" t="str">
        <f>+IF(U15="","",(U15-U16))</f>
        <v/>
      </c>
      <c r="V17" s="611"/>
      <c r="W17" s="611"/>
      <c r="X17" s="611" t="str">
        <f>+IF(X15="","",(X15-X16))</f>
        <v/>
      </c>
      <c r="Y17" s="611"/>
      <c r="Z17" s="611"/>
      <c r="AA17" s="611" t="str">
        <f>+IF(AA15="","",(AA15-AA16))</f>
        <v/>
      </c>
      <c r="AB17" s="611"/>
      <c r="AC17" s="614"/>
    </row>
    <row r="18" spans="1:41" ht="14.1" customHeight="1" x14ac:dyDescent="0.2">
      <c r="A18" s="270" t="s">
        <v>190</v>
      </c>
      <c r="B18" s="271"/>
      <c r="C18" s="271"/>
      <c r="D18" s="271"/>
      <c r="E18" s="271"/>
      <c r="F18" s="271"/>
      <c r="G18" s="271"/>
      <c r="H18" s="271"/>
      <c r="I18" s="271"/>
      <c r="J18" s="271"/>
      <c r="K18" s="272"/>
      <c r="L18" s="605" t="str">
        <f>IF(L14="","",L14/L17)</f>
        <v/>
      </c>
      <c r="M18" s="606"/>
      <c r="N18" s="606"/>
      <c r="O18" s="606" t="str">
        <f>IF(O14="","",O14/O17)</f>
        <v/>
      </c>
      <c r="P18" s="606"/>
      <c r="Q18" s="606"/>
      <c r="R18" s="606" t="str">
        <f>IF(R14="","",R14/R17)</f>
        <v/>
      </c>
      <c r="S18" s="606"/>
      <c r="T18" s="607"/>
      <c r="U18" s="608" t="str">
        <f>IF(U14="","",U14/U17)</f>
        <v/>
      </c>
      <c r="V18" s="606"/>
      <c r="W18" s="606"/>
      <c r="X18" s="606" t="str">
        <f>IF(X14="","",X14/X17)</f>
        <v/>
      </c>
      <c r="Y18" s="606"/>
      <c r="Z18" s="606"/>
      <c r="AA18" s="606" t="str">
        <f>IF(AA14="","",AA14/AA17)</f>
        <v/>
      </c>
      <c r="AB18" s="606"/>
      <c r="AC18" s="609"/>
    </row>
    <row r="19" spans="1:41" ht="14.1" customHeight="1" x14ac:dyDescent="0.2">
      <c r="A19" s="270" t="s">
        <v>191</v>
      </c>
      <c r="B19" s="271"/>
      <c r="C19" s="271"/>
      <c r="D19" s="271"/>
      <c r="E19" s="271"/>
      <c r="F19" s="271"/>
      <c r="G19" s="271"/>
      <c r="H19" s="271"/>
      <c r="I19" s="271"/>
      <c r="J19" s="271"/>
      <c r="K19" s="272"/>
      <c r="L19" s="620"/>
      <c r="M19" s="621"/>
      <c r="N19" s="621"/>
      <c r="O19" s="622" t="str">
        <f>+IF(L19="","",L19)</f>
        <v/>
      </c>
      <c r="P19" s="622"/>
      <c r="Q19" s="622"/>
      <c r="R19" s="622" t="str">
        <f>+IF(L19="","",L19)</f>
        <v/>
      </c>
      <c r="S19" s="622"/>
      <c r="T19" s="623"/>
      <c r="U19" s="624" t="str">
        <f>+IF(L19="","",L19)</f>
        <v/>
      </c>
      <c r="V19" s="622"/>
      <c r="W19" s="622"/>
      <c r="X19" s="622" t="str">
        <f>+IF(L19="","",L19)</f>
        <v/>
      </c>
      <c r="Y19" s="622"/>
      <c r="Z19" s="622"/>
      <c r="AA19" s="622" t="str">
        <f>+IF(L19="","",L19)</f>
        <v/>
      </c>
      <c r="AB19" s="622"/>
      <c r="AC19" s="625"/>
    </row>
    <row r="20" spans="1:41" ht="14.1" customHeight="1" x14ac:dyDescent="0.2">
      <c r="A20" s="270" t="s">
        <v>192</v>
      </c>
      <c r="B20" s="271"/>
      <c r="C20" s="271"/>
      <c r="D20" s="271"/>
      <c r="E20" s="271"/>
      <c r="F20" s="271"/>
      <c r="G20" s="271"/>
      <c r="H20" s="271"/>
      <c r="I20" s="271"/>
      <c r="J20" s="271"/>
      <c r="K20" s="272" t="s">
        <v>124</v>
      </c>
      <c r="L20" s="615" t="str">
        <f>IF(L18="","",(1-(L18/L19))*100)</f>
        <v/>
      </c>
      <c r="M20" s="616"/>
      <c r="N20" s="616"/>
      <c r="O20" s="616" t="str">
        <f>IF(O18="","",(1-(O18/O19))*100)</f>
        <v/>
      </c>
      <c r="P20" s="616"/>
      <c r="Q20" s="616"/>
      <c r="R20" s="616" t="str">
        <f>IF(R18="","",(1-(R18/R19))*100)</f>
        <v/>
      </c>
      <c r="S20" s="616"/>
      <c r="T20" s="617"/>
      <c r="U20" s="618" t="str">
        <f>IF(U18="","",(1-(U18/U19))*100)</f>
        <v/>
      </c>
      <c r="V20" s="616"/>
      <c r="W20" s="616"/>
      <c r="X20" s="616" t="str">
        <f>IF(X18="","",(1-(X18/X19))*100)</f>
        <v/>
      </c>
      <c r="Y20" s="616"/>
      <c r="Z20" s="616"/>
      <c r="AA20" s="616" t="str">
        <f>IF(AA18="","",(1-(AA18/AA19))*100)</f>
        <v/>
      </c>
      <c r="AB20" s="616"/>
      <c r="AC20" s="619"/>
    </row>
    <row r="21" spans="1:41" ht="14.1" customHeight="1" x14ac:dyDescent="0.2">
      <c r="A21" s="270" t="s">
        <v>193</v>
      </c>
      <c r="B21" s="271"/>
      <c r="C21" s="271"/>
      <c r="D21" s="271"/>
      <c r="E21" s="271"/>
      <c r="F21" s="271"/>
      <c r="G21" s="271"/>
      <c r="H21" s="271"/>
      <c r="I21" s="271"/>
      <c r="J21" s="271"/>
      <c r="K21" s="272" t="s">
        <v>189</v>
      </c>
      <c r="L21" s="638" t="str">
        <f>+IF(L17="","",(L20*L17)/100)</f>
        <v/>
      </c>
      <c r="M21" s="600"/>
      <c r="N21" s="600"/>
      <c r="O21" s="600" t="str">
        <f>+IF(O17="","",(O20*O17)/100)</f>
        <v/>
      </c>
      <c r="P21" s="600"/>
      <c r="Q21" s="600"/>
      <c r="R21" s="600" t="str">
        <f>+IF(R17="","",(R20*R17)/100)</f>
        <v/>
      </c>
      <c r="S21" s="600"/>
      <c r="T21" s="639"/>
      <c r="U21" s="599" t="str">
        <f>+IF(U17="","",(U20*U17)/100)</f>
        <v/>
      </c>
      <c r="V21" s="600"/>
      <c r="W21" s="600"/>
      <c r="X21" s="600" t="str">
        <f>+IF(X17="","",(X20*X17)/100)</f>
        <v/>
      </c>
      <c r="Y21" s="600"/>
      <c r="Z21" s="600"/>
      <c r="AA21" s="600" t="str">
        <f>+IF(AA17="","",(AA20*AA17)/100)</f>
        <v/>
      </c>
      <c r="AB21" s="600"/>
      <c r="AC21" s="601"/>
    </row>
    <row r="22" spans="1:41" ht="14.1" customHeight="1" x14ac:dyDescent="0.2">
      <c r="A22" s="270" t="s">
        <v>194</v>
      </c>
      <c r="B22" s="271"/>
      <c r="C22" s="271"/>
      <c r="D22" s="271"/>
      <c r="E22" s="271"/>
      <c r="F22" s="271"/>
      <c r="G22" s="271"/>
      <c r="H22" s="271"/>
      <c r="I22" s="271"/>
      <c r="J22" s="271"/>
      <c r="K22" s="272" t="s">
        <v>159</v>
      </c>
      <c r="L22" s="626"/>
      <c r="M22" s="627"/>
      <c r="N22" s="627"/>
      <c r="O22" s="627"/>
      <c r="P22" s="627"/>
      <c r="Q22" s="627"/>
      <c r="R22" s="627"/>
      <c r="S22" s="627"/>
      <c r="T22" s="628"/>
      <c r="U22" s="632"/>
      <c r="V22" s="633"/>
      <c r="W22" s="633"/>
      <c r="X22" s="633"/>
      <c r="Y22" s="633"/>
      <c r="Z22" s="633"/>
      <c r="AA22" s="633"/>
      <c r="AB22" s="633"/>
      <c r="AC22" s="634"/>
    </row>
    <row r="23" spans="1:41" ht="14.1" customHeight="1" x14ac:dyDescent="0.2">
      <c r="A23" s="270" t="s">
        <v>195</v>
      </c>
      <c r="B23" s="271"/>
      <c r="C23" s="271"/>
      <c r="D23" s="271"/>
      <c r="E23" s="271"/>
      <c r="F23" s="271"/>
      <c r="G23" s="271"/>
      <c r="H23" s="271"/>
      <c r="I23" s="271"/>
      <c r="J23" s="271"/>
      <c r="K23" s="272" t="s">
        <v>196</v>
      </c>
      <c r="L23" s="629"/>
      <c r="M23" s="630"/>
      <c r="N23" s="630"/>
      <c r="O23" s="630"/>
      <c r="P23" s="630"/>
      <c r="Q23" s="630"/>
      <c r="R23" s="630"/>
      <c r="S23" s="630"/>
      <c r="T23" s="631"/>
      <c r="U23" s="635" t="str">
        <f>+IF(U22="","",(U22*1000))</f>
        <v/>
      </c>
      <c r="V23" s="636"/>
      <c r="W23" s="636"/>
      <c r="X23" s="636" t="str">
        <f>+IF(X22="","",(X22*1000))</f>
        <v/>
      </c>
      <c r="Y23" s="636"/>
      <c r="Z23" s="636"/>
      <c r="AA23" s="636" t="str">
        <f>+IF(AA22="","",(AA22*1000))</f>
        <v/>
      </c>
      <c r="AB23" s="636"/>
      <c r="AC23" s="637"/>
    </row>
    <row r="24" spans="1:41" ht="14.1" customHeight="1" x14ac:dyDescent="0.2">
      <c r="A24" s="640" t="s">
        <v>230</v>
      </c>
      <c r="B24" s="641"/>
      <c r="C24" s="641"/>
      <c r="D24" s="641"/>
      <c r="E24" s="641"/>
      <c r="F24" s="641"/>
      <c r="G24" s="641"/>
      <c r="H24" s="641"/>
      <c r="I24" s="641"/>
      <c r="J24" s="641"/>
      <c r="K24" s="654"/>
      <c r="L24" s="655" t="str">
        <f>+IF(L18="","",AVERAGE(L18:T18))</f>
        <v/>
      </c>
      <c r="M24" s="656"/>
      <c r="N24" s="656"/>
      <c r="O24" s="656"/>
      <c r="P24" s="656"/>
      <c r="Q24" s="656"/>
      <c r="R24" s="656"/>
      <c r="S24" s="656"/>
      <c r="T24" s="657"/>
      <c r="U24" s="658" t="str">
        <f>+IF(U18="","",AVERAGE(U18:AC18))</f>
        <v/>
      </c>
      <c r="V24" s="656"/>
      <c r="W24" s="656"/>
      <c r="X24" s="656"/>
      <c r="Y24" s="656"/>
      <c r="Z24" s="656"/>
      <c r="AA24" s="656"/>
      <c r="AB24" s="656"/>
      <c r="AC24" s="659"/>
    </row>
    <row r="25" spans="1:41" ht="14.1" customHeight="1" x14ac:dyDescent="0.2">
      <c r="A25" s="640" t="s">
        <v>231</v>
      </c>
      <c r="B25" s="641"/>
      <c r="C25" s="641"/>
      <c r="D25" s="641"/>
      <c r="E25" s="641"/>
      <c r="F25" s="641"/>
      <c r="G25" s="641"/>
      <c r="H25" s="641"/>
      <c r="I25" s="641"/>
      <c r="J25" s="641"/>
      <c r="K25" s="654"/>
      <c r="L25" s="655" t="str">
        <f>+IF(L19="","",AVERAGE(L19:T19))</f>
        <v/>
      </c>
      <c r="M25" s="656"/>
      <c r="N25" s="656"/>
      <c r="O25" s="656"/>
      <c r="P25" s="656"/>
      <c r="Q25" s="656"/>
      <c r="R25" s="656"/>
      <c r="S25" s="656"/>
      <c r="T25" s="657"/>
      <c r="U25" s="658" t="str">
        <f>+IF(U19="","",AVERAGE(U19:AC19))</f>
        <v/>
      </c>
      <c r="V25" s="656"/>
      <c r="W25" s="656"/>
      <c r="X25" s="656"/>
      <c r="Y25" s="656"/>
      <c r="Z25" s="656"/>
      <c r="AA25" s="656"/>
      <c r="AB25" s="656"/>
      <c r="AC25" s="659"/>
    </row>
    <row r="26" spans="1:41" ht="14.1" customHeight="1" x14ac:dyDescent="0.2">
      <c r="A26" s="640" t="s">
        <v>232</v>
      </c>
      <c r="B26" s="641"/>
      <c r="C26" s="641"/>
      <c r="D26" s="641"/>
      <c r="E26" s="641"/>
      <c r="F26" s="641"/>
      <c r="G26" s="641"/>
      <c r="H26" s="641"/>
      <c r="I26" s="641"/>
      <c r="J26" s="641"/>
      <c r="K26" s="272" t="s">
        <v>124</v>
      </c>
      <c r="L26" s="642" t="str">
        <f>+IF(L20="","",AVERAGE(L20:T20))</f>
        <v/>
      </c>
      <c r="M26" s="643"/>
      <c r="N26" s="643"/>
      <c r="O26" s="643"/>
      <c r="P26" s="643"/>
      <c r="Q26" s="643"/>
      <c r="R26" s="643"/>
      <c r="S26" s="643"/>
      <c r="T26" s="644"/>
      <c r="U26" s="645" t="str">
        <f>+IF(U20="","",AVERAGE(U20:AC20))</f>
        <v/>
      </c>
      <c r="V26" s="643"/>
      <c r="W26" s="643"/>
      <c r="X26" s="643"/>
      <c r="Y26" s="643"/>
      <c r="Z26" s="643"/>
      <c r="AA26" s="643"/>
      <c r="AB26" s="643"/>
      <c r="AC26" s="646"/>
    </row>
    <row r="27" spans="1:41" ht="14.1" customHeight="1" x14ac:dyDescent="0.2">
      <c r="A27" s="647" t="s">
        <v>233</v>
      </c>
      <c r="B27" s="648"/>
      <c r="C27" s="648"/>
      <c r="D27" s="648"/>
      <c r="E27" s="648"/>
      <c r="F27" s="648"/>
      <c r="G27" s="648"/>
      <c r="H27" s="648"/>
      <c r="I27" s="648"/>
      <c r="J27" s="648"/>
      <c r="K27" s="272" t="s">
        <v>189</v>
      </c>
      <c r="L27" s="649" t="str">
        <f>+IF(L21="","",AVERAGE(L21:T21))</f>
        <v/>
      </c>
      <c r="M27" s="650"/>
      <c r="N27" s="650"/>
      <c r="O27" s="650"/>
      <c r="P27" s="650"/>
      <c r="Q27" s="650"/>
      <c r="R27" s="650"/>
      <c r="S27" s="650"/>
      <c r="T27" s="651"/>
      <c r="U27" s="652" t="str">
        <f>+IF(U21="","",AVERAGE(U21:AC21))</f>
        <v/>
      </c>
      <c r="V27" s="650"/>
      <c r="W27" s="650"/>
      <c r="X27" s="650"/>
      <c r="Y27" s="650"/>
      <c r="Z27" s="650"/>
      <c r="AA27" s="650"/>
      <c r="AB27" s="650"/>
      <c r="AC27" s="653"/>
    </row>
    <row r="28" spans="1:41" ht="9" customHeight="1" x14ac:dyDescent="0.2">
      <c r="A28" s="660" t="s">
        <v>197</v>
      </c>
      <c r="B28" s="661"/>
      <c r="C28" s="661"/>
      <c r="D28" s="661"/>
      <c r="E28" s="661"/>
      <c r="F28" s="661"/>
      <c r="G28" s="661"/>
      <c r="H28" s="661"/>
      <c r="I28" s="661"/>
      <c r="J28" s="661"/>
      <c r="K28" s="662"/>
      <c r="L28" s="578" t="s">
        <v>198</v>
      </c>
      <c r="M28" s="579"/>
      <c r="N28" s="579"/>
      <c r="O28" s="579"/>
      <c r="P28" s="579"/>
      <c r="Q28" s="579"/>
      <c r="R28" s="579"/>
      <c r="S28" s="579"/>
      <c r="T28" s="579"/>
      <c r="U28" s="663" t="s">
        <v>199</v>
      </c>
      <c r="V28" s="664"/>
      <c r="W28" s="664"/>
      <c r="X28" s="664"/>
      <c r="Y28" s="664"/>
      <c r="Z28" s="664"/>
      <c r="AA28" s="664"/>
      <c r="AB28" s="664"/>
      <c r="AC28" s="665"/>
      <c r="AD28" s="666" t="s">
        <v>183</v>
      </c>
      <c r="AE28" s="667"/>
      <c r="AF28" s="667"/>
      <c r="AG28" s="667"/>
      <c r="AH28" s="667"/>
      <c r="AI28" s="594"/>
      <c r="AJ28" s="279"/>
      <c r="AK28" s="280"/>
      <c r="AL28" s="280"/>
      <c r="AM28" s="280"/>
      <c r="AN28" s="280"/>
      <c r="AO28" s="280"/>
    </row>
    <row r="29" spans="1:41" ht="14.1" customHeight="1" x14ac:dyDescent="0.2">
      <c r="A29" s="281" t="s">
        <v>200</v>
      </c>
      <c r="B29" s="282"/>
      <c r="C29" s="282"/>
      <c r="D29" s="282"/>
      <c r="E29" s="282"/>
      <c r="F29" s="282"/>
      <c r="G29" s="282"/>
      <c r="H29" s="282"/>
      <c r="I29" s="282"/>
      <c r="J29" s="282"/>
      <c r="K29" s="283" t="s">
        <v>90</v>
      </c>
      <c r="L29" s="668"/>
      <c r="M29" s="669"/>
      <c r="N29" s="669"/>
      <c r="O29" s="669"/>
      <c r="P29" s="669"/>
      <c r="Q29" s="669"/>
      <c r="R29" s="669"/>
      <c r="S29" s="669"/>
      <c r="T29" s="670"/>
      <c r="U29" s="599" t="str">
        <f>++IF(AD29="","",AVERAGE(AD29:AE30))</f>
        <v/>
      </c>
      <c r="V29" s="600"/>
      <c r="W29" s="600"/>
      <c r="X29" s="600" t="str">
        <f>+IF(AF29="","",AVERAGE(AF29:AG30))</f>
        <v/>
      </c>
      <c r="Y29" s="600"/>
      <c r="Z29" s="600"/>
      <c r="AA29" s="600" t="str">
        <f>+IF(AH29="","",AVERAGE(AH29:AI30))</f>
        <v/>
      </c>
      <c r="AB29" s="600"/>
      <c r="AC29" s="601"/>
      <c r="AD29" s="273"/>
      <c r="AE29" s="274"/>
      <c r="AF29" s="275"/>
      <c r="AG29" s="274"/>
      <c r="AH29" s="275"/>
      <c r="AI29" s="274"/>
      <c r="AJ29" s="284"/>
      <c r="AK29" s="285"/>
      <c r="AL29" s="285"/>
      <c r="AM29" s="285"/>
      <c r="AN29" s="285"/>
      <c r="AO29" s="285"/>
    </row>
    <row r="30" spans="1:41" ht="14.1" customHeight="1" x14ac:dyDescent="0.2">
      <c r="A30" s="286" t="s">
        <v>201</v>
      </c>
      <c r="B30" s="287"/>
      <c r="C30" s="287"/>
      <c r="D30" s="287"/>
      <c r="E30" s="287"/>
      <c r="F30" s="287"/>
      <c r="G30" s="287"/>
      <c r="H30" s="287"/>
      <c r="I30" s="287"/>
      <c r="J30" s="287"/>
      <c r="K30" s="288" t="s">
        <v>125</v>
      </c>
      <c r="L30" s="589"/>
      <c r="M30" s="590"/>
      <c r="N30" s="590"/>
      <c r="O30" s="590"/>
      <c r="P30" s="590"/>
      <c r="Q30" s="590"/>
      <c r="R30" s="590"/>
      <c r="S30" s="590"/>
      <c r="T30" s="591"/>
      <c r="U30" s="589"/>
      <c r="V30" s="590"/>
      <c r="W30" s="590"/>
      <c r="X30" s="590"/>
      <c r="Y30" s="590"/>
      <c r="Z30" s="590"/>
      <c r="AA30" s="590"/>
      <c r="AB30" s="590"/>
      <c r="AC30" s="593"/>
      <c r="AD30" s="276"/>
      <c r="AE30" s="277"/>
      <c r="AF30" s="278"/>
      <c r="AG30" s="277"/>
      <c r="AH30" s="278"/>
      <c r="AI30" s="277"/>
      <c r="AJ30" s="284"/>
      <c r="AK30" s="285"/>
      <c r="AL30" s="285"/>
      <c r="AM30" s="285"/>
      <c r="AN30" s="285"/>
      <c r="AO30" s="285"/>
    </row>
    <row r="31" spans="1:41" ht="14.1" customHeight="1" x14ac:dyDescent="0.2">
      <c r="A31" s="286" t="s">
        <v>202</v>
      </c>
      <c r="B31" s="287"/>
      <c r="C31" s="287"/>
      <c r="D31" s="287"/>
      <c r="E31" s="287"/>
      <c r="F31" s="287"/>
      <c r="G31" s="287"/>
      <c r="H31" s="287"/>
      <c r="I31" s="287"/>
      <c r="J31" s="287"/>
      <c r="K31" s="288" t="s">
        <v>125</v>
      </c>
      <c r="L31" s="589"/>
      <c r="M31" s="590"/>
      <c r="N31" s="590"/>
      <c r="O31" s="590"/>
      <c r="P31" s="590"/>
      <c r="Q31" s="590"/>
      <c r="R31" s="590"/>
      <c r="S31" s="590"/>
      <c r="T31" s="591"/>
      <c r="U31" s="589"/>
      <c r="V31" s="590"/>
      <c r="W31" s="590"/>
      <c r="X31" s="590"/>
      <c r="Y31" s="590"/>
      <c r="Z31" s="590"/>
      <c r="AA31" s="590"/>
      <c r="AB31" s="590"/>
      <c r="AC31" s="593"/>
    </row>
    <row r="32" spans="1:41" ht="14.1" customHeight="1" x14ac:dyDescent="0.2">
      <c r="A32" s="286" t="s">
        <v>203</v>
      </c>
      <c r="B32" s="287"/>
      <c r="C32" s="287"/>
      <c r="D32" s="287"/>
      <c r="E32" s="287"/>
      <c r="F32" s="287"/>
      <c r="G32" s="287"/>
      <c r="H32" s="287"/>
      <c r="I32" s="287"/>
      <c r="J32" s="287"/>
      <c r="K32" s="288" t="s">
        <v>125</v>
      </c>
      <c r="L32" s="638" t="str">
        <f>+IF(L30="","",L30-L31)</f>
        <v/>
      </c>
      <c r="M32" s="600"/>
      <c r="N32" s="600"/>
      <c r="O32" s="600" t="str">
        <f>+IF(O30="","",O30-O31)</f>
        <v/>
      </c>
      <c r="P32" s="600"/>
      <c r="Q32" s="600"/>
      <c r="R32" s="600" t="str">
        <f>+IF(R30="","",R30-R31)</f>
        <v/>
      </c>
      <c r="S32" s="600"/>
      <c r="T32" s="639"/>
      <c r="U32" s="599" t="str">
        <f>+IF(U30="","",(U30-U31))</f>
        <v/>
      </c>
      <c r="V32" s="600"/>
      <c r="W32" s="600"/>
      <c r="X32" s="600" t="str">
        <f>+IF(X30="","",(X30-X31))</f>
        <v/>
      </c>
      <c r="Y32" s="600"/>
      <c r="Z32" s="600"/>
      <c r="AA32" s="600" t="str">
        <f>+IF(AA30="","",(AA30-AA31))</f>
        <v/>
      </c>
      <c r="AB32" s="600"/>
      <c r="AC32" s="601"/>
    </row>
    <row r="33" spans="1:54" ht="14.1" customHeight="1" x14ac:dyDescent="0.2">
      <c r="A33" s="286" t="s">
        <v>204</v>
      </c>
      <c r="B33" s="287"/>
      <c r="C33" s="287"/>
      <c r="D33" s="287"/>
      <c r="E33" s="287"/>
      <c r="F33" s="287"/>
      <c r="G33" s="287"/>
      <c r="H33" s="287"/>
      <c r="I33" s="287"/>
      <c r="J33" s="287"/>
      <c r="K33" s="272" t="s">
        <v>189</v>
      </c>
      <c r="L33" s="596" t="str">
        <f>+IF(L14="","",L30-L14)</f>
        <v/>
      </c>
      <c r="M33" s="597"/>
      <c r="N33" s="597"/>
      <c r="O33" s="597" t="str">
        <f>+IF(O14="","",O30-O14)</f>
        <v/>
      </c>
      <c r="P33" s="597"/>
      <c r="Q33" s="597"/>
      <c r="R33" s="597" t="str">
        <f>+IF(R14="","",R30-R14)</f>
        <v/>
      </c>
      <c r="S33" s="597"/>
      <c r="T33" s="598"/>
      <c r="U33" s="599" t="str">
        <f>+IF(L15="","",L15-L14)</f>
        <v/>
      </c>
      <c r="V33" s="600"/>
      <c r="W33" s="600"/>
      <c r="X33" s="600" t="str">
        <f>+IF(O15="","",O15-O14)</f>
        <v/>
      </c>
      <c r="Y33" s="600"/>
      <c r="Z33" s="600"/>
      <c r="AA33" s="600" t="str">
        <f>+IF(R15="","",R15-R14)</f>
        <v/>
      </c>
      <c r="AB33" s="600"/>
      <c r="AC33" s="601"/>
    </row>
    <row r="34" spans="1:54" ht="14.1" customHeight="1" x14ac:dyDescent="0.2">
      <c r="A34" s="286" t="s">
        <v>205</v>
      </c>
      <c r="B34" s="287"/>
      <c r="C34" s="287"/>
      <c r="D34" s="287"/>
      <c r="E34" s="287"/>
      <c r="F34" s="287"/>
      <c r="G34" s="287"/>
      <c r="H34" s="287"/>
      <c r="I34" s="287"/>
      <c r="J34" s="287"/>
      <c r="K34" s="289" t="s">
        <v>124</v>
      </c>
      <c r="L34" s="638" t="str">
        <f>+IF(L33="","",(100*L33/L21))</f>
        <v/>
      </c>
      <c r="M34" s="600"/>
      <c r="N34" s="600"/>
      <c r="O34" s="600" t="str">
        <f>+IF(O33="","",(100*O33/O21))</f>
        <v/>
      </c>
      <c r="P34" s="600"/>
      <c r="Q34" s="600"/>
      <c r="R34" s="600" t="str">
        <f>+IF(R33="","",(100*R33/R21))</f>
        <v/>
      </c>
      <c r="S34" s="600"/>
      <c r="T34" s="639"/>
      <c r="U34" s="599" t="str">
        <f>+IF(U33="","",(100*U33/L21))</f>
        <v/>
      </c>
      <c r="V34" s="600"/>
      <c r="W34" s="600"/>
      <c r="X34" s="600" t="str">
        <f>+IF(X33="","",(100*X33/O21))</f>
        <v/>
      </c>
      <c r="Y34" s="600"/>
      <c r="Z34" s="600"/>
      <c r="AA34" s="600" t="str">
        <f>+IF(AA33="","",(100*AA33/R21))</f>
        <v/>
      </c>
      <c r="AB34" s="600"/>
      <c r="AC34" s="601"/>
    </row>
    <row r="35" spans="1:54" ht="14.1" customHeight="1" x14ac:dyDescent="0.2">
      <c r="A35" s="286" t="s">
        <v>206</v>
      </c>
      <c r="B35" s="287"/>
      <c r="C35" s="287"/>
      <c r="D35" s="287"/>
      <c r="E35" s="287"/>
      <c r="F35" s="287"/>
      <c r="G35" s="287"/>
      <c r="H35" s="287"/>
      <c r="I35" s="287"/>
      <c r="J35" s="287"/>
      <c r="K35" s="289" t="s">
        <v>124</v>
      </c>
      <c r="L35" s="638" t="str">
        <f>+IF(L32="","",((L32-L17)/L17)*100)</f>
        <v/>
      </c>
      <c r="M35" s="600"/>
      <c r="N35" s="600"/>
      <c r="O35" s="600" t="str">
        <f t="shared" ref="O35" si="0">+IF(O32="","",((O32-O17)/O17)*100)</f>
        <v/>
      </c>
      <c r="P35" s="600"/>
      <c r="Q35" s="600"/>
      <c r="R35" s="600" t="str">
        <f t="shared" ref="R35" si="1">+IF(R32="","",((R32-R17)/R17)*100)</f>
        <v/>
      </c>
      <c r="S35" s="600"/>
      <c r="T35" s="639"/>
      <c r="U35" s="638" t="str">
        <f>+IF(U32="","",((U32-L17)/L17)*100)</f>
        <v/>
      </c>
      <c r="V35" s="600"/>
      <c r="W35" s="600"/>
      <c r="X35" s="600" t="str">
        <f>+IF(X32="","",((X32-O17)/O17)*100)</f>
        <v/>
      </c>
      <c r="Y35" s="600"/>
      <c r="Z35" s="600"/>
      <c r="AA35" s="600" t="str">
        <f>+IF(AA32="","",((AA32-R17)/R17)*100)</f>
        <v/>
      </c>
      <c r="AB35" s="600"/>
      <c r="AC35" s="671"/>
    </row>
    <row r="36" spans="1:54" ht="14.1" customHeight="1" x14ac:dyDescent="0.2">
      <c r="A36" s="286" t="s">
        <v>234</v>
      </c>
      <c r="B36" s="290"/>
      <c r="C36" s="290"/>
      <c r="D36" s="290"/>
      <c r="E36" s="290"/>
      <c r="F36" s="290"/>
      <c r="G36" s="290"/>
      <c r="H36" s="290"/>
      <c r="I36" s="290"/>
      <c r="J36" s="287"/>
      <c r="K36" s="288" t="s">
        <v>159</v>
      </c>
      <c r="L36" s="626"/>
      <c r="M36" s="627"/>
      <c r="N36" s="627"/>
      <c r="O36" s="627"/>
      <c r="P36" s="627"/>
      <c r="Q36" s="627"/>
      <c r="R36" s="627"/>
      <c r="S36" s="627"/>
      <c r="T36" s="628"/>
      <c r="U36" s="632"/>
      <c r="V36" s="633"/>
      <c r="W36" s="633"/>
      <c r="X36" s="633"/>
      <c r="Y36" s="633"/>
      <c r="Z36" s="633"/>
      <c r="AA36" s="633"/>
      <c r="AB36" s="633"/>
      <c r="AC36" s="634"/>
    </row>
    <row r="37" spans="1:54" ht="14.1" customHeight="1" x14ac:dyDescent="0.2">
      <c r="A37" s="286" t="s">
        <v>235</v>
      </c>
      <c r="B37" s="287"/>
      <c r="C37" s="287"/>
      <c r="D37" s="287"/>
      <c r="E37" s="287"/>
      <c r="F37" s="287"/>
      <c r="G37" s="287"/>
      <c r="H37" s="287"/>
      <c r="I37" s="287"/>
      <c r="J37" s="287"/>
      <c r="K37" s="288" t="s">
        <v>196</v>
      </c>
      <c r="L37" s="679"/>
      <c r="M37" s="680"/>
      <c r="N37" s="680"/>
      <c r="O37" s="680"/>
      <c r="P37" s="680"/>
      <c r="Q37" s="680"/>
      <c r="R37" s="680"/>
      <c r="S37" s="680"/>
      <c r="T37" s="681"/>
      <c r="U37" s="682" t="str">
        <f>+IF(U36="","",U36*1000)</f>
        <v/>
      </c>
      <c r="V37" s="683"/>
      <c r="W37" s="683"/>
      <c r="X37" s="683" t="str">
        <f>+IF(X36="","",X36*1000)</f>
        <v/>
      </c>
      <c r="Y37" s="683"/>
      <c r="Z37" s="683"/>
      <c r="AA37" s="683" t="str">
        <f>+IF(AA36="","",AA36*1000)</f>
        <v/>
      </c>
      <c r="AB37" s="683"/>
      <c r="AC37" s="684"/>
    </row>
    <row r="38" spans="1:54" ht="14.1" customHeight="1" x14ac:dyDescent="0.2">
      <c r="A38" s="286" t="s">
        <v>207</v>
      </c>
      <c r="B38" s="290"/>
      <c r="C38" s="290"/>
      <c r="D38" s="290"/>
      <c r="E38" s="290"/>
      <c r="F38" s="290"/>
      <c r="G38" s="290"/>
      <c r="H38" s="290"/>
      <c r="I38" s="290"/>
      <c r="J38" s="287"/>
      <c r="K38" s="291" t="s">
        <v>170</v>
      </c>
      <c r="L38" s="629"/>
      <c r="M38" s="630"/>
      <c r="N38" s="630"/>
      <c r="O38" s="630"/>
      <c r="P38" s="630"/>
      <c r="Q38" s="630"/>
      <c r="R38" s="630"/>
      <c r="S38" s="630"/>
      <c r="T38" s="631"/>
      <c r="U38" s="685" t="str">
        <f>+IF(U12="","",((((2000*U23)/(PI()*U13*U12)))))</f>
        <v/>
      </c>
      <c r="V38" s="686"/>
      <c r="W38" s="686"/>
      <c r="X38" s="686" t="str">
        <f>+IF(X12="","",((((2000*X23)/(PI()*X13*X12)))))</f>
        <v/>
      </c>
      <c r="Y38" s="686"/>
      <c r="Z38" s="686"/>
      <c r="AA38" s="686" t="str">
        <f>+IF(AA12="","",((((2000*AA23)/(PI()*AA13*AA12)))))</f>
        <v/>
      </c>
      <c r="AB38" s="686"/>
      <c r="AC38" s="687"/>
    </row>
    <row r="39" spans="1:54" ht="14.1" customHeight="1" x14ac:dyDescent="0.2">
      <c r="A39" s="286" t="s">
        <v>208</v>
      </c>
      <c r="B39" s="290"/>
      <c r="C39" s="290"/>
      <c r="D39" s="290"/>
      <c r="E39" s="290"/>
      <c r="F39" s="290"/>
      <c r="G39" s="290"/>
      <c r="H39" s="290"/>
      <c r="I39" s="290"/>
      <c r="J39" s="287"/>
      <c r="K39" s="291" t="s">
        <v>170</v>
      </c>
      <c r="L39" s="672" t="str">
        <f>+IF(L12="","",(((2000*U37)/(PI()*L13*L12))))</f>
        <v/>
      </c>
      <c r="M39" s="636"/>
      <c r="N39" s="636"/>
      <c r="O39" s="636" t="str">
        <f>+IF(O12="","",(((2000*X37)/(PI()*O13*O12))))</f>
        <v/>
      </c>
      <c r="P39" s="636"/>
      <c r="Q39" s="636"/>
      <c r="R39" s="636" t="str">
        <f>+IF(R12="","",(((2000*AA37)/(PI()*R13*R12))))</f>
        <v/>
      </c>
      <c r="S39" s="636"/>
      <c r="T39" s="673"/>
      <c r="U39" s="674"/>
      <c r="V39" s="627"/>
      <c r="W39" s="627"/>
      <c r="X39" s="627"/>
      <c r="Y39" s="627"/>
      <c r="Z39" s="627"/>
      <c r="AA39" s="627"/>
      <c r="AB39" s="627"/>
      <c r="AC39" s="675"/>
    </row>
    <row r="40" spans="1:54" ht="14.1" customHeight="1" x14ac:dyDescent="0.2">
      <c r="A40" s="292" t="s">
        <v>209</v>
      </c>
      <c r="B40" s="293"/>
      <c r="C40" s="293"/>
      <c r="D40" s="293"/>
      <c r="E40" s="293"/>
      <c r="F40" s="293"/>
      <c r="G40" s="293"/>
      <c r="H40" s="293"/>
      <c r="I40" s="293"/>
      <c r="J40" s="294"/>
      <c r="K40" s="295" t="s">
        <v>124</v>
      </c>
      <c r="L40" s="610" t="str">
        <f>+IF(L34="","",AVERAGE(L34:T34))</f>
        <v/>
      </c>
      <c r="M40" s="611"/>
      <c r="N40" s="611"/>
      <c r="O40" s="611"/>
      <c r="P40" s="611"/>
      <c r="Q40" s="611"/>
      <c r="R40" s="611"/>
      <c r="S40" s="611"/>
      <c r="T40" s="612"/>
      <c r="U40" s="676" t="str">
        <f>+IF(U34="","",AVERAGE(U34:AC34))</f>
        <v/>
      </c>
      <c r="V40" s="677"/>
      <c r="W40" s="677"/>
      <c r="X40" s="677"/>
      <c r="Y40" s="677"/>
      <c r="Z40" s="677"/>
      <c r="AA40" s="677"/>
      <c r="AB40" s="677"/>
      <c r="AC40" s="678"/>
    </row>
    <row r="41" spans="1:54" ht="14.1" customHeight="1" x14ac:dyDescent="0.2">
      <c r="A41" s="292" t="s">
        <v>210</v>
      </c>
      <c r="B41" s="293"/>
      <c r="C41" s="293"/>
      <c r="D41" s="293"/>
      <c r="E41" s="293"/>
      <c r="F41" s="293"/>
      <c r="G41" s="293"/>
      <c r="H41" s="293"/>
      <c r="I41" s="293"/>
      <c r="J41" s="294"/>
      <c r="K41" s="295" t="s">
        <v>124</v>
      </c>
      <c r="L41" s="642" t="str">
        <f>+IF(L35="","",AVERAGE(L35:T35))</f>
        <v/>
      </c>
      <c r="M41" s="643"/>
      <c r="N41" s="643"/>
      <c r="O41" s="643"/>
      <c r="P41" s="643"/>
      <c r="Q41" s="643"/>
      <c r="R41" s="643"/>
      <c r="S41" s="643"/>
      <c r="T41" s="644"/>
      <c r="U41" s="676" t="str">
        <f>+IF(U35="","",AVERAGE(U35:AC35))</f>
        <v/>
      </c>
      <c r="V41" s="677"/>
      <c r="W41" s="677"/>
      <c r="X41" s="677"/>
      <c r="Y41" s="677"/>
      <c r="Z41" s="677"/>
      <c r="AA41" s="677"/>
      <c r="AB41" s="677"/>
      <c r="AC41" s="678"/>
    </row>
    <row r="42" spans="1:54" ht="14.1" customHeight="1" x14ac:dyDescent="0.2">
      <c r="A42" s="296" t="s">
        <v>211</v>
      </c>
      <c r="B42" s="297"/>
      <c r="C42" s="297"/>
      <c r="D42" s="297"/>
      <c r="E42" s="297"/>
      <c r="F42" s="297"/>
      <c r="G42" s="297"/>
      <c r="H42" s="297"/>
      <c r="I42" s="297"/>
      <c r="J42" s="294"/>
      <c r="K42" s="295" t="s">
        <v>170</v>
      </c>
      <c r="L42" s="704"/>
      <c r="M42" s="705"/>
      <c r="N42" s="705"/>
      <c r="O42" s="705"/>
      <c r="P42" s="705"/>
      <c r="Q42" s="705"/>
      <c r="R42" s="705"/>
      <c r="S42" s="705"/>
      <c r="T42" s="705"/>
      <c r="U42" s="676" t="str">
        <f>+IF(U38="","",AVERAGE(U38:AC38))</f>
        <v/>
      </c>
      <c r="V42" s="677"/>
      <c r="W42" s="677"/>
      <c r="X42" s="677"/>
      <c r="Y42" s="677"/>
      <c r="Z42" s="677"/>
      <c r="AA42" s="677"/>
      <c r="AB42" s="677"/>
      <c r="AC42" s="678"/>
    </row>
    <row r="43" spans="1:54" ht="14.1" customHeight="1" x14ac:dyDescent="0.2">
      <c r="A43" s="296" t="s">
        <v>212</v>
      </c>
      <c r="B43" s="298"/>
      <c r="C43" s="297"/>
      <c r="D43" s="297"/>
      <c r="E43" s="297"/>
      <c r="F43" s="297"/>
      <c r="G43" s="297"/>
      <c r="H43" s="297"/>
      <c r="I43" s="297"/>
      <c r="J43" s="294"/>
      <c r="K43" s="295" t="s">
        <v>170</v>
      </c>
      <c r="L43" s="706" t="str">
        <f>+IF(L39="","",AVERAGE(L39:T39))</f>
        <v/>
      </c>
      <c r="M43" s="707"/>
      <c r="N43" s="707"/>
      <c r="O43" s="707"/>
      <c r="P43" s="707"/>
      <c r="Q43" s="707"/>
      <c r="R43" s="707"/>
      <c r="S43" s="707"/>
      <c r="T43" s="708"/>
      <c r="U43" s="709"/>
      <c r="V43" s="710"/>
      <c r="W43" s="710"/>
      <c r="X43" s="710"/>
      <c r="Y43" s="710"/>
      <c r="Z43" s="710"/>
      <c r="AA43" s="710"/>
      <c r="AB43" s="710"/>
      <c r="AC43" s="711"/>
    </row>
    <row r="44" spans="1:54" ht="14.1" customHeight="1" x14ac:dyDescent="0.2">
      <c r="A44" s="688" t="s">
        <v>213</v>
      </c>
      <c r="B44" s="689"/>
      <c r="C44" s="689"/>
      <c r="D44" s="689"/>
      <c r="E44" s="689"/>
      <c r="F44" s="689"/>
      <c r="G44" s="689"/>
      <c r="H44" s="689"/>
      <c r="I44" s="689"/>
      <c r="J44" s="689"/>
      <c r="K44" s="299" t="s">
        <v>124</v>
      </c>
      <c r="L44" s="690" t="str">
        <f>+IF(U42="","",((L43/U42)*100))</f>
        <v/>
      </c>
      <c r="M44" s="691"/>
      <c r="N44" s="691"/>
      <c r="O44" s="691"/>
      <c r="P44" s="691"/>
      <c r="Q44" s="691"/>
      <c r="R44" s="691"/>
      <c r="S44" s="691"/>
      <c r="T44" s="691"/>
      <c r="U44" s="691"/>
      <c r="V44" s="691"/>
      <c r="W44" s="691"/>
      <c r="X44" s="691"/>
      <c r="Y44" s="691"/>
      <c r="Z44" s="691"/>
      <c r="AA44" s="691"/>
      <c r="AB44" s="691"/>
      <c r="AC44" s="692"/>
    </row>
    <row r="45" spans="1:54" ht="14.1" customHeight="1" x14ac:dyDescent="0.2">
      <c r="A45" s="300" t="s">
        <v>214</v>
      </c>
      <c r="B45" s="301"/>
      <c r="C45" s="301"/>
      <c r="D45" s="301"/>
      <c r="E45" s="301"/>
      <c r="F45" s="301"/>
      <c r="G45" s="301"/>
      <c r="H45" s="693" t="s">
        <v>215</v>
      </c>
      <c r="I45" s="693"/>
      <c r="J45" s="693"/>
      <c r="K45" s="694"/>
      <c r="L45" s="695" t="str">
        <f>IF(U42="","",(IF(L43&gt;=(0.8*U42),"Se acepta","Se rechaza")))</f>
        <v/>
      </c>
      <c r="M45" s="696"/>
      <c r="N45" s="696"/>
      <c r="O45" s="696"/>
      <c r="P45" s="696"/>
      <c r="Q45" s="696"/>
      <c r="R45" s="696"/>
      <c r="S45" s="696"/>
      <c r="T45" s="696"/>
      <c r="U45" s="696"/>
      <c r="V45" s="696"/>
      <c r="W45" s="696"/>
      <c r="X45" s="696"/>
      <c r="Y45" s="696"/>
      <c r="Z45" s="696"/>
      <c r="AA45" s="696"/>
      <c r="AB45" s="696"/>
      <c r="AC45" s="697"/>
      <c r="AE45" s="318"/>
    </row>
    <row r="46" spans="1:54" ht="14.1" customHeight="1" x14ac:dyDescent="0.2">
      <c r="A46" s="292" t="s">
        <v>216</v>
      </c>
      <c r="B46" s="294"/>
      <c r="C46" s="294"/>
      <c r="D46" s="294"/>
      <c r="E46" s="294"/>
      <c r="F46" s="294"/>
      <c r="G46" s="294"/>
      <c r="H46" s="294"/>
      <c r="I46" s="294"/>
      <c r="J46" s="294"/>
      <c r="K46" s="302"/>
      <c r="L46" s="698"/>
      <c r="M46" s="699"/>
      <c r="N46" s="699"/>
      <c r="O46" s="700"/>
      <c r="P46" s="700"/>
      <c r="Q46" s="700"/>
      <c r="R46" s="701"/>
      <c r="S46" s="701"/>
      <c r="T46" s="701"/>
      <c r="U46" s="702"/>
      <c r="V46" s="702"/>
      <c r="W46" s="702"/>
      <c r="X46" s="702"/>
      <c r="Y46" s="702"/>
      <c r="Z46" s="702"/>
      <c r="AA46" s="702"/>
      <c r="AB46" s="702"/>
      <c r="AC46" s="703"/>
    </row>
    <row r="47" spans="1:54" ht="14.1" customHeight="1" x14ac:dyDescent="0.2">
      <c r="A47" s="303" t="s">
        <v>217</v>
      </c>
      <c r="B47" s="304"/>
      <c r="C47" s="304"/>
      <c r="D47" s="304"/>
      <c r="E47" s="304"/>
      <c r="F47" s="304"/>
      <c r="G47" s="304"/>
      <c r="H47" s="304"/>
      <c r="I47" s="304"/>
      <c r="J47" s="304"/>
      <c r="K47" s="305"/>
      <c r="L47" s="724"/>
      <c r="M47" s="725"/>
      <c r="N47" s="725"/>
      <c r="O47" s="726"/>
      <c r="P47" s="726"/>
      <c r="Q47" s="726"/>
      <c r="R47" s="727"/>
      <c r="S47" s="727"/>
      <c r="T47" s="727"/>
      <c r="U47" s="727"/>
      <c r="V47" s="727"/>
      <c r="W47" s="727"/>
      <c r="X47" s="727"/>
      <c r="Y47" s="727"/>
      <c r="Z47" s="727"/>
      <c r="AA47" s="727"/>
      <c r="AB47" s="727"/>
      <c r="AC47" s="728"/>
    </row>
    <row r="48" spans="1:54" s="307" customFormat="1" ht="12.75" customHeight="1" x14ac:dyDescent="0.2">
      <c r="A48" s="712" t="s">
        <v>4</v>
      </c>
      <c r="B48" s="713"/>
      <c r="C48" s="713"/>
      <c r="D48" s="713"/>
      <c r="E48" s="713"/>
      <c r="F48" s="713"/>
      <c r="G48" s="713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3"/>
      <c r="AA48" s="713"/>
      <c r="AB48" s="713"/>
      <c r="AC48" s="714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306"/>
      <c r="AP48" s="306"/>
      <c r="AQ48" s="306"/>
      <c r="AR48" s="306"/>
      <c r="AS48" s="306"/>
      <c r="AT48" s="306"/>
      <c r="AU48" s="306"/>
      <c r="AV48" s="306"/>
      <c r="AW48" s="306"/>
      <c r="AX48" s="306"/>
      <c r="AY48" s="306"/>
      <c r="AZ48" s="306"/>
      <c r="BA48" s="306"/>
      <c r="BB48" s="306"/>
    </row>
    <row r="49" spans="1:54" s="307" customFormat="1" ht="10.5" customHeight="1" x14ac:dyDescent="0.2">
      <c r="A49" s="308"/>
      <c r="B49" s="309"/>
      <c r="C49" s="309"/>
      <c r="D49" s="309"/>
      <c r="E49" s="309"/>
      <c r="F49" s="715" t="s">
        <v>48</v>
      </c>
      <c r="G49" s="716"/>
      <c r="H49" s="716"/>
      <c r="I49" s="716"/>
      <c r="J49" s="716"/>
      <c r="K49" s="716"/>
      <c r="L49" s="716"/>
      <c r="M49" s="717"/>
      <c r="N49" s="715" t="s">
        <v>218</v>
      </c>
      <c r="O49" s="716"/>
      <c r="P49" s="716"/>
      <c r="Q49" s="716"/>
      <c r="R49" s="716"/>
      <c r="S49" s="716"/>
      <c r="T49" s="716"/>
      <c r="U49" s="717"/>
      <c r="V49" s="715" t="s">
        <v>145</v>
      </c>
      <c r="W49" s="716"/>
      <c r="X49" s="716"/>
      <c r="Y49" s="716"/>
      <c r="Z49" s="716"/>
      <c r="AA49" s="716"/>
      <c r="AB49" s="716"/>
      <c r="AC49" s="717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306"/>
      <c r="AY49" s="306"/>
      <c r="AZ49" s="306"/>
      <c r="BA49" s="306"/>
      <c r="BB49" s="306"/>
    </row>
    <row r="50" spans="1:54" s="307" customFormat="1" ht="31.5" customHeight="1" x14ac:dyDescent="0.2">
      <c r="A50" s="310" t="s">
        <v>132</v>
      </c>
      <c r="B50" s="311"/>
      <c r="C50" s="312"/>
      <c r="D50" s="312"/>
      <c r="E50" s="312"/>
      <c r="F50" s="718"/>
      <c r="G50" s="719"/>
      <c r="H50" s="719"/>
      <c r="I50" s="719"/>
      <c r="J50" s="719"/>
      <c r="K50" s="719"/>
      <c r="L50" s="719"/>
      <c r="M50" s="720"/>
      <c r="N50" s="721"/>
      <c r="O50" s="722"/>
      <c r="P50" s="722"/>
      <c r="Q50" s="722"/>
      <c r="R50" s="722"/>
      <c r="S50" s="722"/>
      <c r="T50" s="722"/>
      <c r="U50" s="723"/>
      <c r="V50" s="718"/>
      <c r="W50" s="719"/>
      <c r="X50" s="719"/>
      <c r="Y50" s="719"/>
      <c r="Z50" s="719"/>
      <c r="AA50" s="719"/>
      <c r="AB50" s="719"/>
      <c r="AC50" s="720"/>
      <c r="AD50" s="306"/>
      <c r="AE50" s="306"/>
      <c r="AF50" s="306"/>
      <c r="AG50" s="306"/>
      <c r="AH50" s="306"/>
      <c r="AI50" s="306"/>
      <c r="AJ50" s="306"/>
      <c r="AK50" s="306"/>
      <c r="AL50" s="306"/>
      <c r="AM50" s="306"/>
      <c r="AN50" s="306"/>
      <c r="AO50" s="306"/>
      <c r="AP50" s="306"/>
      <c r="AQ50" s="306"/>
      <c r="AR50" s="306"/>
      <c r="AS50" s="306"/>
      <c r="AT50" s="306"/>
      <c r="AU50" s="306"/>
      <c r="AV50" s="306"/>
      <c r="AW50" s="306"/>
      <c r="AX50" s="306"/>
      <c r="AY50" s="306"/>
      <c r="AZ50" s="306"/>
      <c r="BA50" s="306"/>
      <c r="BB50" s="306"/>
    </row>
    <row r="51" spans="1:54" s="307" customFormat="1" ht="12.95" customHeight="1" x14ac:dyDescent="0.2">
      <c r="A51" s="313" t="s">
        <v>133</v>
      </c>
      <c r="B51" s="311"/>
      <c r="C51" s="312"/>
      <c r="D51" s="312"/>
      <c r="E51" s="312"/>
      <c r="F51" s="734" t="s">
        <v>157</v>
      </c>
      <c r="G51" s="735"/>
      <c r="H51" s="735"/>
      <c r="I51" s="735"/>
      <c r="J51" s="735"/>
      <c r="K51" s="735"/>
      <c r="L51" s="735"/>
      <c r="M51" s="736"/>
      <c r="N51" s="734" t="s">
        <v>157</v>
      </c>
      <c r="O51" s="735"/>
      <c r="P51" s="735"/>
      <c r="Q51" s="735"/>
      <c r="R51" s="735"/>
      <c r="S51" s="735"/>
      <c r="T51" s="735"/>
      <c r="U51" s="736"/>
      <c r="V51" s="734" t="s">
        <v>157</v>
      </c>
      <c r="W51" s="735"/>
      <c r="X51" s="735"/>
      <c r="Y51" s="735"/>
      <c r="Z51" s="735"/>
      <c r="AA51" s="735"/>
      <c r="AB51" s="735"/>
      <c r="AC51" s="736"/>
      <c r="AD51" s="306"/>
      <c r="AE51" s="306"/>
      <c r="AF51" s="306"/>
      <c r="AG51" s="306"/>
      <c r="AH51" s="306"/>
      <c r="AI51" s="306"/>
      <c r="AJ51" s="306"/>
      <c r="AK51" s="306"/>
      <c r="AL51" s="306"/>
      <c r="AM51" s="306"/>
      <c r="AN51" s="306"/>
      <c r="AO51" s="306"/>
      <c r="AP51" s="306"/>
      <c r="AQ51" s="306"/>
      <c r="AR51" s="306"/>
      <c r="AS51" s="306"/>
      <c r="AT51" s="306"/>
      <c r="AU51" s="306"/>
      <c r="AV51" s="306"/>
      <c r="AW51" s="306"/>
      <c r="AX51" s="306"/>
      <c r="AY51" s="306"/>
      <c r="AZ51" s="306"/>
      <c r="BA51" s="306"/>
      <c r="BB51" s="306"/>
    </row>
    <row r="52" spans="1:54" s="307" customFormat="1" ht="12.95" customHeight="1" thickBot="1" x14ac:dyDescent="0.25">
      <c r="A52" s="313" t="s">
        <v>134</v>
      </c>
      <c r="B52" s="311"/>
      <c r="C52" s="312"/>
      <c r="D52" s="312"/>
      <c r="E52" s="312"/>
      <c r="F52" s="737" t="str">
        <f>IF(F51="--","",VLOOKUP(F51,[27]firmas!A3:B27,2,0))</f>
        <v/>
      </c>
      <c r="G52" s="735"/>
      <c r="H52" s="735"/>
      <c r="I52" s="735"/>
      <c r="J52" s="735"/>
      <c r="K52" s="735"/>
      <c r="L52" s="735"/>
      <c r="M52" s="736"/>
      <c r="N52" s="737" t="str">
        <f>IF(N51="--","",VLOOKUP(N51,firmas!A30:B33,2,0))</f>
        <v/>
      </c>
      <c r="O52" s="735"/>
      <c r="P52" s="735"/>
      <c r="Q52" s="735"/>
      <c r="R52" s="735"/>
      <c r="S52" s="735"/>
      <c r="T52" s="735"/>
      <c r="U52" s="736"/>
      <c r="V52" s="737" t="str">
        <f>IF(V51="--","",VLOOKUP(V51,firmas!$A$35:$B$36,2,0))</f>
        <v/>
      </c>
      <c r="W52" s="735"/>
      <c r="X52" s="735"/>
      <c r="Y52" s="735"/>
      <c r="Z52" s="735"/>
      <c r="AA52" s="735"/>
      <c r="AB52" s="735"/>
      <c r="AC52" s="736"/>
      <c r="AD52" s="306"/>
      <c r="AE52" s="306"/>
      <c r="AF52" s="306"/>
      <c r="AG52" s="306"/>
      <c r="AH52" s="306"/>
      <c r="AI52" s="306"/>
      <c r="AJ52" s="306"/>
      <c r="AK52" s="306"/>
      <c r="AL52" s="306"/>
      <c r="AM52" s="306"/>
      <c r="AN52" s="306"/>
      <c r="AO52" s="306"/>
      <c r="AP52" s="306"/>
      <c r="AQ52" s="306"/>
      <c r="AR52" s="306"/>
      <c r="AS52" s="306"/>
      <c r="AT52" s="306"/>
      <c r="AU52" s="306"/>
      <c r="AV52" s="306"/>
      <c r="AW52" s="306"/>
      <c r="AX52" s="306"/>
      <c r="AY52" s="306"/>
      <c r="AZ52" s="306"/>
      <c r="BA52" s="306"/>
      <c r="BB52" s="306"/>
    </row>
    <row r="53" spans="1:54" s="307" customFormat="1" ht="12" customHeight="1" thickTop="1" thickBot="1" x14ac:dyDescent="0.25">
      <c r="A53" s="729" t="s">
        <v>219</v>
      </c>
      <c r="B53" s="730"/>
      <c r="C53" s="730"/>
      <c r="D53" s="730"/>
      <c r="E53" s="730"/>
      <c r="F53" s="730"/>
      <c r="G53" s="730"/>
      <c r="H53" s="730"/>
      <c r="I53" s="730"/>
      <c r="J53" s="730"/>
      <c r="K53" s="730"/>
      <c r="L53" s="730"/>
      <c r="M53" s="730"/>
      <c r="N53" s="730"/>
      <c r="O53" s="730"/>
      <c r="P53" s="730"/>
      <c r="Q53" s="730"/>
      <c r="R53" s="730"/>
      <c r="S53" s="730"/>
      <c r="T53" s="730"/>
      <c r="U53" s="730"/>
      <c r="V53" s="730"/>
      <c r="W53" s="730"/>
      <c r="X53" s="730"/>
      <c r="Y53" s="730"/>
      <c r="Z53" s="730"/>
      <c r="AA53" s="730"/>
      <c r="AB53" s="730"/>
      <c r="AC53" s="731"/>
      <c r="AD53" s="306"/>
      <c r="AE53" s="306"/>
      <c r="AF53" s="306"/>
      <c r="AG53" s="306"/>
      <c r="AH53" s="306"/>
      <c r="AI53" s="306"/>
      <c r="AJ53" s="306"/>
      <c r="AK53" s="306"/>
      <c r="AL53" s="306"/>
      <c r="AM53" s="306"/>
      <c r="AN53" s="306"/>
      <c r="AO53" s="306"/>
      <c r="AP53" s="306"/>
      <c r="AQ53" s="306"/>
      <c r="AR53" s="306"/>
      <c r="AS53" s="306"/>
      <c r="AT53" s="306"/>
      <c r="AU53" s="306"/>
      <c r="AV53" s="306"/>
      <c r="AW53" s="306"/>
      <c r="AX53" s="306"/>
      <c r="AY53" s="306"/>
      <c r="AZ53" s="306"/>
      <c r="BA53" s="306"/>
      <c r="BB53" s="306"/>
    </row>
    <row r="54" spans="1:54" s="314" customFormat="1" ht="18" customHeight="1" thickTop="1" x14ac:dyDescent="0.15">
      <c r="A54" s="732" t="s">
        <v>226</v>
      </c>
      <c r="B54" s="732"/>
      <c r="C54" s="732"/>
      <c r="D54" s="732"/>
      <c r="E54" s="732"/>
      <c r="F54" s="732"/>
      <c r="G54" s="732"/>
      <c r="H54" s="732"/>
      <c r="I54" s="732"/>
      <c r="J54" s="732"/>
      <c r="K54" s="732"/>
      <c r="L54" s="732"/>
      <c r="M54" s="732"/>
      <c r="N54" s="732"/>
      <c r="O54" s="732"/>
      <c r="P54" s="732"/>
      <c r="Q54" s="732"/>
      <c r="R54" s="732"/>
      <c r="S54" s="732"/>
      <c r="T54" s="732"/>
      <c r="U54" s="732"/>
      <c r="V54" s="732"/>
      <c r="W54" s="732"/>
      <c r="X54" s="732"/>
      <c r="Y54" s="732"/>
      <c r="Z54" s="732"/>
      <c r="AA54" s="732"/>
      <c r="AB54" s="732"/>
      <c r="AC54" s="732"/>
    </row>
    <row r="55" spans="1:54" s="315" customFormat="1" ht="27.95" customHeight="1" x14ac:dyDescent="0.2">
      <c r="A55" s="733" t="s">
        <v>236</v>
      </c>
      <c r="B55" s="733"/>
      <c r="C55" s="733"/>
      <c r="D55" s="733"/>
      <c r="E55" s="733"/>
      <c r="F55" s="733"/>
      <c r="G55" s="733"/>
      <c r="H55" s="733"/>
      <c r="I55" s="733"/>
      <c r="J55" s="733"/>
      <c r="K55" s="733"/>
      <c r="L55" s="733"/>
      <c r="M55" s="733"/>
      <c r="N55" s="733"/>
      <c r="O55" s="733"/>
      <c r="P55" s="733"/>
      <c r="Q55" s="733"/>
      <c r="R55" s="733"/>
      <c r="S55" s="733"/>
      <c r="T55" s="733"/>
      <c r="U55" s="733"/>
      <c r="V55" s="733"/>
      <c r="W55" s="733"/>
      <c r="X55" s="733"/>
      <c r="Y55" s="733"/>
      <c r="Z55" s="733"/>
      <c r="AA55" s="733"/>
      <c r="AB55" s="733"/>
      <c r="AC55" s="733"/>
    </row>
  </sheetData>
  <sheetProtection algorithmName="SHA-512" hashValue="bN/m9K2NRgY5ch/0H4UKpclhsjyphaHKl90H1MqJupY4ISdn82dUNdohJtPN3bdXuDurOr47ZwBJUj/rvpmoSg==" saltValue="V0E2RzofGtoIMJ0VFLzTJA==" spinCount="100000" sheet="1" objects="1" scenarios="1"/>
  <mergeCells count="213">
    <mergeCell ref="A53:AC53"/>
    <mergeCell ref="A54:AC54"/>
    <mergeCell ref="A55:AC55"/>
    <mergeCell ref="F51:M51"/>
    <mergeCell ref="N51:U51"/>
    <mergeCell ref="V51:AC51"/>
    <mergeCell ref="F52:M52"/>
    <mergeCell ref="N52:U52"/>
    <mergeCell ref="V52:AC52"/>
    <mergeCell ref="A48:AC48"/>
    <mergeCell ref="F49:M49"/>
    <mergeCell ref="N49:U49"/>
    <mergeCell ref="V49:AC49"/>
    <mergeCell ref="F50:M50"/>
    <mergeCell ref="N50:U50"/>
    <mergeCell ref="V50:AC50"/>
    <mergeCell ref="L47:N47"/>
    <mergeCell ref="O47:Q47"/>
    <mergeCell ref="R47:T47"/>
    <mergeCell ref="U47:W47"/>
    <mergeCell ref="X47:Z47"/>
    <mergeCell ref="AA47:AC47"/>
    <mergeCell ref="A44:J44"/>
    <mergeCell ref="L44:AC44"/>
    <mergeCell ref="H45:K45"/>
    <mergeCell ref="L45:AC45"/>
    <mergeCell ref="L46:N46"/>
    <mergeCell ref="O46:Q46"/>
    <mergeCell ref="R46:T46"/>
    <mergeCell ref="U46:AC46"/>
    <mergeCell ref="L41:T41"/>
    <mergeCell ref="U41:AC41"/>
    <mergeCell ref="L42:T42"/>
    <mergeCell ref="U42:AC42"/>
    <mergeCell ref="L43:T43"/>
    <mergeCell ref="U43:AC43"/>
    <mergeCell ref="L39:N39"/>
    <mergeCell ref="O39:Q39"/>
    <mergeCell ref="R39:T39"/>
    <mergeCell ref="U39:AC39"/>
    <mergeCell ref="L40:T40"/>
    <mergeCell ref="U40:AC40"/>
    <mergeCell ref="L36:T38"/>
    <mergeCell ref="U36:W36"/>
    <mergeCell ref="X36:Z36"/>
    <mergeCell ref="AA36:AC36"/>
    <mergeCell ref="U37:W37"/>
    <mergeCell ref="X37:Z37"/>
    <mergeCell ref="AA37:AC37"/>
    <mergeCell ref="U38:W38"/>
    <mergeCell ref="X38:Z38"/>
    <mergeCell ref="AA38:AC38"/>
    <mergeCell ref="L35:N35"/>
    <mergeCell ref="O35:Q35"/>
    <mergeCell ref="R35:T35"/>
    <mergeCell ref="U35:W35"/>
    <mergeCell ref="X35:Z35"/>
    <mergeCell ref="AA35:AC35"/>
    <mergeCell ref="L34:N34"/>
    <mergeCell ref="O34:Q34"/>
    <mergeCell ref="R34:T34"/>
    <mergeCell ref="U34:W34"/>
    <mergeCell ref="X34:Z34"/>
    <mergeCell ref="AA34:AC34"/>
    <mergeCell ref="L33:N33"/>
    <mergeCell ref="O33:Q33"/>
    <mergeCell ref="R33:T33"/>
    <mergeCell ref="U33:W33"/>
    <mergeCell ref="X33:Z33"/>
    <mergeCell ref="AA33:AC33"/>
    <mergeCell ref="L32:N32"/>
    <mergeCell ref="O32:Q32"/>
    <mergeCell ref="R32:T32"/>
    <mergeCell ref="U32:W32"/>
    <mergeCell ref="X32:Z32"/>
    <mergeCell ref="AA32:AC32"/>
    <mergeCell ref="L31:N31"/>
    <mergeCell ref="O31:Q31"/>
    <mergeCell ref="R31:T31"/>
    <mergeCell ref="U31:W31"/>
    <mergeCell ref="X31:Z31"/>
    <mergeCell ref="AA31:AC31"/>
    <mergeCell ref="L30:N30"/>
    <mergeCell ref="O30:Q30"/>
    <mergeCell ref="R30:T30"/>
    <mergeCell ref="U30:W30"/>
    <mergeCell ref="X30:Z30"/>
    <mergeCell ref="AA30:AC30"/>
    <mergeCell ref="A28:K28"/>
    <mergeCell ref="L28:T28"/>
    <mergeCell ref="U28:AC28"/>
    <mergeCell ref="AD28:AI28"/>
    <mergeCell ref="L29:N29"/>
    <mergeCell ref="O29:Q29"/>
    <mergeCell ref="R29:T29"/>
    <mergeCell ref="U29:W29"/>
    <mergeCell ref="X29:Z29"/>
    <mergeCell ref="AA29:AC29"/>
    <mergeCell ref="A26:J26"/>
    <mergeCell ref="L26:T26"/>
    <mergeCell ref="U26:AC26"/>
    <mergeCell ref="A27:J27"/>
    <mergeCell ref="L27:T27"/>
    <mergeCell ref="U27:AC27"/>
    <mergeCell ref="A24:K24"/>
    <mergeCell ref="L24:T24"/>
    <mergeCell ref="U24:AC24"/>
    <mergeCell ref="A25:K25"/>
    <mergeCell ref="L25:T25"/>
    <mergeCell ref="U25:AC25"/>
    <mergeCell ref="L22:T23"/>
    <mergeCell ref="U22:W22"/>
    <mergeCell ref="X22:Z22"/>
    <mergeCell ref="AA22:AC22"/>
    <mergeCell ref="U23:W23"/>
    <mergeCell ref="X23:Z23"/>
    <mergeCell ref="AA23:AC23"/>
    <mergeCell ref="L21:N21"/>
    <mergeCell ref="O21:Q21"/>
    <mergeCell ref="R21:T21"/>
    <mergeCell ref="U21:W21"/>
    <mergeCell ref="X21:Z21"/>
    <mergeCell ref="AA21:AC21"/>
    <mergeCell ref="L20:N20"/>
    <mergeCell ref="O20:Q20"/>
    <mergeCell ref="R20:T20"/>
    <mergeCell ref="U20:W20"/>
    <mergeCell ref="X20:Z20"/>
    <mergeCell ref="AA20:AC20"/>
    <mergeCell ref="L19:N19"/>
    <mergeCell ref="O19:Q19"/>
    <mergeCell ref="R19:T19"/>
    <mergeCell ref="U19:W19"/>
    <mergeCell ref="X19:Z19"/>
    <mergeCell ref="AA19:AC19"/>
    <mergeCell ref="L18:N18"/>
    <mergeCell ref="O18:Q18"/>
    <mergeCell ref="R18:T18"/>
    <mergeCell ref="U18:W18"/>
    <mergeCell ref="X18:Z18"/>
    <mergeCell ref="AA18:AC18"/>
    <mergeCell ref="L17:N17"/>
    <mergeCell ref="O17:Q17"/>
    <mergeCell ref="R17:T17"/>
    <mergeCell ref="U17:W17"/>
    <mergeCell ref="X17:Z17"/>
    <mergeCell ref="AA17:AC17"/>
    <mergeCell ref="L16:N16"/>
    <mergeCell ref="O16:Q16"/>
    <mergeCell ref="R16:T16"/>
    <mergeCell ref="U16:W16"/>
    <mergeCell ref="X16:Z16"/>
    <mergeCell ref="AA16:AC16"/>
    <mergeCell ref="L15:N15"/>
    <mergeCell ref="O15:Q15"/>
    <mergeCell ref="R15:T15"/>
    <mergeCell ref="U15:W15"/>
    <mergeCell ref="X15:Z15"/>
    <mergeCell ref="AA15:AC15"/>
    <mergeCell ref="AD12:AO12"/>
    <mergeCell ref="L13:N13"/>
    <mergeCell ref="O13:Q13"/>
    <mergeCell ref="R13:T13"/>
    <mergeCell ref="U13:W13"/>
    <mergeCell ref="X13:Z13"/>
    <mergeCell ref="AA13:AC13"/>
    <mergeCell ref="L12:N12"/>
    <mergeCell ref="O12:Q12"/>
    <mergeCell ref="R12:T12"/>
    <mergeCell ref="U12:W12"/>
    <mergeCell ref="X12:Z12"/>
    <mergeCell ref="AA12:AC12"/>
    <mergeCell ref="L11:N11"/>
    <mergeCell ref="O11:Q11"/>
    <mergeCell ref="R11:T11"/>
    <mergeCell ref="U11:W11"/>
    <mergeCell ref="X11:Z11"/>
    <mergeCell ref="AA11:AC11"/>
    <mergeCell ref="L14:N14"/>
    <mergeCell ref="O14:Q14"/>
    <mergeCell ref="R14:T14"/>
    <mergeCell ref="U14:W14"/>
    <mergeCell ref="X14:Z14"/>
    <mergeCell ref="AA14:AC14"/>
    <mergeCell ref="A9:E9"/>
    <mergeCell ref="F9:I9"/>
    <mergeCell ref="J9:N9"/>
    <mergeCell ref="O9:R9"/>
    <mergeCell ref="T9:X9"/>
    <mergeCell ref="Y9:AB9"/>
    <mergeCell ref="A10:K10"/>
    <mergeCell ref="L10:T10"/>
    <mergeCell ref="U10:AC10"/>
    <mergeCell ref="A7:E7"/>
    <mergeCell ref="F7:I7"/>
    <mergeCell ref="J7:N7"/>
    <mergeCell ref="O7:S8"/>
    <mergeCell ref="T7:X7"/>
    <mergeCell ref="Y7:AC7"/>
    <mergeCell ref="A8:E8"/>
    <mergeCell ref="F8:N8"/>
    <mergeCell ref="T8:X8"/>
    <mergeCell ref="Y8:AC8"/>
    <mergeCell ref="A1:G5"/>
    <mergeCell ref="H1:AC1"/>
    <mergeCell ref="H2:AC3"/>
    <mergeCell ref="H4:T4"/>
    <mergeCell ref="V4:AC4"/>
    <mergeCell ref="H5:AC5"/>
    <mergeCell ref="A6:E6"/>
    <mergeCell ref="F6:R6"/>
    <mergeCell ref="T6:X6"/>
    <mergeCell ref="Y6:AC6"/>
  </mergeCells>
  <printOptions horizontalCentered="1"/>
  <pageMargins left="0.59055118110236227" right="0.19685039370078741" top="0" bottom="0" header="0" footer="3.937007874015748E-2"/>
  <pageSetup orientation="portrait" r:id="rId1"/>
  <headerFooter scaleWithDoc="0">
    <oddFooter>&amp;L&amp;6Calle 26 No. 57-41 Torre 8 Pisos 7-8 CEMSA - CP: 1113111            
Pbx: 3779555  - Información: Línea 195     
www.umv.gov.co111311&amp;C&amp;6GLAB-FM-029
Página 1 de 1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firmas!$A$35:$A$38</xm:f>
          </x14:formula1>
          <xm:sqref>V51:AC51</xm:sqref>
        </x14:dataValidation>
        <x14:dataValidation type="list" allowBlank="1" showInputMessage="1" showErrorMessage="1">
          <x14:formula1>
            <xm:f>firmas!$A$30:$A$34</xm:f>
          </x14:formula1>
          <xm:sqref>N51:U51</xm:sqref>
        </x14:dataValidation>
        <x14:dataValidation type="list" allowBlank="1" showInputMessage="1" showErrorMessage="1">
          <x14:formula1>
            <xm:f>firmas!$A$2:$A$28</xm:f>
          </x14:formula1>
          <xm:sqref>F51:M51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topLeftCell="A10" workbookViewId="0">
      <selection activeCell="D2" sqref="D2"/>
    </sheetView>
  </sheetViews>
  <sheetFormatPr baseColWidth="10" defaultRowHeight="12.75" x14ac:dyDescent="0.2"/>
  <cols>
    <col min="1" max="2" width="21.7109375" customWidth="1"/>
    <col min="3" max="3" width="22.7109375" customWidth="1"/>
  </cols>
  <sheetData>
    <row r="1" spans="1:5" x14ac:dyDescent="0.2">
      <c r="A1" s="738" t="s">
        <v>152</v>
      </c>
      <c r="B1" s="738"/>
      <c r="C1" s="738"/>
    </row>
    <row r="2" spans="1:5" x14ac:dyDescent="0.2">
      <c r="A2" s="326" t="s">
        <v>157</v>
      </c>
      <c r="B2" s="249"/>
      <c r="C2" s="249"/>
    </row>
    <row r="3" spans="1:5" ht="39.950000000000003" customHeight="1" x14ac:dyDescent="0.2">
      <c r="A3" s="321" t="s">
        <v>135</v>
      </c>
      <c r="B3" s="321" t="s">
        <v>123</v>
      </c>
      <c r="C3" s="322">
        <v>2</v>
      </c>
      <c r="D3" s="248"/>
      <c r="E3" s="256"/>
    </row>
    <row r="4" spans="1:5" ht="39.950000000000003" customHeight="1" x14ac:dyDescent="0.2">
      <c r="A4" s="321" t="s">
        <v>136</v>
      </c>
      <c r="B4" s="321" t="s">
        <v>123</v>
      </c>
      <c r="C4" s="322">
        <v>3</v>
      </c>
      <c r="D4" s="248"/>
      <c r="E4" s="250"/>
    </row>
    <row r="5" spans="1:5" ht="39.950000000000003" customHeight="1" x14ac:dyDescent="0.2">
      <c r="A5" s="321" t="s">
        <v>137</v>
      </c>
      <c r="B5" s="321" t="s">
        <v>123</v>
      </c>
      <c r="C5" s="322">
        <v>7</v>
      </c>
      <c r="D5" s="248"/>
      <c r="E5" s="250"/>
    </row>
    <row r="6" spans="1:5" ht="39.950000000000003" customHeight="1" x14ac:dyDescent="0.25">
      <c r="A6" s="321" t="s">
        <v>138</v>
      </c>
      <c r="B6" s="321" t="s">
        <v>123</v>
      </c>
      <c r="C6" s="325"/>
      <c r="D6" s="248"/>
      <c r="E6" s="250"/>
    </row>
    <row r="7" spans="1:5" ht="39.950000000000003" customHeight="1" x14ac:dyDescent="0.2">
      <c r="A7" s="321" t="s">
        <v>139</v>
      </c>
      <c r="B7" s="321" t="s">
        <v>123</v>
      </c>
      <c r="C7" s="322">
        <v>6</v>
      </c>
      <c r="D7" s="248"/>
      <c r="E7" s="250"/>
    </row>
    <row r="8" spans="1:5" ht="39.950000000000003" customHeight="1" x14ac:dyDescent="0.2">
      <c r="A8" s="321" t="s">
        <v>140</v>
      </c>
      <c r="B8" s="321" t="s">
        <v>123</v>
      </c>
      <c r="C8" s="322">
        <v>4</v>
      </c>
      <c r="D8" s="248"/>
      <c r="E8" s="250"/>
    </row>
    <row r="9" spans="1:5" ht="39.950000000000003" customHeight="1" x14ac:dyDescent="0.25">
      <c r="A9" s="321" t="s">
        <v>141</v>
      </c>
      <c r="B9" s="321" t="s">
        <v>123</v>
      </c>
      <c r="C9" s="324"/>
      <c r="D9" s="248"/>
      <c r="E9" s="250"/>
    </row>
    <row r="10" spans="1:5" ht="39.950000000000003" customHeight="1" x14ac:dyDescent="0.2">
      <c r="A10" s="321" t="s">
        <v>143</v>
      </c>
      <c r="B10" s="321" t="s">
        <v>123</v>
      </c>
      <c r="C10" s="322">
        <v>9</v>
      </c>
      <c r="D10" s="248"/>
      <c r="E10" s="250"/>
    </row>
    <row r="11" spans="1:5" ht="39.950000000000003" customHeight="1" x14ac:dyDescent="0.25">
      <c r="A11" s="321" t="s">
        <v>144</v>
      </c>
      <c r="B11" s="321" t="s">
        <v>123</v>
      </c>
      <c r="C11" s="324"/>
      <c r="D11" s="248"/>
      <c r="E11" s="250"/>
    </row>
    <row r="12" spans="1:5" ht="39.950000000000003" customHeight="1" x14ac:dyDescent="0.2">
      <c r="A12" s="321" t="s">
        <v>142</v>
      </c>
      <c r="B12" s="321" t="s">
        <v>158</v>
      </c>
      <c r="C12" s="322">
        <v>1</v>
      </c>
      <c r="D12" s="248"/>
      <c r="E12" s="250"/>
    </row>
    <row r="13" spans="1:5" ht="39.950000000000003" customHeight="1" x14ac:dyDescent="0.2">
      <c r="A13" s="321" t="s">
        <v>154</v>
      </c>
      <c r="B13" s="321" t="s">
        <v>123</v>
      </c>
      <c r="C13" s="322"/>
      <c r="D13" s="248"/>
      <c r="E13" s="250"/>
    </row>
    <row r="14" spans="1:5" ht="39.950000000000003" customHeight="1" x14ac:dyDescent="0.2">
      <c r="A14" s="321" t="s">
        <v>249</v>
      </c>
      <c r="B14" s="321" t="s">
        <v>123</v>
      </c>
      <c r="C14" s="322"/>
      <c r="D14" s="248"/>
      <c r="E14" s="250"/>
    </row>
    <row r="15" spans="1:5" ht="39.950000000000003" customHeight="1" x14ac:dyDescent="0.2">
      <c r="A15" s="321" t="s">
        <v>250</v>
      </c>
      <c r="B15" s="321" t="s">
        <v>123</v>
      </c>
      <c r="C15" s="322"/>
      <c r="D15" s="247"/>
      <c r="E15" s="250"/>
    </row>
    <row r="16" spans="1:5" ht="39.950000000000003" customHeight="1" x14ac:dyDescent="0.2">
      <c r="A16" s="321" t="s">
        <v>251</v>
      </c>
      <c r="B16" s="321" t="s">
        <v>123</v>
      </c>
      <c r="C16" s="322"/>
      <c r="D16" s="247"/>
      <c r="E16" s="250"/>
    </row>
    <row r="17" spans="1:5" ht="39.950000000000003" customHeight="1" x14ac:dyDescent="0.2">
      <c r="A17" s="323" t="s">
        <v>148</v>
      </c>
      <c r="B17" s="323" t="s">
        <v>153</v>
      </c>
      <c r="C17" s="322"/>
      <c r="D17" s="248"/>
      <c r="E17" s="250"/>
    </row>
    <row r="18" spans="1:5" ht="39.950000000000003" customHeight="1" x14ac:dyDescent="0.25">
      <c r="A18" s="323" t="s">
        <v>151</v>
      </c>
      <c r="B18" s="323" t="s">
        <v>153</v>
      </c>
      <c r="C18" s="324"/>
      <c r="D18" s="247"/>
      <c r="E18" s="250"/>
    </row>
    <row r="19" spans="1:5" ht="39.950000000000003" customHeight="1" x14ac:dyDescent="0.2">
      <c r="A19" s="323" t="s">
        <v>149</v>
      </c>
      <c r="B19" s="323" t="s">
        <v>153</v>
      </c>
      <c r="C19" s="322"/>
      <c r="D19" s="247"/>
      <c r="E19" s="250"/>
    </row>
    <row r="20" spans="1:5" ht="39.950000000000003" customHeight="1" x14ac:dyDescent="0.2">
      <c r="A20" s="323" t="s">
        <v>252</v>
      </c>
      <c r="B20" s="323" t="s">
        <v>153</v>
      </c>
      <c r="C20" s="322"/>
      <c r="D20" s="247"/>
      <c r="E20" s="250"/>
    </row>
    <row r="21" spans="1:5" ht="39.950000000000003" customHeight="1" x14ac:dyDescent="0.2">
      <c r="A21" s="323" t="s">
        <v>253</v>
      </c>
      <c r="B21" s="323" t="s">
        <v>153</v>
      </c>
      <c r="C21" s="322"/>
      <c r="D21" s="247"/>
      <c r="E21" s="250"/>
    </row>
    <row r="22" spans="1:5" ht="39.950000000000003" customHeight="1" x14ac:dyDescent="0.2">
      <c r="A22" s="323" t="s">
        <v>150</v>
      </c>
      <c r="B22" s="323" t="s">
        <v>153</v>
      </c>
      <c r="C22" s="322"/>
      <c r="D22" s="248"/>
      <c r="E22" s="250"/>
    </row>
    <row r="23" spans="1:5" ht="39.950000000000003" customHeight="1" x14ac:dyDescent="0.25">
      <c r="A23" s="323" t="s">
        <v>254</v>
      </c>
      <c r="B23" s="323" t="s">
        <v>153</v>
      </c>
      <c r="C23" s="324"/>
      <c r="D23" s="248"/>
      <c r="E23" s="250"/>
    </row>
    <row r="24" spans="1:5" ht="39.950000000000003" customHeight="1" x14ac:dyDescent="0.25">
      <c r="A24" s="323" t="s">
        <v>255</v>
      </c>
      <c r="B24" s="323" t="s">
        <v>153</v>
      </c>
      <c r="C24" s="324"/>
      <c r="D24" s="248"/>
      <c r="E24" s="250"/>
    </row>
    <row r="25" spans="1:5" ht="39.950000000000003" customHeight="1" x14ac:dyDescent="0.25">
      <c r="A25" s="323" t="s">
        <v>256</v>
      </c>
      <c r="B25" s="323" t="s">
        <v>153</v>
      </c>
      <c r="C25" s="324"/>
      <c r="D25" s="248"/>
      <c r="E25" s="250"/>
    </row>
    <row r="26" spans="1:5" ht="39.950000000000003" customHeight="1" x14ac:dyDescent="0.2">
      <c r="A26" s="323" t="s">
        <v>257</v>
      </c>
      <c r="B26" s="323" t="s">
        <v>153</v>
      </c>
      <c r="C26" s="322"/>
      <c r="D26" s="247"/>
      <c r="E26" s="250"/>
    </row>
    <row r="27" spans="1:5" ht="39.950000000000003" customHeight="1" x14ac:dyDescent="0.2">
      <c r="A27" s="323" t="s">
        <v>258</v>
      </c>
      <c r="B27" s="323" t="s">
        <v>153</v>
      </c>
      <c r="C27" s="322"/>
      <c r="D27" s="247"/>
      <c r="E27" s="250"/>
    </row>
    <row r="28" spans="1:5" ht="39.950000000000003" customHeight="1" x14ac:dyDescent="0.2">
      <c r="A28" s="323" t="s">
        <v>259</v>
      </c>
      <c r="B28" s="323" t="s">
        <v>153</v>
      </c>
      <c r="C28" s="322"/>
    </row>
    <row r="29" spans="1:5" ht="39.950000000000003" customHeight="1" x14ac:dyDescent="0.2">
      <c r="A29" s="323" t="s">
        <v>260</v>
      </c>
      <c r="B29" s="323" t="s">
        <v>153</v>
      </c>
      <c r="C29" s="322"/>
    </row>
    <row r="30" spans="1:5" ht="39.950000000000003" customHeight="1" x14ac:dyDescent="0.2">
      <c r="A30" s="247" t="s">
        <v>155</v>
      </c>
      <c r="B30" s="250" t="s">
        <v>156</v>
      </c>
      <c r="C30" s="251"/>
      <c r="D30" s="252"/>
    </row>
    <row r="31" spans="1:5" ht="39.950000000000003" customHeight="1" x14ac:dyDescent="0.2">
      <c r="A31" s="248" t="s">
        <v>220</v>
      </c>
      <c r="B31" s="250" t="s">
        <v>221</v>
      </c>
      <c r="C31" s="252"/>
      <c r="D31" s="252"/>
    </row>
    <row r="32" spans="1:5" ht="39.950000000000003" customHeight="1" x14ac:dyDescent="0.2">
      <c r="A32" s="248"/>
      <c r="B32" s="250"/>
      <c r="C32" s="251">
        <v>1</v>
      </c>
      <c r="D32" s="252"/>
    </row>
    <row r="33" spans="1:4" ht="39.950000000000003" customHeight="1" x14ac:dyDescent="0.2">
      <c r="A33" s="254" t="s">
        <v>157</v>
      </c>
      <c r="B33" s="253"/>
      <c r="C33" s="251"/>
      <c r="D33" s="252"/>
    </row>
    <row r="34" spans="1:4" ht="39.950000000000003" customHeight="1" x14ac:dyDescent="0.2">
      <c r="B34" s="316" t="s">
        <v>145</v>
      </c>
      <c r="C34" s="317"/>
    </row>
    <row r="35" spans="1:4" ht="39.950000000000003" customHeight="1" x14ac:dyDescent="0.2">
      <c r="A35" s="248" t="s">
        <v>220</v>
      </c>
      <c r="B35" s="250" t="s">
        <v>221</v>
      </c>
      <c r="C35" s="252"/>
    </row>
    <row r="36" spans="1:4" ht="39.950000000000003" customHeight="1" x14ac:dyDescent="0.2">
      <c r="A36" s="248" t="s">
        <v>246</v>
      </c>
      <c r="B36" s="250" t="s">
        <v>247</v>
      </c>
      <c r="C36" s="252"/>
    </row>
    <row r="37" spans="1:4" ht="39.950000000000003" customHeight="1" x14ac:dyDescent="0.2">
      <c r="A37" s="255" t="s">
        <v>157</v>
      </c>
      <c r="B37" s="245"/>
      <c r="C37" s="252"/>
    </row>
  </sheetData>
  <mergeCells count="1">
    <mergeCell ref="A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7" sqref="A27:E27"/>
    </sheetView>
  </sheetViews>
  <sheetFormatPr baseColWidth="10"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indexed="50"/>
  </sheetPr>
  <dimension ref="A1:AW775"/>
  <sheetViews>
    <sheetView showGridLines="0" view="pageBreakPreview" zoomScaleNormal="75" zoomScaleSheetLayoutView="100" workbookViewId="0">
      <selection activeCell="E51" sqref="E51"/>
    </sheetView>
  </sheetViews>
  <sheetFormatPr baseColWidth="10" defaultRowHeight="12.75" x14ac:dyDescent="0.2"/>
  <cols>
    <col min="1" max="1" width="12.7109375" style="7" customWidth="1"/>
    <col min="2" max="2" width="6.140625" style="7" customWidth="1"/>
    <col min="3" max="3" width="8.5703125" style="7" customWidth="1"/>
    <col min="4" max="9" width="9.28515625" style="7" customWidth="1"/>
    <col min="10" max="10" width="13" style="7" customWidth="1"/>
    <col min="11" max="11" width="11.28515625" style="7" customWidth="1"/>
    <col min="12" max="13" width="10.5703125" style="7" customWidth="1"/>
    <col min="14" max="14" width="8" style="6" customWidth="1"/>
    <col min="15" max="15" width="12.42578125" style="11" bestFit="1" customWidth="1"/>
    <col min="16" max="16" width="12.5703125" style="11" bestFit="1" customWidth="1"/>
    <col min="17" max="18" width="10" style="11" bestFit="1" customWidth="1"/>
    <col min="19" max="19" width="11.42578125" style="11" customWidth="1"/>
    <col min="20" max="20" width="11.7109375" style="11" customWidth="1"/>
    <col min="21" max="22" width="7.42578125" style="11" customWidth="1"/>
    <col min="23" max="23" width="7.85546875" style="6" customWidth="1"/>
    <col min="24" max="24" width="9.28515625" style="6" customWidth="1"/>
    <col min="25" max="25" width="9.28515625" style="6" bestFit="1" customWidth="1"/>
    <col min="26" max="26" width="8.140625" style="6" bestFit="1" customWidth="1"/>
    <col min="27" max="29" width="6.140625" style="6" customWidth="1"/>
    <col min="30" max="30" width="11.42578125" style="7"/>
    <col min="31" max="31" width="9.28515625" style="7" customWidth="1"/>
    <col min="32" max="32" width="7.5703125" style="7" customWidth="1"/>
    <col min="33" max="33" width="7.42578125" style="7" customWidth="1"/>
    <col min="34" max="34" width="5.28515625" style="7" customWidth="1"/>
    <col min="35" max="35" width="6.28515625" style="7" customWidth="1"/>
    <col min="36" max="48" width="5.42578125" style="7" customWidth="1"/>
    <col min="49" max="16384" width="11.42578125" style="7"/>
  </cols>
  <sheetData>
    <row r="1" spans="1:38" ht="15" customHeight="1" x14ac:dyDescent="0.2">
      <c r="A1" s="774"/>
      <c r="B1" s="775"/>
      <c r="C1" s="749" t="s">
        <v>122</v>
      </c>
      <c r="D1" s="750"/>
      <c r="E1" s="750"/>
      <c r="F1" s="750"/>
      <c r="G1" s="750"/>
      <c r="H1" s="750"/>
      <c r="I1" s="751"/>
      <c r="J1" s="3" t="s">
        <v>35</v>
      </c>
      <c r="K1" s="770"/>
      <c r="L1" s="771"/>
      <c r="M1" s="210"/>
      <c r="N1" s="4"/>
      <c r="O1" s="768" t="s">
        <v>37</v>
      </c>
      <c r="P1" s="768"/>
      <c r="Q1" s="768" t="s">
        <v>38</v>
      </c>
      <c r="R1" s="768"/>
      <c r="S1" s="768" t="s">
        <v>39</v>
      </c>
      <c r="T1" s="768"/>
      <c r="U1" s="5"/>
      <c r="V1" s="130"/>
      <c r="W1" s="113"/>
      <c r="X1" s="113"/>
      <c r="Y1" s="113"/>
      <c r="Z1" s="113"/>
      <c r="AA1" s="113" t="s">
        <v>51</v>
      </c>
      <c r="AB1" s="113" t="s">
        <v>52</v>
      </c>
    </row>
    <row r="2" spans="1:38" ht="15" customHeight="1" x14ac:dyDescent="0.2">
      <c r="A2" s="776"/>
      <c r="B2" s="777"/>
      <c r="C2" s="752"/>
      <c r="D2" s="753"/>
      <c r="E2" s="753"/>
      <c r="F2" s="753"/>
      <c r="G2" s="753"/>
      <c r="H2" s="753"/>
      <c r="I2" s="754"/>
      <c r="J2" s="8" t="s">
        <v>50</v>
      </c>
      <c r="K2" s="770"/>
      <c r="L2" s="771"/>
      <c r="M2" s="210"/>
      <c r="N2" s="9"/>
      <c r="O2" s="10" t="s">
        <v>40</v>
      </c>
      <c r="P2" s="10" t="s">
        <v>41</v>
      </c>
      <c r="Q2" s="10" t="s">
        <v>40</v>
      </c>
      <c r="R2" s="10" t="s">
        <v>41</v>
      </c>
      <c r="S2" s="10" t="s">
        <v>40</v>
      </c>
      <c r="T2" s="10" t="s">
        <v>41</v>
      </c>
      <c r="V2" s="117">
        <v>0.5</v>
      </c>
      <c r="W2" s="118">
        <v>12.5</v>
      </c>
      <c r="X2" s="119">
        <f>LOG(D17)</f>
        <v>1.2787536009528289</v>
      </c>
      <c r="Y2" s="120" t="e">
        <f>D20</f>
        <v>#REF!</v>
      </c>
      <c r="Z2" s="121" t="e">
        <f>INTERCEPT(Y2:Y3,X2:X3)</f>
        <v>#REF!</v>
      </c>
      <c r="AA2" s="131"/>
      <c r="AB2" s="123"/>
    </row>
    <row r="3" spans="1:38" ht="15" customHeight="1" x14ac:dyDescent="0.2">
      <c r="A3" s="776"/>
      <c r="B3" s="777"/>
      <c r="C3" s="752"/>
      <c r="D3" s="753"/>
      <c r="E3" s="753"/>
      <c r="F3" s="753"/>
      <c r="G3" s="753"/>
      <c r="H3" s="753"/>
      <c r="I3" s="754"/>
      <c r="J3" s="780" t="s">
        <v>102</v>
      </c>
      <c r="K3" s="782"/>
      <c r="L3" s="783"/>
      <c r="M3" s="211"/>
      <c r="N3" s="9"/>
      <c r="O3" s="12">
        <f>J17</f>
        <v>0.18</v>
      </c>
      <c r="P3" s="13" t="e">
        <f>J20</f>
        <v>#REF!</v>
      </c>
      <c r="Q3" s="14">
        <f>H17</f>
        <v>2</v>
      </c>
      <c r="R3" s="13" t="e">
        <f>H20</f>
        <v>#REF!</v>
      </c>
      <c r="S3" s="13">
        <f>G17</f>
        <v>4.75</v>
      </c>
      <c r="T3" s="13" t="e">
        <f>G20</f>
        <v>#REF!</v>
      </c>
      <c r="V3" s="124"/>
      <c r="W3" s="125"/>
      <c r="X3" s="126">
        <f>LOG(E17)</f>
        <v>1.0969100130080565</v>
      </c>
      <c r="Y3" s="127" t="e">
        <f>E20</f>
        <v>#REF!</v>
      </c>
      <c r="Z3" s="128" t="e">
        <f>SLOPE(Y2:Y3,X2:X3)</f>
        <v>#REF!</v>
      </c>
      <c r="AA3" s="126" t="e">
        <f>((LOG10(W2))*Z3)+Z2</f>
        <v>#REF!</v>
      </c>
      <c r="AB3" s="129" t="e">
        <f>D20-AA3</f>
        <v>#REF!</v>
      </c>
    </row>
    <row r="4" spans="1:38" ht="15" customHeight="1" x14ac:dyDescent="0.2">
      <c r="A4" s="778"/>
      <c r="B4" s="779"/>
      <c r="C4" s="755"/>
      <c r="D4" s="756"/>
      <c r="E4" s="756"/>
      <c r="F4" s="756"/>
      <c r="G4" s="756"/>
      <c r="H4" s="756"/>
      <c r="I4" s="757"/>
      <c r="J4" s="781"/>
      <c r="K4" s="784"/>
      <c r="L4" s="785"/>
      <c r="M4" s="211"/>
      <c r="N4" s="9"/>
      <c r="O4" s="12">
        <f>K17</f>
        <v>7.4999999999999997E-2</v>
      </c>
      <c r="P4" s="13" t="e">
        <f>K20</f>
        <v>#REF!</v>
      </c>
      <c r="Q4" s="12">
        <f>I17</f>
        <v>0.42499999999999999</v>
      </c>
      <c r="R4" s="13" t="e">
        <f>I20</f>
        <v>#REF!</v>
      </c>
      <c r="S4" s="13">
        <f>H17</f>
        <v>2</v>
      </c>
      <c r="T4" s="13" t="e">
        <f>H20</f>
        <v>#REF!</v>
      </c>
      <c r="V4" s="117">
        <v>0.25</v>
      </c>
      <c r="W4" s="118">
        <v>6.35</v>
      </c>
      <c r="X4" s="119">
        <f>LOG(F17)</f>
        <v>0.97772360528884772</v>
      </c>
      <c r="Y4" s="120" t="e">
        <f>F20</f>
        <v>#REF!</v>
      </c>
      <c r="Z4" s="121" t="e">
        <f>INTERCEPT(Y4:Y5,X4:X5)</f>
        <v>#REF!</v>
      </c>
      <c r="AA4" s="131"/>
      <c r="AB4" s="123"/>
      <c r="AE4" s="6"/>
      <c r="AF4" s="6"/>
      <c r="AG4" s="6"/>
      <c r="AH4" s="6"/>
      <c r="AI4" s="6"/>
      <c r="AJ4" s="6"/>
      <c r="AK4" s="6"/>
      <c r="AL4" s="6"/>
    </row>
    <row r="5" spans="1:38" ht="18" customHeight="1" x14ac:dyDescent="0.25">
      <c r="A5" s="762" t="s">
        <v>0</v>
      </c>
      <c r="B5" s="762"/>
      <c r="C5" s="1" t="s">
        <v>105</v>
      </c>
      <c r="D5" s="15"/>
      <c r="E5" s="15"/>
      <c r="F5" s="15"/>
      <c r="G5" s="16"/>
      <c r="H5" s="82" t="s">
        <v>92</v>
      </c>
      <c r="I5" s="223" t="e">
        <f>VLOOKUP(L8,#REF!,7,0)</f>
        <v>#REF!</v>
      </c>
      <c r="J5" s="82" t="s">
        <v>8</v>
      </c>
      <c r="K5" s="786"/>
      <c r="L5" s="786"/>
      <c r="M5" s="2"/>
      <c r="N5" s="9"/>
      <c r="O5" s="19"/>
      <c r="P5" s="19" t="e">
        <f>O3-(((O3-O4)*(P3-10))/(P3-P4))</f>
        <v>#REF!</v>
      </c>
      <c r="Q5" s="19"/>
      <c r="R5" s="19" t="e">
        <f>Q3-(((Q3-Q4)*(R3-30))/(R3-R4))</f>
        <v>#REF!</v>
      </c>
      <c r="S5" s="19"/>
      <c r="T5" s="19" t="e">
        <f>S3-(((S3-S4)*(T3-60))/(T3-T4))</f>
        <v>#REF!</v>
      </c>
      <c r="V5" s="124"/>
      <c r="W5" s="125"/>
      <c r="X5" s="126">
        <f>LOG(G17)</f>
        <v>0.67669360962486658</v>
      </c>
      <c r="Y5" s="127" t="e">
        <f>G20</f>
        <v>#REF!</v>
      </c>
      <c r="Z5" s="128" t="e">
        <f>SLOPE(Y4:Y5,X4:X5)</f>
        <v>#REF!</v>
      </c>
      <c r="AA5" s="126" t="e">
        <f>((LOG10(W4))*Z5)+Z4</f>
        <v>#REF!</v>
      </c>
      <c r="AB5" s="129" t="e">
        <f>F20-AA5</f>
        <v>#REF!</v>
      </c>
    </row>
    <row r="6" spans="1:38" ht="18" customHeight="1" x14ac:dyDescent="0.25">
      <c r="A6" s="761" t="s">
        <v>26</v>
      </c>
      <c r="B6" s="761"/>
      <c r="C6" s="221" t="e">
        <f>VLOOKUP(L8,#REF!,4,0)</f>
        <v>#REF!</v>
      </c>
      <c r="D6" s="222"/>
      <c r="E6" s="222"/>
      <c r="F6" s="16"/>
      <c r="G6" s="16"/>
      <c r="H6" s="20" t="s">
        <v>93</v>
      </c>
      <c r="I6" s="215" t="e">
        <f>VLOOKUP(L8,#REF!,5,0)</f>
        <v>#REF!</v>
      </c>
      <c r="J6" s="16" t="s">
        <v>106</v>
      </c>
      <c r="K6" s="16"/>
      <c r="L6" s="112"/>
      <c r="M6" s="212"/>
      <c r="N6" s="9"/>
      <c r="O6" s="193">
        <f>L8</f>
        <v>1102131</v>
      </c>
      <c r="P6" s="192" t="e">
        <f>MONTH(L7)</f>
        <v>#REF!</v>
      </c>
      <c r="Q6" s="192" t="e">
        <f>DAY(L7)</f>
        <v>#REF!</v>
      </c>
      <c r="R6" s="192" t="e">
        <f>YEAR(L7)</f>
        <v>#REF!</v>
      </c>
      <c r="S6" s="19"/>
      <c r="T6" s="19"/>
      <c r="V6" s="117">
        <v>8</v>
      </c>
      <c r="W6" s="118">
        <v>2.38</v>
      </c>
      <c r="X6" s="119">
        <f>LOG(G17)</f>
        <v>0.67669360962486658</v>
      </c>
      <c r="Y6" s="120" t="e">
        <f>G20</f>
        <v>#REF!</v>
      </c>
      <c r="Z6" s="121" t="e">
        <f>INTERCEPT(Y6:Y7,X6:X7)</f>
        <v>#REF!</v>
      </c>
      <c r="AA6" s="122"/>
      <c r="AB6" s="123"/>
    </row>
    <row r="7" spans="1:38" ht="18" customHeight="1" x14ac:dyDescent="0.25">
      <c r="A7" s="761" t="s">
        <v>9</v>
      </c>
      <c r="B7" s="761"/>
      <c r="C7" s="74" t="s">
        <v>91</v>
      </c>
      <c r="D7" s="1"/>
      <c r="E7" s="21"/>
      <c r="F7" s="15"/>
      <c r="G7" s="1"/>
      <c r="H7" s="16"/>
      <c r="I7" s="17"/>
      <c r="J7" s="205" t="s">
        <v>107</v>
      </c>
      <c r="K7" s="16"/>
      <c r="L7" s="217" t="e">
        <f>VLOOKUP(L8,#REF!,2)</f>
        <v>#REF!</v>
      </c>
      <c r="M7" s="2"/>
      <c r="N7" s="9"/>
      <c r="O7" s="191"/>
      <c r="P7" s="19"/>
      <c r="Q7" s="19"/>
      <c r="R7" s="19"/>
      <c r="S7" s="19"/>
      <c r="T7" s="19"/>
      <c r="V7" s="124"/>
      <c r="W7" s="125"/>
      <c r="X7" s="126">
        <f>LOG(H17)</f>
        <v>0.3010299956639812</v>
      </c>
      <c r="Y7" s="127" t="e">
        <f>H20</f>
        <v>#REF!</v>
      </c>
      <c r="Z7" s="128" t="e">
        <f>SLOPE(Y6:Y7,X6:X7)</f>
        <v>#REF!</v>
      </c>
      <c r="AA7" s="126" t="e">
        <f>((LOG10(W6))*Z7)+Z6</f>
        <v>#REF!</v>
      </c>
      <c r="AB7" s="129" t="e">
        <f>G20-AA7</f>
        <v>#REF!</v>
      </c>
      <c r="AE7" s="6"/>
      <c r="AF7" s="6"/>
      <c r="AG7" s="6"/>
      <c r="AH7" s="6"/>
      <c r="AI7" s="6"/>
      <c r="AJ7" s="6"/>
      <c r="AK7" s="6"/>
      <c r="AL7" s="6"/>
    </row>
    <row r="8" spans="1:38" ht="18" customHeight="1" x14ac:dyDescent="0.25">
      <c r="A8" s="763" t="s">
        <v>36</v>
      </c>
      <c r="B8" s="763"/>
      <c r="C8" s="1"/>
      <c r="D8" s="1"/>
      <c r="E8" s="220"/>
      <c r="F8" s="219"/>
      <c r="G8" s="219"/>
      <c r="H8" s="23"/>
      <c r="I8" s="24"/>
      <c r="J8" s="765" t="s">
        <v>20</v>
      </c>
      <c r="K8" s="765"/>
      <c r="L8" s="218">
        <v>1102131</v>
      </c>
      <c r="M8" s="24"/>
      <c r="N8" s="9"/>
      <c r="O8" s="25" t="s">
        <v>42</v>
      </c>
      <c r="P8" s="26" t="e">
        <f>R5^2/(T5*P5)</f>
        <v>#REF!</v>
      </c>
      <c r="Q8" s="25"/>
      <c r="R8" s="25" t="e">
        <f>IF(P8&gt;1,IF(P8&lt;3,"si","no"),"no")</f>
        <v>#REF!</v>
      </c>
      <c r="S8" s="25"/>
      <c r="T8" s="25"/>
      <c r="V8" s="117">
        <v>16</v>
      </c>
      <c r="W8" s="118">
        <v>1.19</v>
      </c>
      <c r="X8" s="119">
        <f>LOG(H17)</f>
        <v>0.3010299956639812</v>
      </c>
      <c r="Y8" s="120" t="e">
        <f>H20</f>
        <v>#REF!</v>
      </c>
      <c r="Z8" s="121" t="e">
        <f>INTERCEPT(Y8:Y9,X8:X9)</f>
        <v>#REF!</v>
      </c>
      <c r="AA8" s="122"/>
      <c r="AB8" s="123"/>
    </row>
    <row r="9" spans="1:38" ht="14.45" customHeight="1" x14ac:dyDescent="0.25">
      <c r="A9" s="2"/>
      <c r="B9" s="2"/>
      <c r="C9" s="2"/>
      <c r="D9" s="2"/>
      <c r="E9" s="22"/>
      <c r="F9" s="219"/>
      <c r="G9" s="219"/>
      <c r="H9" s="23"/>
      <c r="I9" s="24"/>
      <c r="J9" s="24"/>
      <c r="K9" s="24"/>
      <c r="L9" s="24"/>
      <c r="M9" s="24"/>
      <c r="N9" s="9"/>
      <c r="O9" s="25" t="s">
        <v>43</v>
      </c>
      <c r="P9" s="26" t="e">
        <f>T5/P5</f>
        <v>#REF!</v>
      </c>
      <c r="Q9" s="25"/>
      <c r="R9" s="25" t="e">
        <f>IF(P9&gt;4,IF(P9&gt;6,"si","no"),"no")</f>
        <v>#REF!</v>
      </c>
      <c r="S9" s="25"/>
      <c r="T9" s="25"/>
      <c r="V9" s="124"/>
      <c r="W9" s="125"/>
      <c r="X9" s="126">
        <f>LOG(I17)</f>
        <v>-0.37161106994968846</v>
      </c>
      <c r="Y9" s="127" t="e">
        <f>I20</f>
        <v>#REF!</v>
      </c>
      <c r="Z9" s="128" t="e">
        <f>SLOPE(Y8:Y9,X8:X9)</f>
        <v>#REF!</v>
      </c>
      <c r="AA9" s="126" t="e">
        <f>((LOG10(W8))*Z9)+Z8</f>
        <v>#REF!</v>
      </c>
      <c r="AB9" s="129" t="e">
        <f>AA7-AA9</f>
        <v>#REF!</v>
      </c>
    </row>
    <row r="10" spans="1:38" ht="18" customHeight="1" x14ac:dyDescent="0.2">
      <c r="A10" s="745" t="s">
        <v>109</v>
      </c>
      <c r="B10" s="772"/>
      <c r="C10" s="772"/>
      <c r="D10" s="772"/>
      <c r="E10" s="772"/>
      <c r="F10" s="772"/>
      <c r="G10" s="772"/>
      <c r="H10" s="772"/>
      <c r="I10" s="772"/>
      <c r="J10" s="772"/>
      <c r="K10" s="772"/>
      <c r="L10" s="773"/>
      <c r="M10" s="202"/>
      <c r="N10" s="9"/>
      <c r="O10" s="19"/>
      <c r="P10" s="19"/>
      <c r="Q10" s="19" t="e">
        <f>IF(G20&gt;50,"S","G")</f>
        <v>#REF!</v>
      </c>
      <c r="R10" s="19" t="e">
        <f>IF(R9="si",IF(R8="si","W","P"),"P")</f>
        <v>#REF!</v>
      </c>
      <c r="S10" s="19"/>
      <c r="T10" s="19"/>
      <c r="V10" s="117">
        <v>30</v>
      </c>
      <c r="W10" s="118">
        <v>0.59499999999999997</v>
      </c>
      <c r="X10" s="119">
        <f>LOG(H17)</f>
        <v>0.3010299956639812</v>
      </c>
      <c r="Y10" s="120" t="e">
        <f>H20</f>
        <v>#REF!</v>
      </c>
      <c r="Z10" s="121" t="e">
        <f>INTERCEPT(Y10:Y11,X10:X11)</f>
        <v>#REF!</v>
      </c>
      <c r="AA10" s="122"/>
      <c r="AB10" s="123"/>
    </row>
    <row r="11" spans="1:38" ht="33" customHeight="1" x14ac:dyDescent="0.2">
      <c r="A11" s="766" t="s">
        <v>118</v>
      </c>
      <c r="B11" s="767"/>
      <c r="C11" s="60" t="e">
        <f>VLOOKUP(L8,#REF!,11)</f>
        <v>#REF!</v>
      </c>
      <c r="D11" s="766" t="s">
        <v>112</v>
      </c>
      <c r="E11" s="767"/>
      <c r="F11" s="224">
        <v>0</v>
      </c>
      <c r="G11" s="766" t="s">
        <v>119</v>
      </c>
      <c r="H11" s="767"/>
      <c r="I11" s="60" t="e">
        <f>VLOOKUP(L8,#REF!,13)</f>
        <v>#REF!</v>
      </c>
      <c r="J11" s="766" t="s">
        <v>120</v>
      </c>
      <c r="K11" s="767"/>
      <c r="L11" s="225">
        <v>0</v>
      </c>
      <c r="M11" s="209"/>
      <c r="N11" s="28"/>
      <c r="O11" s="19"/>
      <c r="P11" s="19"/>
      <c r="Q11" s="19" t="e">
        <f>Q10&amp;R10</f>
        <v>#REF!</v>
      </c>
      <c r="R11" s="19"/>
      <c r="S11" s="19"/>
      <c r="T11" s="19"/>
      <c r="V11" s="124"/>
      <c r="W11" s="125"/>
      <c r="X11" s="126">
        <f>LOG(I17)</f>
        <v>-0.37161106994968846</v>
      </c>
      <c r="Y11" s="127" t="e">
        <f>I20</f>
        <v>#REF!</v>
      </c>
      <c r="Z11" s="128" t="e">
        <f>SLOPE(Y10:Y11,X10:X11)</f>
        <v>#REF!</v>
      </c>
      <c r="AA11" s="126" t="e">
        <f>((LOG10(W10))*Z11)+Z10</f>
        <v>#REF!</v>
      </c>
      <c r="AB11" s="129" t="e">
        <f>AA9-AA11</f>
        <v>#REF!</v>
      </c>
      <c r="AD11" s="29"/>
    </row>
    <row r="12" spans="1:38" ht="14.25" customHeight="1" x14ac:dyDescent="0.2">
      <c r="A12" s="216" t="s">
        <v>121</v>
      </c>
      <c r="B12" s="788" t="s">
        <v>110</v>
      </c>
      <c r="C12" s="788"/>
      <c r="D12" s="788"/>
      <c r="E12" s="788"/>
      <c r="F12" s="764" t="s">
        <v>111</v>
      </c>
      <c r="G12" s="764"/>
      <c r="H12" s="764"/>
      <c r="I12" s="787" t="e">
        <f>VLOOKUP(L8,#REF!,15,)</f>
        <v>#REF!</v>
      </c>
      <c r="J12" s="787"/>
      <c r="K12" s="742"/>
      <c r="L12" s="742"/>
      <c r="M12" s="209"/>
      <c r="N12" s="28"/>
      <c r="P12" s="35"/>
      <c r="Q12" s="35"/>
      <c r="R12" s="35"/>
      <c r="S12" s="35"/>
      <c r="T12" s="35"/>
      <c r="V12" s="117">
        <v>50</v>
      </c>
      <c r="W12" s="118">
        <v>0.29699999999999999</v>
      </c>
      <c r="X12" s="119">
        <f>LOG(I17)</f>
        <v>-0.37161106994968846</v>
      </c>
      <c r="Y12" s="120" t="e">
        <f>I20</f>
        <v>#REF!</v>
      </c>
      <c r="Z12" s="121" t="e">
        <f>INTERCEPT(Y12:Y13,X12:X13)</f>
        <v>#REF!</v>
      </c>
      <c r="AA12" s="122"/>
      <c r="AB12" s="123"/>
      <c r="AC12" s="7"/>
    </row>
    <row r="13" spans="1:38" ht="18" customHeight="1" x14ac:dyDescent="0.2">
      <c r="A13" s="206"/>
      <c r="B13" s="110"/>
      <c r="C13" s="206"/>
      <c r="D13" s="206"/>
      <c r="E13" s="110"/>
      <c r="F13" s="206"/>
      <c r="G13" s="206"/>
      <c r="H13" s="110"/>
      <c r="I13" s="206"/>
      <c r="J13" s="207"/>
      <c r="K13" s="208"/>
      <c r="L13" s="209"/>
      <c r="M13" s="2"/>
      <c r="N13" s="28"/>
      <c r="P13" s="38" t="s">
        <v>44</v>
      </c>
      <c r="Q13" s="39" t="e">
        <f>100-G20</f>
        <v>#REF!</v>
      </c>
      <c r="R13" s="40"/>
      <c r="S13" s="41"/>
      <c r="T13" s="35"/>
      <c r="V13" s="124"/>
      <c r="W13" s="125"/>
      <c r="X13" s="126">
        <f>LOG(J17)</f>
        <v>-0.74472749489669399</v>
      </c>
      <c r="Y13" s="127" t="e">
        <f>J20</f>
        <v>#REF!</v>
      </c>
      <c r="Z13" s="128" t="e">
        <f>SLOPE(Y12:Y13,X12:X13)</f>
        <v>#REF!</v>
      </c>
      <c r="AA13" s="126" t="e">
        <f>((LOG10(W12))*Z13)+Z12</f>
        <v>#REF!</v>
      </c>
      <c r="AB13" s="129" t="e">
        <f>AA11-AA13</f>
        <v>#REF!</v>
      </c>
      <c r="AC13" s="7"/>
    </row>
    <row r="14" spans="1:38" ht="27.95" customHeight="1" x14ac:dyDescent="0.2">
      <c r="A14" s="742" t="s">
        <v>108</v>
      </c>
      <c r="B14" s="742"/>
      <c r="C14" s="742"/>
      <c r="D14" s="742"/>
      <c r="E14" s="742"/>
      <c r="F14" s="742"/>
      <c r="G14" s="742"/>
      <c r="H14" s="742"/>
      <c r="I14" s="742"/>
      <c r="J14" s="742"/>
      <c r="K14" s="742"/>
      <c r="L14" s="742"/>
      <c r="M14" s="204"/>
      <c r="N14" s="28"/>
      <c r="P14" s="42" t="s">
        <v>45</v>
      </c>
      <c r="Q14" s="43" t="e">
        <f>G20-K20</f>
        <v>#REF!</v>
      </c>
      <c r="V14" s="117">
        <v>100</v>
      </c>
      <c r="W14" s="118">
        <v>0.14899999999999999</v>
      </c>
      <c r="X14" s="119">
        <f>LOG(J17)</f>
        <v>-0.74472749489669399</v>
      </c>
      <c r="Y14" s="120" t="e">
        <f>J20</f>
        <v>#REF!</v>
      </c>
      <c r="Z14" s="121" t="e">
        <f>INTERCEPT(Y14:Y15,X14:X15)</f>
        <v>#REF!</v>
      </c>
      <c r="AA14" s="122"/>
      <c r="AB14" s="123"/>
      <c r="AC14" s="7"/>
    </row>
    <row r="15" spans="1:38" ht="13.5" customHeight="1" x14ac:dyDescent="0.2">
      <c r="A15" s="30" t="s">
        <v>10</v>
      </c>
      <c r="B15" s="31"/>
      <c r="C15" s="32"/>
      <c r="D15" s="32"/>
      <c r="E15" s="33" t="s">
        <v>14</v>
      </c>
      <c r="F15" s="758" t="e">
        <f>I11</f>
        <v>#REF!</v>
      </c>
      <c r="G15" s="759"/>
      <c r="H15" s="760"/>
      <c r="I15" s="34" t="s">
        <v>15</v>
      </c>
      <c r="J15" s="739"/>
      <c r="K15" s="769"/>
      <c r="L15" s="740"/>
      <c r="M15" s="213"/>
      <c r="N15" s="44"/>
      <c r="P15" s="42" t="s">
        <v>46</v>
      </c>
      <c r="Q15" s="45" t="e">
        <f>K20</f>
        <v>#REF!</v>
      </c>
      <c r="V15" s="132"/>
      <c r="W15" s="125"/>
      <c r="X15" s="126">
        <f>LOG(K17)</f>
        <v>-1.1249387366082999</v>
      </c>
      <c r="Y15" s="127" t="e">
        <f>K20</f>
        <v>#REF!</v>
      </c>
      <c r="Z15" s="128" t="e">
        <f>SLOPE(Y14:Y15,X14:X15)</f>
        <v>#REF!</v>
      </c>
      <c r="AA15" s="126" t="e">
        <f>((LOG10(W14))*Z15)+Z14</f>
        <v>#REF!</v>
      </c>
      <c r="AB15" s="129" t="e">
        <f>AA13-AA15</f>
        <v>#REF!</v>
      </c>
      <c r="AC15" s="7"/>
    </row>
    <row r="16" spans="1:38" ht="15.75" customHeight="1" x14ac:dyDescent="0.2">
      <c r="A16" s="36" t="s">
        <v>16</v>
      </c>
      <c r="B16" s="37"/>
      <c r="C16" s="230" t="s">
        <v>1</v>
      </c>
      <c r="D16" s="230" t="s">
        <v>2</v>
      </c>
      <c r="E16" s="225" t="s">
        <v>5</v>
      </c>
      <c r="F16" s="225" t="s">
        <v>3</v>
      </c>
      <c r="G16" s="225">
        <v>4</v>
      </c>
      <c r="H16" s="225">
        <v>10</v>
      </c>
      <c r="I16" s="225">
        <v>40</v>
      </c>
      <c r="J16" s="225">
        <v>80</v>
      </c>
      <c r="K16" s="225">
        <v>200</v>
      </c>
      <c r="L16" s="226" t="s">
        <v>12</v>
      </c>
      <c r="M16" s="2"/>
      <c r="N16" s="46"/>
      <c r="P16" s="47">
        <v>100</v>
      </c>
      <c r="Q16" s="5"/>
      <c r="V16" s="133"/>
      <c r="W16" s="134"/>
      <c r="X16" s="134"/>
      <c r="Y16" s="134"/>
      <c r="Z16" s="796"/>
      <c r="AA16" s="796"/>
      <c r="AB16" s="796"/>
      <c r="AC16" s="7"/>
    </row>
    <row r="17" spans="1:39" ht="15.75" customHeight="1" x14ac:dyDescent="0.2">
      <c r="A17" s="36" t="s">
        <v>17</v>
      </c>
      <c r="B17" s="37"/>
      <c r="C17" s="231">
        <v>25</v>
      </c>
      <c r="D17" s="232">
        <v>19</v>
      </c>
      <c r="E17" s="232">
        <v>12.5</v>
      </c>
      <c r="F17" s="232">
        <v>9.5</v>
      </c>
      <c r="G17" s="232">
        <v>4.75</v>
      </c>
      <c r="H17" s="232">
        <v>2</v>
      </c>
      <c r="I17" s="232">
        <v>0.42499999999999999</v>
      </c>
      <c r="J17" s="232">
        <v>0.18</v>
      </c>
      <c r="K17" s="232">
        <v>7.4999999999999997E-2</v>
      </c>
      <c r="L17" s="233"/>
      <c r="M17" s="27"/>
      <c r="N17" s="28"/>
      <c r="P17" s="47">
        <v>89.640285822551832</v>
      </c>
      <c r="Q17" s="5"/>
      <c r="V17" s="135"/>
      <c r="W17" s="136"/>
      <c r="X17" s="136"/>
      <c r="Y17" s="137"/>
      <c r="Z17" s="137"/>
      <c r="AA17" s="137"/>
      <c r="AB17" s="137"/>
      <c r="AC17" s="7"/>
    </row>
    <row r="18" spans="1:39" ht="15.75" customHeight="1" x14ac:dyDescent="0.2">
      <c r="A18" s="36" t="s">
        <v>11</v>
      </c>
      <c r="B18" s="37"/>
      <c r="C18" s="234" t="e">
        <f>VLOOKUP(L8,#REF!,18)</f>
        <v>#REF!</v>
      </c>
      <c r="D18" s="235" t="e">
        <f>VLOOKUP(L8,#REF!,20)</f>
        <v>#REF!</v>
      </c>
      <c r="E18" s="235" t="e">
        <f>VLOOKUP(L8,#REF!,22)</f>
        <v>#REF!</v>
      </c>
      <c r="F18" s="235" t="e">
        <f>VLOOKUP(L8,#REF!,24)</f>
        <v>#REF!</v>
      </c>
      <c r="G18" s="235" t="e">
        <f>VLOOKUP(L8,#REF!,26)</f>
        <v>#REF!</v>
      </c>
      <c r="H18" s="235" t="e">
        <f>VLOOKUP(L8,#REF!,28)</f>
        <v>#REF!</v>
      </c>
      <c r="I18" s="235" t="e">
        <f>VLOOKUP(L8,#REF!,30)</f>
        <v>#REF!</v>
      </c>
      <c r="J18" s="235" t="e">
        <f>VLOOKUP(L8,#REF!,32)</f>
        <v>#REF!</v>
      </c>
      <c r="K18" s="235" t="e">
        <f>VLOOKUP(L8,#REF!,34)</f>
        <v>#REF!</v>
      </c>
      <c r="L18" s="235" t="e">
        <f>VLOOKUP(L8,#REF!,36)</f>
        <v>#REF!</v>
      </c>
      <c r="M18" s="27"/>
      <c r="N18" s="28"/>
      <c r="P18" s="47">
        <v>82.142857142857139</v>
      </c>
      <c r="Q18" s="5"/>
      <c r="V18" s="138"/>
      <c r="W18" s="137"/>
      <c r="X18" s="137"/>
      <c r="Y18" s="137"/>
      <c r="Z18" s="137"/>
      <c r="AA18" s="137"/>
      <c r="AB18" s="137"/>
      <c r="AC18" s="7"/>
    </row>
    <row r="19" spans="1:39" ht="15.75" customHeight="1" thickBot="1" x14ac:dyDescent="0.25">
      <c r="A19" s="36" t="s">
        <v>7</v>
      </c>
      <c r="B19" s="37"/>
      <c r="C19" s="234" t="e">
        <f>C18/$F$15*100</f>
        <v>#REF!</v>
      </c>
      <c r="D19" s="234" t="e">
        <f t="shared" ref="D19:L19" si="0">D18/$F$15*100</f>
        <v>#REF!</v>
      </c>
      <c r="E19" s="234" t="e">
        <f t="shared" si="0"/>
        <v>#REF!</v>
      </c>
      <c r="F19" s="234" t="e">
        <f>F18/$F$15*100</f>
        <v>#REF!</v>
      </c>
      <c r="G19" s="234" t="e">
        <f t="shared" si="0"/>
        <v>#REF!</v>
      </c>
      <c r="H19" s="234" t="e">
        <f t="shared" si="0"/>
        <v>#REF!</v>
      </c>
      <c r="I19" s="234" t="e">
        <f>I18/$F$15*100</f>
        <v>#REF!</v>
      </c>
      <c r="J19" s="234" t="e">
        <f>J18/$F$15*100</f>
        <v>#REF!</v>
      </c>
      <c r="K19" s="234" t="e">
        <f t="shared" si="0"/>
        <v>#REF!</v>
      </c>
      <c r="L19" s="236" t="e">
        <f t="shared" si="0"/>
        <v>#REF!</v>
      </c>
      <c r="M19" s="109"/>
      <c r="N19" s="28"/>
      <c r="P19" s="47">
        <v>58.35390341330649</v>
      </c>
      <c r="Q19" s="5"/>
      <c r="V19" s="116"/>
      <c r="W19" s="137"/>
      <c r="X19" s="137"/>
      <c r="Y19" s="137"/>
      <c r="Z19" s="137"/>
      <c r="AA19" s="137"/>
      <c r="AB19" s="137"/>
      <c r="AC19" s="7"/>
    </row>
    <row r="20" spans="1:39" ht="15.75" customHeight="1" x14ac:dyDescent="0.2">
      <c r="A20" s="36" t="s">
        <v>18</v>
      </c>
      <c r="B20" s="37"/>
      <c r="C20" s="237" t="e">
        <f>100-(SUM($C$19))</f>
        <v>#REF!</v>
      </c>
      <c r="D20" s="237" t="e">
        <f>100-(SUM($C$19:D19))</f>
        <v>#REF!</v>
      </c>
      <c r="E20" s="237" t="e">
        <f>100-(SUM($C$19:E19))</f>
        <v>#REF!</v>
      </c>
      <c r="F20" s="237" t="e">
        <f>100-(SUM($C$19:F19))</f>
        <v>#REF!</v>
      </c>
      <c r="G20" s="237" t="e">
        <f>100-(SUM($C$19:G19))</f>
        <v>#REF!</v>
      </c>
      <c r="H20" s="237" t="e">
        <f>100-(SUM($C$19:H19))</f>
        <v>#REF!</v>
      </c>
      <c r="I20" s="237" t="e">
        <f>100-(SUM($C$19:I19))</f>
        <v>#REF!</v>
      </c>
      <c r="J20" s="237" t="e">
        <f>100-(SUM($C$19:J19))</f>
        <v>#REF!</v>
      </c>
      <c r="K20" s="237" t="e">
        <f>100-(SUM($C$19:K19))</f>
        <v>#REF!</v>
      </c>
      <c r="L20" s="238" t="e">
        <f>100-(SUM($C$19:L19))</f>
        <v>#REF!</v>
      </c>
      <c r="M20" s="2"/>
      <c r="N20" s="28"/>
      <c r="O20" s="47"/>
      <c r="P20" s="47">
        <v>32.468295975250484</v>
      </c>
      <c r="Q20" s="47"/>
      <c r="R20" s="47"/>
      <c r="S20" s="47"/>
      <c r="T20" s="47"/>
      <c r="U20" s="47"/>
      <c r="V20" s="177" t="s">
        <v>53</v>
      </c>
      <c r="W20" s="139"/>
      <c r="X20" s="140"/>
      <c r="Y20" s="141" t="e">
        <f>G20</f>
        <v>#REF!</v>
      </c>
      <c r="Z20" s="137"/>
      <c r="AA20" s="142" t="e">
        <f>Y20</f>
        <v>#REF!</v>
      </c>
      <c r="AB20" s="142">
        <f>L10</f>
        <v>0</v>
      </c>
      <c r="AC20" s="7"/>
    </row>
    <row r="21" spans="1:39" ht="15.75" customHeight="1" x14ac:dyDescent="0.2">
      <c r="A21" s="36" t="s">
        <v>97</v>
      </c>
      <c r="B21" s="37"/>
      <c r="C21" s="196">
        <v>100</v>
      </c>
      <c r="D21" s="197">
        <v>100</v>
      </c>
      <c r="E21" s="197">
        <v>80</v>
      </c>
      <c r="F21" s="197">
        <v>71</v>
      </c>
      <c r="G21" s="197">
        <v>49</v>
      </c>
      <c r="H21" s="197">
        <v>30</v>
      </c>
      <c r="I21" s="197">
        <v>14</v>
      </c>
      <c r="J21" s="197">
        <v>8</v>
      </c>
      <c r="K21" s="197">
        <v>4</v>
      </c>
      <c r="L21" s="239"/>
      <c r="M21" s="2"/>
      <c r="N21" s="28"/>
      <c r="O21" s="48">
        <f>L8</f>
        <v>1102131</v>
      </c>
      <c r="P21" s="47">
        <v>12.239585971837499</v>
      </c>
      <c r="Q21" s="47"/>
      <c r="R21" s="47">
        <f>924*2</f>
        <v>1848</v>
      </c>
      <c r="S21" s="47"/>
      <c r="T21" s="47"/>
      <c r="U21" s="47"/>
      <c r="V21" s="178" t="s">
        <v>54</v>
      </c>
      <c r="W21" s="115"/>
      <c r="X21" s="114"/>
      <c r="Y21" s="143" t="e">
        <f>AA7</f>
        <v>#REF!</v>
      </c>
      <c r="Z21" s="137"/>
      <c r="AA21" s="142" t="e">
        <f>Y21</f>
        <v>#REF!</v>
      </c>
      <c r="AB21" s="142" t="e">
        <f>Y20</f>
        <v>#REF!</v>
      </c>
      <c r="AC21" s="7"/>
    </row>
    <row r="22" spans="1:39" ht="15.75" customHeight="1" x14ac:dyDescent="0.2">
      <c r="A22" s="36" t="s">
        <v>98</v>
      </c>
      <c r="B22" s="37"/>
      <c r="C22" s="198">
        <v>100</v>
      </c>
      <c r="D22" s="199">
        <v>100</v>
      </c>
      <c r="E22" s="200">
        <v>95</v>
      </c>
      <c r="F22" s="200">
        <v>87</v>
      </c>
      <c r="G22" s="200">
        <v>65</v>
      </c>
      <c r="H22" s="199">
        <v>44</v>
      </c>
      <c r="I22" s="200">
        <v>22</v>
      </c>
      <c r="J22" s="200">
        <v>16</v>
      </c>
      <c r="K22" s="200">
        <v>9</v>
      </c>
      <c r="L22" s="240"/>
      <c r="N22" s="28"/>
      <c r="O22" s="111" t="e">
        <f>L7</f>
        <v>#REF!</v>
      </c>
      <c r="P22" s="47">
        <v>7.8122652485156152</v>
      </c>
      <c r="Q22" s="47"/>
      <c r="R22" s="47"/>
      <c r="S22" s="47"/>
      <c r="T22" s="47"/>
      <c r="U22" s="47"/>
      <c r="V22" s="178" t="s">
        <v>55</v>
      </c>
      <c r="W22" s="115"/>
      <c r="X22" s="114"/>
      <c r="Y22" s="143" t="e">
        <f>AA9</f>
        <v>#REF!</v>
      </c>
      <c r="Z22" s="137"/>
      <c r="AA22" s="142" t="e">
        <f>Y23</f>
        <v>#REF!</v>
      </c>
      <c r="AB22" s="142" t="e">
        <f>Y22</f>
        <v>#REF!</v>
      </c>
      <c r="AC22" s="7"/>
    </row>
    <row r="23" spans="1:39" ht="16.7" customHeight="1" x14ac:dyDescent="0.2">
      <c r="C23" s="95"/>
      <c r="D23" s="95">
        <v>100</v>
      </c>
      <c r="E23" s="95" t="e">
        <f>E20-4</f>
        <v>#REF!</v>
      </c>
      <c r="F23" s="95" t="e">
        <f>F20-4</f>
        <v>#REF!</v>
      </c>
      <c r="G23" s="95" t="e">
        <f>G20-3</f>
        <v>#REF!</v>
      </c>
      <c r="H23" s="95" t="e">
        <f t="shared" ref="H23:J23" si="1">H20-3</f>
        <v>#REF!</v>
      </c>
      <c r="I23" s="95" t="e">
        <f t="shared" si="1"/>
        <v>#REF!</v>
      </c>
      <c r="J23" s="95" t="e">
        <f t="shared" si="1"/>
        <v>#REF!</v>
      </c>
      <c r="K23" s="95" t="e">
        <f>K20-1</f>
        <v>#REF!</v>
      </c>
      <c r="N23" s="28"/>
      <c r="O23" s="47" t="e">
        <f>C6</f>
        <v>#REF!</v>
      </c>
      <c r="P23" s="47">
        <v>5.0209816263134215</v>
      </c>
      <c r="Q23" s="47"/>
      <c r="R23" s="47"/>
      <c r="S23" s="47"/>
      <c r="T23" s="47"/>
      <c r="U23" s="47"/>
      <c r="V23" s="178" t="s">
        <v>56</v>
      </c>
      <c r="W23" s="115"/>
      <c r="X23" s="114"/>
      <c r="Y23" s="143" t="e">
        <f>AA11</f>
        <v>#REF!</v>
      </c>
      <c r="Z23" s="137"/>
      <c r="AA23" s="142" t="e">
        <f>Y25</f>
        <v>#REF!</v>
      </c>
      <c r="AB23" s="142" t="e">
        <f>Y24</f>
        <v>#REF!</v>
      </c>
      <c r="AC23" s="7"/>
    </row>
    <row r="24" spans="1:39" ht="16.7" customHeight="1" x14ac:dyDescent="0.2">
      <c r="C24" s="95"/>
      <c r="D24" s="95">
        <v>100</v>
      </c>
      <c r="E24" s="95" t="e">
        <f>E20+4</f>
        <v>#REF!</v>
      </c>
      <c r="F24" s="95" t="e">
        <f>F20+4</f>
        <v>#REF!</v>
      </c>
      <c r="G24" s="95" t="e">
        <f>G20+3</f>
        <v>#REF!</v>
      </c>
      <c r="H24" s="95" t="e">
        <f t="shared" ref="H24:J24" si="2">H20+3</f>
        <v>#REF!</v>
      </c>
      <c r="I24" s="95" t="e">
        <f t="shared" si="2"/>
        <v>#REF!</v>
      </c>
      <c r="J24" s="95" t="e">
        <f t="shared" si="2"/>
        <v>#REF!</v>
      </c>
      <c r="K24" s="95" t="e">
        <f>K20+1</f>
        <v>#REF!</v>
      </c>
      <c r="N24" s="28"/>
      <c r="O24" s="35"/>
      <c r="P24" s="35"/>
      <c r="Q24" s="35"/>
      <c r="R24" s="35"/>
      <c r="S24" s="35"/>
      <c r="T24" s="35"/>
      <c r="U24" s="35"/>
      <c r="V24" s="178" t="s">
        <v>57</v>
      </c>
      <c r="W24" s="115"/>
      <c r="X24" s="114"/>
      <c r="Y24" s="143" t="e">
        <f>AA13</f>
        <v>#REF!</v>
      </c>
      <c r="Z24" s="137"/>
      <c r="AA24" s="137"/>
      <c r="AB24" s="137"/>
      <c r="AC24" s="7"/>
      <c r="AH24" s="49"/>
      <c r="AI24" s="49"/>
      <c r="AJ24" s="49"/>
    </row>
    <row r="25" spans="1:39" ht="10.5" customHeight="1" x14ac:dyDescent="0.2">
      <c r="M25" s="2"/>
      <c r="N25" s="28"/>
      <c r="O25" s="50"/>
      <c r="P25" s="50"/>
      <c r="Q25" s="50"/>
      <c r="R25" s="50"/>
      <c r="S25" s="50"/>
      <c r="T25" s="50"/>
      <c r="U25" s="50"/>
      <c r="V25" s="178" t="s">
        <v>58</v>
      </c>
      <c r="W25" s="115"/>
      <c r="X25" s="114"/>
      <c r="Y25" s="143" t="e">
        <f>AA15</f>
        <v>#REF!</v>
      </c>
      <c r="Z25" s="137"/>
      <c r="AA25" s="137"/>
      <c r="AB25" s="137"/>
      <c r="AC25" s="7"/>
      <c r="AH25" s="49"/>
      <c r="AI25" s="49"/>
      <c r="AJ25" s="49"/>
    </row>
    <row r="26" spans="1:39" ht="16.7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8"/>
      <c r="O26" s="152">
        <v>6</v>
      </c>
      <c r="P26" s="152" t="s">
        <v>84</v>
      </c>
      <c r="Q26" s="51"/>
      <c r="R26" s="51"/>
      <c r="S26" s="51"/>
      <c r="T26" s="51"/>
      <c r="U26" s="51"/>
      <c r="V26" s="178" t="s">
        <v>59</v>
      </c>
      <c r="W26" s="115"/>
      <c r="X26" s="114"/>
      <c r="Y26" s="143" t="e">
        <f>K20</f>
        <v>#REF!</v>
      </c>
      <c r="Z26" s="137"/>
      <c r="AA26" s="137"/>
      <c r="AB26" s="137"/>
      <c r="AC26" s="7"/>
      <c r="AH26" s="52">
        <v>1</v>
      </c>
      <c r="AI26" s="7">
        <v>25.4</v>
      </c>
      <c r="AJ26" s="7">
        <v>100</v>
      </c>
      <c r="AK26" s="49"/>
      <c r="AL26" s="53"/>
      <c r="AM26" s="53"/>
    </row>
    <row r="27" spans="1:39" ht="16.7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8"/>
      <c r="O27" s="183"/>
      <c r="P27" s="800" t="s">
        <v>86</v>
      </c>
      <c r="Q27" s="801"/>
      <c r="R27" s="797" t="s">
        <v>87</v>
      </c>
      <c r="S27" s="797"/>
      <c r="T27" s="173"/>
      <c r="U27" s="54"/>
      <c r="V27" s="227" t="s">
        <v>113</v>
      </c>
      <c r="W27" s="115"/>
      <c r="X27" s="114"/>
      <c r="Y27" s="145" t="e">
        <f>(2+(0.02*Y20)+(0.04*Y21)+(0.08*Y22)+(0.14*Y23)+(0.3*Y24)+(0.6*Y25)+(1.6*Y26))*0.20482</f>
        <v>#REF!</v>
      </c>
      <c r="Z27" s="137"/>
      <c r="AA27" s="137"/>
      <c r="AB27" s="137"/>
      <c r="AC27" s="7"/>
      <c r="AH27" s="52">
        <v>1</v>
      </c>
      <c r="AI27" s="7">
        <v>25.4</v>
      </c>
      <c r="AJ27" s="7">
        <v>0</v>
      </c>
      <c r="AK27" s="49"/>
      <c r="AL27" s="53"/>
      <c r="AM27" s="53"/>
    </row>
    <row r="28" spans="1:39" ht="16.7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N28" s="28"/>
      <c r="O28" s="165" t="s">
        <v>79</v>
      </c>
      <c r="P28" s="171">
        <f>HLOOKUP($P$53,$AK$54:$AV$57,2,FALSE)</f>
        <v>0.5</v>
      </c>
      <c r="Q28" s="172">
        <f>HLOOKUP($P$53+0.01,$AK$54:$AV$57,2,FALSE)</f>
        <v>0.65</v>
      </c>
      <c r="R28" s="799" t="e">
        <f>X68</f>
        <v>#REF!</v>
      </c>
      <c r="S28" s="799"/>
      <c r="T28" s="174" t="e">
        <f>IF(R28&gt;P28,IF(R28&gt;Q28,"No Cumple","Si Cumple"),"No Cumple")</f>
        <v>#REF!</v>
      </c>
      <c r="U28" s="55"/>
      <c r="V28" s="144" t="s">
        <v>60</v>
      </c>
      <c r="W28" s="115"/>
      <c r="X28" s="114"/>
      <c r="Y28" s="146">
        <v>5.1559999999999997</v>
      </c>
      <c r="Z28" s="137"/>
      <c r="AA28" s="137"/>
      <c r="AB28" s="137"/>
      <c r="AC28" s="7"/>
      <c r="AH28" s="52" t="s">
        <v>2</v>
      </c>
      <c r="AI28" s="7">
        <v>19</v>
      </c>
      <c r="AJ28" s="7">
        <v>100</v>
      </c>
      <c r="AK28" s="49"/>
      <c r="AL28" s="53"/>
      <c r="AM28" s="53"/>
    </row>
    <row r="29" spans="1:39" ht="16.7" customHeight="1" x14ac:dyDescent="0.2">
      <c r="N29" s="28"/>
      <c r="O29" s="165" t="s">
        <v>81</v>
      </c>
      <c r="P29" s="171">
        <f>HLOOKUP($P$53,$AK$54:$AV$57,3,FALSE)</f>
        <v>0.35</v>
      </c>
      <c r="Q29" s="172">
        <f>HLOOKUP($P$53+0.01,$AK$54:$AV$57,3,FALSE)</f>
        <v>0.5</v>
      </c>
      <c r="R29" s="799" t="e">
        <f>X69</f>
        <v>#REF!</v>
      </c>
      <c r="S29" s="799"/>
      <c r="T29" s="174" t="e">
        <f>IF(R29&gt;P29,IF(R29&gt;Q29,"No Cumple","Si Cumple"),"No Cumple")</f>
        <v>#REF!</v>
      </c>
      <c r="U29" s="56"/>
      <c r="V29" s="144" t="s">
        <v>61</v>
      </c>
      <c r="W29" s="115"/>
      <c r="X29" s="114"/>
      <c r="Y29" s="146">
        <v>5.4</v>
      </c>
      <c r="Z29" s="137"/>
      <c r="AA29" s="137"/>
      <c r="AB29" s="137"/>
      <c r="AC29" s="7"/>
      <c r="AH29" s="52" t="s">
        <v>2</v>
      </c>
      <c r="AI29" s="7">
        <v>19</v>
      </c>
      <c r="AJ29" s="7">
        <v>0</v>
      </c>
      <c r="AK29" s="49"/>
      <c r="AL29" s="53"/>
      <c r="AM29" s="53"/>
    </row>
    <row r="30" spans="1:39" ht="16.7" customHeight="1" x14ac:dyDescent="0.2">
      <c r="N30" s="47"/>
      <c r="O30" s="165" t="s">
        <v>83</v>
      </c>
      <c r="P30" s="171">
        <f>HLOOKUP($P$53,$AK$54:$AV$57,4,FALSE)</f>
        <v>0.35</v>
      </c>
      <c r="Q30" s="172">
        <f>HLOOKUP($P$53+0.01,$AK$54:$AV$57,4,FALSE)</f>
        <v>0.5</v>
      </c>
      <c r="R30" s="799" t="e">
        <f>X70</f>
        <v>#REF!</v>
      </c>
      <c r="S30" s="799"/>
      <c r="T30" s="174" t="e">
        <f>IF(R30&gt;P30,IF(R30&gt;Q30,"No Cumple","Si Cumple"),"No Cumple")</f>
        <v>#REF!</v>
      </c>
      <c r="U30" s="47"/>
      <c r="V30" s="144" t="s">
        <v>62</v>
      </c>
      <c r="W30" s="115"/>
      <c r="X30" s="114"/>
      <c r="Y30" s="146">
        <v>1.0129999999999999</v>
      </c>
      <c r="Z30" s="137"/>
      <c r="AA30" s="137"/>
      <c r="AB30" s="137"/>
      <c r="AC30" s="7"/>
      <c r="AH30" s="52" t="s">
        <v>5</v>
      </c>
      <c r="AI30" s="7">
        <v>12.5</v>
      </c>
      <c r="AJ30" s="7">
        <v>100</v>
      </c>
      <c r="AK30" s="49"/>
      <c r="AL30" s="53"/>
      <c r="AM30" s="53"/>
    </row>
    <row r="31" spans="1:39" ht="16.7" customHeight="1" x14ac:dyDescent="0.2">
      <c r="N31" s="47"/>
      <c r="O31" s="47"/>
      <c r="P31" s="47"/>
      <c r="Q31" s="47"/>
      <c r="R31" s="47"/>
      <c r="S31" s="47"/>
      <c r="T31" s="47"/>
      <c r="U31" s="47"/>
      <c r="V31" s="144" t="s">
        <v>63</v>
      </c>
      <c r="W31" s="115"/>
      <c r="X31" s="114"/>
      <c r="Y31" s="146">
        <v>2.6520000000000001</v>
      </c>
      <c r="Z31" s="137"/>
      <c r="AA31" s="137"/>
      <c r="AB31" s="137"/>
      <c r="AC31" s="7"/>
      <c r="AH31" s="52" t="s">
        <v>5</v>
      </c>
      <c r="AI31" s="7">
        <v>12.5</v>
      </c>
      <c r="AJ31" s="7">
        <v>0</v>
      </c>
      <c r="AK31" s="49"/>
      <c r="AL31" s="53"/>
      <c r="AM31" s="53"/>
    </row>
    <row r="32" spans="1:39" ht="16.7" customHeight="1" thickBot="1" x14ac:dyDescent="0.25">
      <c r="N32" s="47"/>
      <c r="O32" s="47"/>
      <c r="P32" s="47"/>
      <c r="Q32" s="47"/>
      <c r="R32" s="47"/>
      <c r="S32" s="57"/>
      <c r="T32" s="57"/>
      <c r="U32" s="57"/>
      <c r="V32" s="147" t="s">
        <v>64</v>
      </c>
      <c r="W32" s="148"/>
      <c r="X32" s="149"/>
      <c r="Y32" s="150" t="e">
        <f>(Y28/(100-Y29))*(Y31/(2.65*Y27))*(10^3/Y30)</f>
        <v>#REF!</v>
      </c>
      <c r="Z32" s="137"/>
      <c r="AA32" s="137"/>
      <c r="AB32" s="137"/>
      <c r="AC32" s="7"/>
      <c r="AH32" s="52" t="s">
        <v>3</v>
      </c>
      <c r="AI32" s="7">
        <v>9.5</v>
      </c>
      <c r="AJ32" s="7">
        <v>100</v>
      </c>
      <c r="AK32" s="49"/>
      <c r="AL32" s="53"/>
      <c r="AM32" s="53"/>
    </row>
    <row r="33" spans="1:39" ht="16.7" customHeight="1" x14ac:dyDescent="0.2">
      <c r="N33" s="47"/>
      <c r="O33" s="47"/>
      <c r="P33" s="47"/>
      <c r="Q33" s="47"/>
      <c r="R33" s="47"/>
      <c r="S33" s="57"/>
      <c r="T33" s="57"/>
      <c r="U33" s="57"/>
      <c r="V33" s="57"/>
      <c r="W33" s="57"/>
      <c r="X33" s="57"/>
      <c r="Y33" s="57"/>
      <c r="Z33" s="7"/>
      <c r="AA33" s="7"/>
      <c r="AB33" s="7"/>
      <c r="AC33" s="7"/>
      <c r="AH33" s="52" t="s">
        <v>3</v>
      </c>
      <c r="AI33" s="7">
        <v>9.5</v>
      </c>
      <c r="AJ33" s="7">
        <v>0</v>
      </c>
      <c r="AK33" s="49"/>
      <c r="AL33" s="53"/>
      <c r="AM33" s="53"/>
    </row>
    <row r="34" spans="1:39" ht="16.7" customHeight="1" x14ac:dyDescent="0.2"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7"/>
      <c r="Z34" s="7"/>
      <c r="AA34" s="7"/>
      <c r="AB34" s="7"/>
      <c r="AC34" s="7"/>
      <c r="AH34" s="52" t="s">
        <v>6</v>
      </c>
      <c r="AI34" s="7">
        <v>4.76</v>
      </c>
      <c r="AJ34" s="7">
        <v>100</v>
      </c>
      <c r="AK34" s="49"/>
      <c r="AL34" s="53"/>
      <c r="AM34" s="53"/>
    </row>
    <row r="35" spans="1:39" ht="16.7" customHeight="1" x14ac:dyDescent="0.2"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7"/>
      <c r="Z35" s="7"/>
      <c r="AA35" s="7"/>
      <c r="AB35" s="7"/>
      <c r="AC35" s="7"/>
      <c r="AH35" s="52" t="s">
        <v>6</v>
      </c>
      <c r="AI35" s="7">
        <v>4.76</v>
      </c>
      <c r="AJ35" s="7">
        <v>0</v>
      </c>
      <c r="AK35" s="49"/>
      <c r="AL35" s="53"/>
      <c r="AM35" s="53"/>
    </row>
    <row r="36" spans="1:39" ht="16.7" customHeight="1" x14ac:dyDescent="0.2"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7"/>
      <c r="Z36" s="7"/>
      <c r="AA36" s="7"/>
      <c r="AB36" s="7"/>
      <c r="AC36" s="7"/>
      <c r="AH36" s="52">
        <v>10</v>
      </c>
      <c r="AI36" s="7">
        <v>2</v>
      </c>
      <c r="AJ36" s="7">
        <v>100</v>
      </c>
      <c r="AK36" s="49"/>
      <c r="AL36" s="53"/>
      <c r="AM36" s="53"/>
    </row>
    <row r="37" spans="1:39" x14ac:dyDescent="0.2"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7"/>
      <c r="Z37" s="7"/>
      <c r="AA37" s="7"/>
      <c r="AB37" s="7"/>
      <c r="AC37" s="7"/>
      <c r="AH37" s="52">
        <v>10</v>
      </c>
      <c r="AI37" s="7">
        <v>2</v>
      </c>
      <c r="AJ37" s="7">
        <v>0</v>
      </c>
      <c r="AK37" s="49"/>
      <c r="AL37" s="53"/>
      <c r="AM37" s="53"/>
    </row>
    <row r="38" spans="1:39" ht="16.7" customHeight="1" x14ac:dyDescent="0.2"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7"/>
      <c r="Z38" s="7"/>
      <c r="AA38" s="7"/>
      <c r="AB38" s="7"/>
      <c r="AC38" s="7"/>
      <c r="AH38" s="52">
        <v>40</v>
      </c>
      <c r="AI38" s="7">
        <v>0.42499999999999999</v>
      </c>
      <c r="AJ38" s="7">
        <v>100</v>
      </c>
      <c r="AK38" s="49"/>
      <c r="AL38" s="53"/>
      <c r="AM38" s="53"/>
    </row>
    <row r="39" spans="1:39" ht="6" customHeight="1" x14ac:dyDescent="0.2"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7"/>
      <c r="Z39" s="7"/>
      <c r="AA39" s="7"/>
      <c r="AB39" s="7"/>
      <c r="AC39" s="7"/>
      <c r="AH39" s="52">
        <v>40</v>
      </c>
      <c r="AI39" s="7">
        <v>0.42499999999999999</v>
      </c>
      <c r="AJ39" s="7">
        <v>0</v>
      </c>
      <c r="AK39" s="49"/>
      <c r="AL39" s="53"/>
      <c r="AM39" s="53"/>
    </row>
    <row r="40" spans="1:39" ht="39.75" customHeight="1" x14ac:dyDescent="0.2">
      <c r="N40" s="47"/>
      <c r="O40" s="101" t="s">
        <v>19</v>
      </c>
      <c r="P40" s="98" t="s">
        <v>47</v>
      </c>
      <c r="Q40" s="59" t="s">
        <v>22</v>
      </c>
      <c r="R40" s="59" t="s">
        <v>23</v>
      </c>
      <c r="S40" s="59" t="s">
        <v>24</v>
      </c>
      <c r="T40" s="59" t="s">
        <v>27</v>
      </c>
      <c r="U40" s="59" t="s">
        <v>28</v>
      </c>
      <c r="V40" s="59" t="s">
        <v>29</v>
      </c>
      <c r="W40" s="59" t="s">
        <v>25</v>
      </c>
      <c r="X40" s="59" t="s">
        <v>30</v>
      </c>
      <c r="AA40" s="7"/>
      <c r="AB40" s="7"/>
      <c r="AC40" s="7"/>
      <c r="AH40" s="52">
        <v>80</v>
      </c>
      <c r="AI40" s="7">
        <v>0.18</v>
      </c>
      <c r="AJ40" s="7">
        <v>100</v>
      </c>
      <c r="AK40" s="49"/>
      <c r="AL40" s="53"/>
      <c r="AM40" s="53"/>
    </row>
    <row r="41" spans="1:39" ht="13.5" customHeight="1" x14ac:dyDescent="0.2">
      <c r="N41" s="47"/>
      <c r="O41" s="96" t="e">
        <f>IF(A42=0," ",A42)</f>
        <v>#REF!</v>
      </c>
      <c r="P41" s="106" t="e">
        <f>IF(O41=" "," ",VLOOKUP(O41,#REF!,15))</f>
        <v>#REF!</v>
      </c>
      <c r="Q41" s="97" t="e">
        <f>IF(P41=" "," ",P41*0.997)</f>
        <v>#REF!</v>
      </c>
      <c r="R41" s="60" t="e">
        <f>IF(O41=" "," ",VLOOKUP(O41,#REF!,13))</f>
        <v>#REF!</v>
      </c>
      <c r="S41" s="60" t="e">
        <f>IF(O41=" "," ",VLOOKUP(O41,#REF!,14))</f>
        <v>#REF!</v>
      </c>
      <c r="T41" s="60" t="e">
        <f>IF(O41=" "," ",VLOOKUP(O41,#REF!,25))</f>
        <v>#REF!</v>
      </c>
      <c r="U41" s="60" t="e">
        <f>IF(O41=" "," ",VLOOKUP(O41,#REF!,26))</f>
        <v>#REF!</v>
      </c>
      <c r="V41" s="60" t="e">
        <f>IF(O41=" "," ",VLOOKUP(O41,#REF!,27))</f>
        <v>#REF!</v>
      </c>
      <c r="W41" s="61" t="e">
        <f>IF(O41=" "," ",VLOOKUP(O41,#REF!,29))</f>
        <v>#REF!</v>
      </c>
      <c r="X41" s="62" t="e">
        <f>IF(O41=" "," ",VLOOKUP(O41,#REF!,28))</f>
        <v>#REF!</v>
      </c>
      <c r="AA41" s="7"/>
      <c r="AB41" s="7"/>
      <c r="AC41" s="7"/>
      <c r="AH41" s="52">
        <v>80</v>
      </c>
      <c r="AI41" s="7">
        <v>0.18</v>
      </c>
      <c r="AJ41" s="7">
        <v>0</v>
      </c>
      <c r="AK41" s="49"/>
      <c r="AL41" s="53"/>
      <c r="AM41" s="53"/>
    </row>
    <row r="42" spans="1:39" x14ac:dyDescent="0.2">
      <c r="A42" s="58" t="e">
        <f>VLOOKUP(L8,#REF!,9)</f>
        <v>#REF!</v>
      </c>
      <c r="M42" s="214"/>
      <c r="N42" s="28"/>
      <c r="O42" s="96" t="e">
        <f>IF(O41=" "," ",O41+1)</f>
        <v>#REF!</v>
      </c>
      <c r="P42" s="185" t="e">
        <f>IF(O42=" "," ",VLOOKUP(O42,#REF!,15))</f>
        <v>#REF!</v>
      </c>
      <c r="Q42" s="97" t="e">
        <f>IF(P42=" "," ",P42*0.997)</f>
        <v>#REF!</v>
      </c>
      <c r="R42" s="60" t="e">
        <f>IF(O42=" "," ",VLOOKUP(O42,#REF!,13))</f>
        <v>#REF!</v>
      </c>
      <c r="S42" s="60" t="e">
        <f>IF(O42=" "," ",VLOOKUP(O42,#REF!,14))</f>
        <v>#REF!</v>
      </c>
      <c r="T42" s="60" t="e">
        <f>IF(O42=" "," ",VLOOKUP(O42,#REF!,25))</f>
        <v>#REF!</v>
      </c>
      <c r="U42" s="60" t="e">
        <f>IF(O42=" "," ",VLOOKUP(O42,#REF!,26))</f>
        <v>#REF!</v>
      </c>
      <c r="V42" s="60" t="e">
        <f>IF(O42=" "," ",VLOOKUP(O42,#REF!,27))</f>
        <v>#REF!</v>
      </c>
      <c r="W42" s="61" t="e">
        <f>IF(O42=" "," ",VLOOKUP(O42,#REF!,29))</f>
        <v>#REF!</v>
      </c>
      <c r="X42" s="62" t="e">
        <f>IF(O42=" "," ",VLOOKUP(O42,#REF!,28))</f>
        <v>#REF!</v>
      </c>
      <c r="AA42" s="7"/>
      <c r="AB42" s="7"/>
      <c r="AC42" s="7"/>
      <c r="AH42" s="52">
        <v>200</v>
      </c>
      <c r="AI42" s="7">
        <v>7.4999999999999997E-2</v>
      </c>
      <c r="AJ42" s="7">
        <v>0</v>
      </c>
      <c r="AK42" s="49"/>
      <c r="AL42" s="53"/>
      <c r="AM42" s="53"/>
    </row>
    <row r="43" spans="1:39" ht="38.25" customHeight="1" x14ac:dyDescent="0.2">
      <c r="A43" s="745" t="s">
        <v>19</v>
      </c>
      <c r="B43" s="746"/>
      <c r="C43" s="747" t="s">
        <v>47</v>
      </c>
      <c r="D43" s="748"/>
      <c r="E43" s="59" t="s">
        <v>22</v>
      </c>
      <c r="F43" s="59" t="s">
        <v>23</v>
      </c>
      <c r="G43" s="59" t="s">
        <v>24</v>
      </c>
      <c r="H43" s="59" t="s">
        <v>27</v>
      </c>
      <c r="I43" s="59" t="s">
        <v>28</v>
      </c>
      <c r="J43" s="59" t="s">
        <v>29</v>
      </c>
      <c r="K43" s="59" t="s">
        <v>25</v>
      </c>
      <c r="L43" s="59" t="s">
        <v>30</v>
      </c>
      <c r="M43" s="27"/>
      <c r="N43" s="28"/>
      <c r="O43" s="96" t="e">
        <f>IF(O42=" "," ",O42+1)</f>
        <v>#REF!</v>
      </c>
      <c r="P43" s="185" t="e">
        <f>IF(O43=" "," ",VLOOKUP(O43,#REF!,15))</f>
        <v>#REF!</v>
      </c>
      <c r="Q43" s="97" t="e">
        <f>IF(P43=" "," ",P43*0.997)</f>
        <v>#REF!</v>
      </c>
      <c r="R43" s="60" t="e">
        <f>IF(O43=" "," ",VLOOKUP(O43,#REF!,13))</f>
        <v>#REF!</v>
      </c>
      <c r="S43" s="60" t="e">
        <f>IF(O43=" "," ",VLOOKUP(O43,#REF!,14))</f>
        <v>#REF!</v>
      </c>
      <c r="T43" s="60" t="e">
        <f>IF(O43=" "," ",VLOOKUP(O43,#REF!,25))</f>
        <v>#REF!</v>
      </c>
      <c r="U43" s="60" t="e">
        <f>IF(O43=" "," ",VLOOKUP(O43,#REF!,26))</f>
        <v>#REF!</v>
      </c>
      <c r="V43" s="60" t="e">
        <f>IF(O43=" "," ",VLOOKUP(O43,#REF!,27))</f>
        <v>#REF!</v>
      </c>
      <c r="W43" s="61" t="e">
        <f>IF(O43=" "," ",VLOOKUP(O43,#REF!,29))</f>
        <v>#REF!</v>
      </c>
      <c r="X43" s="62" t="e">
        <f>IF(O43=" "," ",VLOOKUP(O43,#REF!,28))</f>
        <v>#REF!</v>
      </c>
      <c r="AA43" s="63"/>
      <c r="AB43" s="63"/>
      <c r="AC43" s="63"/>
      <c r="AD43" s="64"/>
      <c r="AH43" s="52">
        <v>200</v>
      </c>
      <c r="AI43" s="7">
        <v>7.4999999999999997E-2</v>
      </c>
      <c r="AJ43" s="7">
        <v>100</v>
      </c>
      <c r="AK43" s="49"/>
      <c r="AL43" s="53"/>
      <c r="AM43" s="53"/>
    </row>
    <row r="44" spans="1:39" ht="12.75" customHeight="1" x14ac:dyDescent="0.2">
      <c r="A44" s="739" t="e">
        <f>O41</f>
        <v>#REF!</v>
      </c>
      <c r="B44" s="740"/>
      <c r="C44" s="743" t="e">
        <f>P41</f>
        <v>#REF!</v>
      </c>
      <c r="D44" s="744"/>
      <c r="E44" s="97" t="e">
        <f>Q41</f>
        <v>#REF!</v>
      </c>
      <c r="F44" s="60" t="e">
        <f t="shared" ref="F44:L46" si="3">R41</f>
        <v>#REF!</v>
      </c>
      <c r="G44" s="60" t="e">
        <f t="shared" si="3"/>
        <v>#REF!</v>
      </c>
      <c r="H44" s="60" t="e">
        <f t="shared" si="3"/>
        <v>#REF!</v>
      </c>
      <c r="I44" s="60" t="e">
        <f t="shared" si="3"/>
        <v>#REF!</v>
      </c>
      <c r="J44" s="60" t="e">
        <f t="shared" si="3"/>
        <v>#REF!</v>
      </c>
      <c r="K44" s="60" t="e">
        <f t="shared" si="3"/>
        <v>#REF!</v>
      </c>
      <c r="L44" s="60" t="e">
        <f t="shared" si="3"/>
        <v>#REF!</v>
      </c>
      <c r="M44" s="27"/>
      <c r="N44" s="28"/>
      <c r="O44" s="184" t="e">
        <f>IF(O43=" "," ",O43+1)</f>
        <v>#REF!</v>
      </c>
      <c r="P44" s="185" t="e">
        <f>IF(O44=" "," ",VLOOKUP(O44,#REF!,15))</f>
        <v>#REF!</v>
      </c>
      <c r="Q44" s="186" t="e">
        <f>IF(P44=" "," ",P44*0.997)</f>
        <v>#REF!</v>
      </c>
      <c r="R44" s="60" t="e">
        <f>IF(O44=" "," ",VLOOKUP(O44,#REF!,13))</f>
        <v>#REF!</v>
      </c>
      <c r="S44" s="60" t="e">
        <f>IF(O44=" "," ",VLOOKUP(O44,#REF!,14))</f>
        <v>#REF!</v>
      </c>
      <c r="T44" s="60" t="e">
        <f>IF(O44=" "," ",VLOOKUP(O44,#REF!,25))</f>
        <v>#REF!</v>
      </c>
      <c r="U44" s="60" t="e">
        <f>IF(O44=" "," ",VLOOKUP(O44,#REF!,26))</f>
        <v>#REF!</v>
      </c>
      <c r="V44" s="60" t="e">
        <f>IF(O44=" "," ",VLOOKUP(O44,#REF!,27))</f>
        <v>#REF!</v>
      </c>
      <c r="W44" s="61" t="e">
        <f>IF(O44=" "," ",VLOOKUP(O44,#REF!,29))</f>
        <v>#REF!</v>
      </c>
      <c r="X44" s="62" t="e">
        <f>IF(O44=" "," ",VLOOKUP(O44,#REF!,28))</f>
        <v>#REF!</v>
      </c>
      <c r="AA44" s="63"/>
      <c r="AB44" s="63"/>
      <c r="AC44" s="63"/>
      <c r="AD44" s="64"/>
      <c r="AH44" s="52"/>
      <c r="AK44" s="49"/>
      <c r="AL44" s="53"/>
      <c r="AM44" s="53"/>
    </row>
    <row r="45" spans="1:39" ht="12.75" hidden="1" customHeight="1" x14ac:dyDescent="0.2">
      <c r="A45" s="739" t="e">
        <f t="shared" ref="A45:A46" si="4">O42</f>
        <v>#REF!</v>
      </c>
      <c r="B45" s="740"/>
      <c r="C45" s="743" t="e">
        <f>P42</f>
        <v>#REF!</v>
      </c>
      <c r="D45" s="744"/>
      <c r="E45" s="97" t="e">
        <f t="shared" ref="E45:E46" si="5">Q42</f>
        <v>#REF!</v>
      </c>
      <c r="F45" s="60" t="e">
        <f t="shared" si="3"/>
        <v>#REF!</v>
      </c>
      <c r="G45" s="60" t="e">
        <f t="shared" si="3"/>
        <v>#REF!</v>
      </c>
      <c r="H45" s="60" t="e">
        <f t="shared" si="3"/>
        <v>#REF!</v>
      </c>
      <c r="I45" s="60" t="e">
        <f t="shared" si="3"/>
        <v>#REF!</v>
      </c>
      <c r="J45" s="60" t="e">
        <f t="shared" si="3"/>
        <v>#REF!</v>
      </c>
      <c r="K45" s="60" t="e">
        <f t="shared" si="3"/>
        <v>#REF!</v>
      </c>
      <c r="L45" s="60" t="e">
        <f t="shared" si="3"/>
        <v>#REF!</v>
      </c>
      <c r="M45" s="27"/>
      <c r="N45" s="28"/>
      <c r="O45" s="96">
        <v>5</v>
      </c>
      <c r="P45" s="106"/>
      <c r="Q45" s="97"/>
      <c r="R45" s="65"/>
      <c r="S45" s="61"/>
      <c r="T45" s="66"/>
      <c r="U45" s="60" t="e">
        <f>IF(O45=" "," ",VLOOKUP(O45,#REF!,26))</f>
        <v>#REF!</v>
      </c>
      <c r="V45" s="66"/>
      <c r="W45" s="67"/>
      <c r="X45" s="62" t="e">
        <f>IF(O45=" "," ",VLOOKUP(O45,#REF!,28))</f>
        <v>#REF!</v>
      </c>
      <c r="AA45" s="63"/>
      <c r="AB45" s="63"/>
      <c r="AC45" s="63"/>
      <c r="AD45" s="64"/>
      <c r="AH45" s="52"/>
      <c r="AK45" s="49"/>
      <c r="AL45" s="53"/>
      <c r="AM45" s="53"/>
    </row>
    <row r="46" spans="1:39" ht="12.75" hidden="1" customHeight="1" x14ac:dyDescent="0.2">
      <c r="A46" s="739" t="e">
        <f t="shared" si="4"/>
        <v>#REF!</v>
      </c>
      <c r="B46" s="740"/>
      <c r="C46" s="743" t="e">
        <f>P43</f>
        <v>#REF!</v>
      </c>
      <c r="D46" s="744"/>
      <c r="E46" s="97" t="e">
        <f t="shared" si="5"/>
        <v>#REF!</v>
      </c>
      <c r="F46" s="60" t="e">
        <f t="shared" si="3"/>
        <v>#REF!</v>
      </c>
      <c r="G46" s="60" t="e">
        <f t="shared" si="3"/>
        <v>#REF!</v>
      </c>
      <c r="H46" s="60" t="e">
        <f t="shared" si="3"/>
        <v>#REF!</v>
      </c>
      <c r="I46" s="60" t="e">
        <f t="shared" si="3"/>
        <v>#REF!</v>
      </c>
      <c r="J46" s="60" t="e">
        <f t="shared" si="3"/>
        <v>#REF!</v>
      </c>
      <c r="K46" s="60" t="e">
        <f t="shared" si="3"/>
        <v>#REF!</v>
      </c>
      <c r="L46" s="60" t="e">
        <f t="shared" si="3"/>
        <v>#REF!</v>
      </c>
      <c r="M46" s="27"/>
      <c r="N46" s="28"/>
      <c r="O46" s="96">
        <v>6</v>
      </c>
      <c r="P46" s="106"/>
      <c r="Q46" s="97"/>
      <c r="R46" s="65"/>
      <c r="S46" s="61"/>
      <c r="T46" s="66"/>
      <c r="U46" s="60" t="e">
        <f>IF(O46=" "," ",VLOOKUP(O46,#REF!,26))</f>
        <v>#REF!</v>
      </c>
      <c r="V46" s="66"/>
      <c r="W46" s="67"/>
      <c r="X46" s="62" t="e">
        <f>IF(O46=" "," ",VLOOKUP(O46,#REF!,28))</f>
        <v>#REF!</v>
      </c>
      <c r="AA46" s="63"/>
      <c r="AB46" s="63"/>
      <c r="AC46" s="63"/>
      <c r="AD46" s="64"/>
      <c r="AH46" s="52"/>
      <c r="AK46" s="49"/>
      <c r="AL46" s="53"/>
      <c r="AM46" s="53"/>
    </row>
    <row r="47" spans="1:39" ht="15" customHeight="1" x14ac:dyDescent="0.2">
      <c r="A47" s="739" t="e">
        <f>O42</f>
        <v>#REF!</v>
      </c>
      <c r="B47" s="740"/>
      <c r="C47" s="743" t="e">
        <f>P42</f>
        <v>#REF!</v>
      </c>
      <c r="D47" s="744"/>
      <c r="E47" s="190" t="e">
        <f>Q42</f>
        <v>#REF!</v>
      </c>
      <c r="F47" s="60" t="e">
        <f t="shared" ref="F47:L47" si="6">R42</f>
        <v>#REF!</v>
      </c>
      <c r="G47" s="60" t="e">
        <f t="shared" si="6"/>
        <v>#REF!</v>
      </c>
      <c r="H47" s="60" t="e">
        <f t="shared" si="6"/>
        <v>#REF!</v>
      </c>
      <c r="I47" s="60" t="e">
        <f t="shared" si="6"/>
        <v>#REF!</v>
      </c>
      <c r="J47" s="60" t="e">
        <f t="shared" si="6"/>
        <v>#REF!</v>
      </c>
      <c r="K47" s="60" t="e">
        <f t="shared" si="6"/>
        <v>#REF!</v>
      </c>
      <c r="L47" s="60" t="e">
        <f t="shared" si="6"/>
        <v>#REF!</v>
      </c>
      <c r="M47" s="27"/>
      <c r="N47" s="28"/>
      <c r="O47" s="96" t="s">
        <v>13</v>
      </c>
      <c r="P47" s="108" t="e">
        <f>IF(P41=" "," ",AVERAGE(P41:P44))</f>
        <v>#REF!</v>
      </c>
      <c r="Q47" s="99" t="e">
        <f t="shared" ref="Q47:X47" si="7">IF(Q41=" "," ",AVERAGE(Q41:Q44))</f>
        <v>#REF!</v>
      </c>
      <c r="R47" s="68" t="e">
        <f t="shared" si="7"/>
        <v>#REF!</v>
      </c>
      <c r="S47" s="68" t="e">
        <f t="shared" si="7"/>
        <v>#REF!</v>
      </c>
      <c r="T47" s="68" t="e">
        <f t="shared" si="7"/>
        <v>#REF!</v>
      </c>
      <c r="U47" s="68" t="e">
        <f t="shared" si="7"/>
        <v>#REF!</v>
      </c>
      <c r="V47" s="68" t="e">
        <f t="shared" si="7"/>
        <v>#REF!</v>
      </c>
      <c r="W47" s="69" t="e">
        <f t="shared" si="7"/>
        <v>#REF!</v>
      </c>
      <c r="X47" s="70" t="e">
        <f t="shared" si="7"/>
        <v>#REF!</v>
      </c>
      <c r="AD47" s="18"/>
      <c r="AH47" s="71"/>
      <c r="AK47" s="53"/>
      <c r="AL47" s="53"/>
      <c r="AM47" s="53"/>
    </row>
    <row r="48" spans="1:39" ht="15" customHeight="1" x14ac:dyDescent="0.2">
      <c r="A48" s="739" t="e">
        <f>O43</f>
        <v>#REF!</v>
      </c>
      <c r="B48" s="740"/>
      <c r="C48" s="743" t="e">
        <f>P43</f>
        <v>#REF!</v>
      </c>
      <c r="D48" s="744"/>
      <c r="E48" s="190" t="e">
        <f>Q43</f>
        <v>#REF!</v>
      </c>
      <c r="F48" s="60" t="e">
        <f t="shared" ref="F48:L48" si="8">R43</f>
        <v>#REF!</v>
      </c>
      <c r="G48" s="60" t="e">
        <f t="shared" si="8"/>
        <v>#REF!</v>
      </c>
      <c r="H48" s="60" t="e">
        <f t="shared" si="8"/>
        <v>#REF!</v>
      </c>
      <c r="I48" s="60" t="e">
        <f t="shared" si="8"/>
        <v>#REF!</v>
      </c>
      <c r="J48" s="60" t="e">
        <f t="shared" si="8"/>
        <v>#REF!</v>
      </c>
      <c r="K48" s="60" t="e">
        <f t="shared" si="8"/>
        <v>#REF!</v>
      </c>
      <c r="L48" s="60" t="e">
        <f t="shared" si="8"/>
        <v>#REF!</v>
      </c>
      <c r="M48" s="27"/>
      <c r="N48" s="28"/>
      <c r="O48" s="96" t="s">
        <v>21</v>
      </c>
      <c r="P48" s="107" t="s">
        <v>31</v>
      </c>
      <c r="Q48" s="100" t="s">
        <v>31</v>
      </c>
      <c r="R48" s="72" t="s">
        <v>89</v>
      </c>
      <c r="S48" s="68" t="s">
        <v>88</v>
      </c>
      <c r="T48" s="201" t="s">
        <v>101</v>
      </c>
      <c r="U48" s="99" t="s">
        <v>34</v>
      </c>
      <c r="V48" s="195" t="s">
        <v>99</v>
      </c>
      <c r="W48" s="68" t="s">
        <v>100</v>
      </c>
      <c r="X48" s="68" t="s">
        <v>33</v>
      </c>
    </row>
    <row r="49" spans="1:49" ht="12.75" customHeight="1" x14ac:dyDescent="0.2">
      <c r="A49" s="739" t="e">
        <f>O44</f>
        <v>#REF!</v>
      </c>
      <c r="B49" s="740"/>
      <c r="C49" s="743" t="e">
        <f>P44</f>
        <v>#REF!</v>
      </c>
      <c r="D49" s="744"/>
      <c r="E49" s="190" t="e">
        <f>Q44</f>
        <v>#REF!</v>
      </c>
      <c r="F49" s="60" t="e">
        <f t="shared" ref="F49:L49" si="9">R44</f>
        <v>#REF!</v>
      </c>
      <c r="G49" s="60" t="e">
        <f t="shared" si="9"/>
        <v>#REF!</v>
      </c>
      <c r="H49" s="60" t="e">
        <f t="shared" si="9"/>
        <v>#REF!</v>
      </c>
      <c r="I49" s="60" t="e">
        <f t="shared" si="9"/>
        <v>#REF!</v>
      </c>
      <c r="J49" s="60" t="e">
        <f t="shared" si="9"/>
        <v>#REF!</v>
      </c>
      <c r="K49" s="60" t="e">
        <f t="shared" si="9"/>
        <v>#REF!</v>
      </c>
      <c r="L49" s="60" t="e">
        <f t="shared" si="9"/>
        <v>#REF!</v>
      </c>
      <c r="M49" s="209"/>
      <c r="N49" s="28"/>
      <c r="P49" s="57" t="e">
        <f>H55</f>
        <v>#REF!</v>
      </c>
    </row>
    <row r="50" spans="1:49" ht="18" customHeight="1" x14ac:dyDescent="0.2">
      <c r="A50" s="739" t="str">
        <f>O47</f>
        <v>PROMEDIO</v>
      </c>
      <c r="B50" s="740"/>
      <c r="C50" s="741" t="e">
        <f>IF(C44=" "," ",AVERAGE(C44:D47))</f>
        <v>#REF!</v>
      </c>
      <c r="D50" s="741"/>
      <c r="E50" s="99" t="e">
        <f t="shared" ref="E50:L50" si="10">IF(E44=" "," ",AVERAGE(E44:E47))</f>
        <v>#REF!</v>
      </c>
      <c r="F50" s="69" t="e">
        <f t="shared" si="10"/>
        <v>#REF!</v>
      </c>
      <c r="G50" s="68" t="e">
        <f t="shared" si="10"/>
        <v>#REF!</v>
      </c>
      <c r="H50" s="68" t="e">
        <f t="shared" si="10"/>
        <v>#REF!</v>
      </c>
      <c r="I50" s="68" t="e">
        <f t="shared" si="10"/>
        <v>#REF!</v>
      </c>
      <c r="J50" s="68" t="e">
        <f t="shared" si="10"/>
        <v>#REF!</v>
      </c>
      <c r="K50" s="69" t="e">
        <f t="shared" si="10"/>
        <v>#REF!</v>
      </c>
      <c r="L50" s="68" t="e">
        <f t="shared" si="10"/>
        <v>#REF!</v>
      </c>
      <c r="M50" s="209"/>
      <c r="N50" s="28"/>
      <c r="O50" s="228" t="s">
        <v>114</v>
      </c>
      <c r="P50" s="152"/>
      <c r="Q50" s="152"/>
      <c r="R50" s="152"/>
      <c r="S50" s="152"/>
      <c r="T50" s="152"/>
      <c r="U50" s="152"/>
      <c r="V50" s="152"/>
      <c r="W50" s="152"/>
      <c r="X50" s="152"/>
      <c r="Y50" s="163">
        <v>4</v>
      </c>
      <c r="Z50" s="163" t="s">
        <v>74</v>
      </c>
      <c r="AA50" s="152"/>
      <c r="AB50" s="152"/>
      <c r="AC50" s="152"/>
      <c r="AD50" s="152"/>
      <c r="AE50" s="152"/>
      <c r="AF50" s="152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</row>
    <row r="51" spans="1:49" ht="18" customHeight="1" x14ac:dyDescent="0.2">
      <c r="A51" s="739" t="s">
        <v>21</v>
      </c>
      <c r="B51" s="740"/>
      <c r="C51" s="742" t="s">
        <v>31</v>
      </c>
      <c r="D51" s="742"/>
      <c r="E51" s="100" t="s">
        <v>31</v>
      </c>
      <c r="F51" s="72" t="str">
        <f t="shared" ref="F51:L51" si="11">R48</f>
        <v>Min. 750</v>
      </c>
      <c r="G51" s="68" t="str">
        <f t="shared" si="11"/>
        <v xml:space="preserve"> 2 - 4</v>
      </c>
      <c r="H51" s="99" t="str">
        <f t="shared" si="11"/>
        <v xml:space="preserve"> 3 - 5 </v>
      </c>
      <c r="I51" s="99" t="str">
        <f t="shared" si="11"/>
        <v>Min.15</v>
      </c>
      <c r="J51" s="99" t="str">
        <f t="shared" si="11"/>
        <v>65 - 78</v>
      </c>
      <c r="K51" s="68" t="str">
        <f>W48</f>
        <v xml:space="preserve"> 300 - 500 </v>
      </c>
      <c r="L51" s="68" t="str">
        <f t="shared" si="11"/>
        <v xml:space="preserve"> 0.8 - 1.2 </v>
      </c>
      <c r="M51" s="203"/>
      <c r="N51" s="28"/>
      <c r="O51" s="151">
        <v>1</v>
      </c>
      <c r="P51" s="229" t="s">
        <v>115</v>
      </c>
      <c r="Q51" s="152"/>
      <c r="R51" s="152"/>
      <c r="S51" s="152"/>
      <c r="T51" s="152"/>
      <c r="U51" s="152"/>
      <c r="V51" s="152"/>
      <c r="W51" s="152"/>
      <c r="X51" s="152"/>
      <c r="Y51" s="163"/>
      <c r="Z51" s="152"/>
      <c r="AA51" s="152"/>
      <c r="AB51" s="152"/>
      <c r="AC51" s="152"/>
      <c r="AD51" s="152"/>
      <c r="AE51" s="152"/>
      <c r="AF51" s="152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</row>
    <row r="52" spans="1:49" ht="15.75" customHeight="1" x14ac:dyDescent="0.2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18"/>
      <c r="O52" s="152">
        <v>2</v>
      </c>
      <c r="P52" s="228" t="s">
        <v>116</v>
      </c>
      <c r="Q52" s="152"/>
      <c r="R52" s="152"/>
      <c r="S52" s="152"/>
      <c r="T52" s="152" t="s">
        <v>65</v>
      </c>
      <c r="U52" s="152"/>
      <c r="V52" s="152"/>
      <c r="W52" s="152"/>
      <c r="X52" s="152"/>
      <c r="Y52" s="163"/>
      <c r="Z52" s="152"/>
      <c r="AA52" s="152"/>
      <c r="AB52" s="152"/>
      <c r="AC52" s="152"/>
      <c r="AD52" s="152">
        <v>5</v>
      </c>
      <c r="AE52" s="228" t="s">
        <v>117</v>
      </c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3"/>
      <c r="AW52" s="153"/>
    </row>
    <row r="53" spans="1:49" ht="18" customHeight="1" x14ac:dyDescent="0.2">
      <c r="A53" s="23" t="s">
        <v>4</v>
      </c>
      <c r="B53" s="23"/>
      <c r="C53" s="102" t="s">
        <v>32</v>
      </c>
      <c r="D53" s="187"/>
      <c r="E53" s="102"/>
      <c r="F53" s="103"/>
      <c r="G53" s="1"/>
      <c r="H53" s="104"/>
      <c r="I53" s="105"/>
      <c r="J53" s="188"/>
      <c r="K53" s="73"/>
      <c r="L53" s="74"/>
      <c r="M53" s="2"/>
      <c r="O53" s="152"/>
      <c r="P53" s="154">
        <v>12.5</v>
      </c>
      <c r="Q53" s="154"/>
      <c r="R53" s="152"/>
      <c r="S53" s="152"/>
      <c r="T53" s="152"/>
      <c r="U53" s="152"/>
      <c r="V53" s="152"/>
      <c r="W53" s="152"/>
      <c r="X53" s="152"/>
      <c r="Y53" s="163"/>
      <c r="Z53" s="790" t="s">
        <v>75</v>
      </c>
      <c r="AA53" s="791" t="s">
        <v>76</v>
      </c>
      <c r="AB53" s="790" t="s">
        <v>77</v>
      </c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3"/>
      <c r="AW53" s="153"/>
    </row>
    <row r="54" spans="1:49" x14ac:dyDescent="0.2">
      <c r="A54" s="75"/>
      <c r="B54" s="75"/>
      <c r="C54" s="189"/>
      <c r="D54" s="1"/>
      <c r="E54" s="76"/>
      <c r="F54" s="76"/>
      <c r="G54" s="1"/>
      <c r="H54" s="1"/>
      <c r="I54" s="1"/>
      <c r="J54" s="1"/>
      <c r="K54" s="1"/>
      <c r="L54" s="1"/>
      <c r="M54" s="18"/>
      <c r="O54" s="152">
        <v>3</v>
      </c>
      <c r="P54" s="152" t="s">
        <v>66</v>
      </c>
      <c r="Q54" s="152"/>
      <c r="R54" s="152"/>
      <c r="S54" s="152"/>
      <c r="T54" s="152"/>
      <c r="U54" s="152"/>
      <c r="V54" s="152"/>
      <c r="W54" s="152"/>
      <c r="X54" s="152"/>
      <c r="Y54" s="163"/>
      <c r="Z54" s="790"/>
      <c r="AA54" s="791"/>
      <c r="AB54" s="790"/>
      <c r="AC54" s="152"/>
      <c r="AD54" s="152"/>
      <c r="AE54" s="152"/>
      <c r="AF54" s="152"/>
      <c r="AG54" s="152"/>
      <c r="AH54" s="152"/>
      <c r="AI54" s="152"/>
      <c r="AJ54" s="152"/>
      <c r="AK54" s="167">
        <v>37.5</v>
      </c>
      <c r="AL54" s="167">
        <v>37.51</v>
      </c>
      <c r="AM54" s="167">
        <v>25</v>
      </c>
      <c r="AN54" s="167">
        <v>25.01</v>
      </c>
      <c r="AO54" s="167">
        <v>19</v>
      </c>
      <c r="AP54" s="167">
        <v>19.010000000000002</v>
      </c>
      <c r="AQ54" s="167">
        <v>12.5</v>
      </c>
      <c r="AR54" s="167">
        <v>12.51</v>
      </c>
      <c r="AS54" s="168">
        <v>9.5</v>
      </c>
      <c r="AT54" s="168">
        <v>9.51</v>
      </c>
      <c r="AU54" s="168">
        <v>4.75</v>
      </c>
      <c r="AV54" s="169">
        <v>4.76</v>
      </c>
      <c r="AW54" s="153"/>
    </row>
    <row r="55" spans="1:49" ht="15" x14ac:dyDescent="0.25">
      <c r="A55" s="77"/>
      <c r="B55" s="78" t="e">
        <f>VLOOKUP(L8,#REF!,40)</f>
        <v>#REF!</v>
      </c>
      <c r="C55" s="79"/>
      <c r="D55" s="80"/>
      <c r="E55" s="80"/>
      <c r="F55" s="81"/>
      <c r="G55" s="194" t="s">
        <v>94</v>
      </c>
      <c r="H55" s="83" t="e">
        <f>IF(O41=" "," ",VLOOKUP(O41,#REF!,16))</f>
        <v>#REF!</v>
      </c>
      <c r="I55" s="82"/>
      <c r="J55" s="82"/>
      <c r="K55" s="82"/>
      <c r="L55" s="82"/>
      <c r="M55" s="18"/>
      <c r="O55"/>
      <c r="P55" s="797" t="s">
        <v>67</v>
      </c>
      <c r="Q55" s="797"/>
      <c r="R55" s="797"/>
      <c r="S55" s="797"/>
      <c r="T55" s="797"/>
      <c r="U55" s="797"/>
      <c r="V55" s="152"/>
      <c r="W55" s="152"/>
      <c r="X55" s="152"/>
      <c r="Y55" s="163"/>
      <c r="Z55" s="790"/>
      <c r="AA55" s="791"/>
      <c r="AB55" s="790"/>
      <c r="AC55" s="152"/>
      <c r="AD55" s="152"/>
      <c r="AE55" s="792" t="s">
        <v>78</v>
      </c>
      <c r="AF55" s="793"/>
      <c r="AG55" s="793"/>
      <c r="AH55" s="793"/>
      <c r="AI55" s="794"/>
      <c r="AJ55" s="170" t="s">
        <v>79</v>
      </c>
      <c r="AK55" s="171">
        <v>0.8</v>
      </c>
      <c r="AL55" s="172">
        <v>0.95</v>
      </c>
      <c r="AM55" s="171">
        <v>0.7</v>
      </c>
      <c r="AN55" s="172">
        <v>0.85</v>
      </c>
      <c r="AO55" s="171">
        <v>0.6</v>
      </c>
      <c r="AP55" s="172">
        <v>0.75</v>
      </c>
      <c r="AQ55" s="171">
        <v>0.5</v>
      </c>
      <c r="AR55" s="172">
        <v>0.65</v>
      </c>
      <c r="AS55" s="171">
        <v>0.4</v>
      </c>
      <c r="AT55" s="172">
        <v>0.55000000000000004</v>
      </c>
      <c r="AU55" s="171">
        <v>0.3</v>
      </c>
      <c r="AV55" s="172">
        <v>0.45</v>
      </c>
      <c r="AW55" s="153"/>
    </row>
    <row r="56" spans="1:49" ht="15" x14ac:dyDescent="0.25">
      <c r="A56" s="84"/>
      <c r="B56" s="84"/>
      <c r="C56" s="85"/>
      <c r="D56" s="86"/>
      <c r="E56" s="86"/>
      <c r="F56" s="87"/>
      <c r="G56" s="18"/>
      <c r="H56" s="18"/>
      <c r="I56" s="18"/>
      <c r="J56" s="18"/>
      <c r="K56" s="18"/>
      <c r="L56" s="18"/>
      <c r="O56"/>
      <c r="P56" s="798" t="s">
        <v>68</v>
      </c>
      <c r="Q56" s="798"/>
      <c r="R56" s="798"/>
      <c r="S56" s="798"/>
      <c r="T56" s="798"/>
      <c r="U56" s="798"/>
      <c r="V56" s="152"/>
      <c r="W56" s="152"/>
      <c r="X56" s="152"/>
      <c r="Y56" s="159"/>
      <c r="Z56" s="156" t="s">
        <v>69</v>
      </c>
      <c r="AA56" s="165">
        <f>HLOOKUP($P$53,$P$57:$U$61,2,FALSE)</f>
        <v>4.75</v>
      </c>
      <c r="AB56" s="179" t="e">
        <f>AA20</f>
        <v>#REF!</v>
      </c>
      <c r="AC56" s="152"/>
      <c r="AD56" s="152"/>
      <c r="AE56" s="795" t="s">
        <v>80</v>
      </c>
      <c r="AF56" s="795"/>
      <c r="AG56" s="795"/>
      <c r="AH56" s="795"/>
      <c r="AI56" s="795"/>
      <c r="AJ56" s="170" t="s">
        <v>81</v>
      </c>
      <c r="AK56" s="171">
        <v>0.35</v>
      </c>
      <c r="AL56" s="172">
        <v>0.5</v>
      </c>
      <c r="AM56" s="171">
        <v>0.35</v>
      </c>
      <c r="AN56" s="172">
        <v>0.5</v>
      </c>
      <c r="AO56" s="171">
        <v>0.35</v>
      </c>
      <c r="AP56" s="172">
        <v>0.5</v>
      </c>
      <c r="AQ56" s="171">
        <v>0.35</v>
      </c>
      <c r="AR56" s="172">
        <v>0.5</v>
      </c>
      <c r="AS56" s="171">
        <v>0.35</v>
      </c>
      <c r="AT56" s="172">
        <v>0.5</v>
      </c>
      <c r="AU56" s="171">
        <v>0.35</v>
      </c>
      <c r="AV56" s="172">
        <v>0.5</v>
      </c>
      <c r="AW56" s="153"/>
    </row>
    <row r="57" spans="1:49" ht="15" x14ac:dyDescent="0.25">
      <c r="B57" s="88" t="s">
        <v>48</v>
      </c>
      <c r="C57" s="89"/>
      <c r="D57" s="89"/>
      <c r="E57" s="2"/>
      <c r="H57" s="2"/>
      <c r="I57" s="23" t="s">
        <v>49</v>
      </c>
      <c r="J57" s="89"/>
      <c r="K57" s="89"/>
      <c r="O57"/>
      <c r="P57" s="155">
        <v>37.5</v>
      </c>
      <c r="Q57" s="155">
        <v>25</v>
      </c>
      <c r="R57" s="155">
        <v>19</v>
      </c>
      <c r="S57" s="155">
        <v>12.5</v>
      </c>
      <c r="T57" s="155">
        <v>9.5</v>
      </c>
      <c r="U57" s="155">
        <v>4.75</v>
      </c>
      <c r="V57" s="152"/>
      <c r="W57" s="152"/>
      <c r="X57" s="152"/>
      <c r="Y57" s="159"/>
      <c r="Z57" s="156" t="s">
        <v>70</v>
      </c>
      <c r="AA57" s="165">
        <f>HLOOKUP($P$53,$P$57:$U$61,3,FALSE)</f>
        <v>2.36</v>
      </c>
      <c r="AB57" s="179" t="e">
        <f>AA21</f>
        <v>#REF!</v>
      </c>
      <c r="AC57" s="152"/>
      <c r="AD57" s="152"/>
      <c r="AE57" s="795" t="s">
        <v>82</v>
      </c>
      <c r="AF57" s="795"/>
      <c r="AG57" s="795"/>
      <c r="AH57" s="795"/>
      <c r="AI57" s="795"/>
      <c r="AJ57" s="170" t="s">
        <v>83</v>
      </c>
      <c r="AK57" s="171">
        <v>0.35</v>
      </c>
      <c r="AL57" s="172">
        <v>0.5</v>
      </c>
      <c r="AM57" s="171">
        <v>0.35</v>
      </c>
      <c r="AN57" s="172">
        <v>0.5</v>
      </c>
      <c r="AO57" s="171">
        <v>0.35</v>
      </c>
      <c r="AP57" s="172">
        <v>0.5</v>
      </c>
      <c r="AQ57" s="171">
        <v>0.35</v>
      </c>
      <c r="AR57" s="172">
        <v>0.5</v>
      </c>
      <c r="AS57" s="171">
        <v>0.35</v>
      </c>
      <c r="AT57" s="172">
        <v>0.5</v>
      </c>
      <c r="AU57" s="171">
        <v>0.35</v>
      </c>
      <c r="AV57" s="172">
        <v>0.5</v>
      </c>
      <c r="AW57" s="153"/>
    </row>
    <row r="58" spans="1:49" ht="15" x14ac:dyDescent="0.25">
      <c r="B58" s="90" t="s">
        <v>103</v>
      </c>
      <c r="C58" s="91"/>
      <c r="D58" s="91"/>
      <c r="E58" s="91"/>
      <c r="H58" s="92"/>
      <c r="I58" s="91" t="s">
        <v>95</v>
      </c>
      <c r="O58" s="156" t="s">
        <v>69</v>
      </c>
      <c r="P58" s="157">
        <v>19</v>
      </c>
      <c r="Q58" s="157">
        <v>12.5</v>
      </c>
      <c r="R58" s="157">
        <v>9.5</v>
      </c>
      <c r="S58" s="158">
        <v>4.75</v>
      </c>
      <c r="T58" s="157">
        <v>4.75</v>
      </c>
      <c r="U58" s="157">
        <v>2.36</v>
      </c>
      <c r="V58" s="152"/>
      <c r="W58" s="152"/>
      <c r="X58" s="152"/>
      <c r="Y58" s="166"/>
      <c r="Z58" s="156" t="s">
        <v>71</v>
      </c>
      <c r="AA58" s="165">
        <f>HLOOKUP($P$53,$P$57:$U$61,4,FALSE)</f>
        <v>0.6</v>
      </c>
      <c r="AB58" s="179" t="e">
        <f>AA22</f>
        <v>#REF!</v>
      </c>
      <c r="AC58" s="152"/>
      <c r="AD58" s="152"/>
      <c r="AE58" s="152"/>
      <c r="AF58" s="152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</row>
    <row r="59" spans="1:49" ht="15" x14ac:dyDescent="0.25">
      <c r="B59" s="94" t="s">
        <v>104</v>
      </c>
      <c r="C59" s="93"/>
      <c r="D59" s="93"/>
      <c r="E59" s="91"/>
      <c r="H59" s="93"/>
      <c r="I59" s="94" t="s">
        <v>96</v>
      </c>
      <c r="O59" s="156" t="s">
        <v>70</v>
      </c>
      <c r="P59" s="157">
        <v>9.5</v>
      </c>
      <c r="Q59" s="157">
        <v>4.75</v>
      </c>
      <c r="R59" s="157">
        <v>4.75</v>
      </c>
      <c r="S59" s="157">
        <v>2.36</v>
      </c>
      <c r="T59" s="157">
        <v>2.36</v>
      </c>
      <c r="U59" s="157">
        <v>1.18</v>
      </c>
      <c r="V59" s="152"/>
      <c r="W59" s="152"/>
      <c r="X59" s="152"/>
      <c r="Y59" s="152"/>
      <c r="Z59" s="156" t="s">
        <v>72</v>
      </c>
      <c r="AA59" s="165">
        <f>HLOOKUP($P$53,$P$57:$U$61,5,FALSE)</f>
        <v>0.15</v>
      </c>
      <c r="AB59" s="179" t="e">
        <f>AA23</f>
        <v>#REF!</v>
      </c>
      <c r="AC59" s="152"/>
      <c r="AD59" s="152"/>
      <c r="AE59" s="152"/>
      <c r="AF59" s="152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</row>
    <row r="60" spans="1:49" ht="15" x14ac:dyDescent="0.25">
      <c r="O60" s="156" t="s">
        <v>71</v>
      </c>
      <c r="P60" s="157">
        <v>2.36</v>
      </c>
      <c r="Q60" s="157">
        <v>1.18</v>
      </c>
      <c r="R60" s="157">
        <v>1.18</v>
      </c>
      <c r="S60" s="157">
        <v>0.6</v>
      </c>
      <c r="T60" s="157">
        <v>0.6</v>
      </c>
      <c r="U60" s="157">
        <v>0.3</v>
      </c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</row>
    <row r="61" spans="1:49" ht="15" x14ac:dyDescent="0.25">
      <c r="O61" s="156" t="s">
        <v>72</v>
      </c>
      <c r="P61" s="157">
        <v>0.6</v>
      </c>
      <c r="Q61" s="157">
        <v>0.3</v>
      </c>
      <c r="R61" s="157">
        <v>0.3</v>
      </c>
      <c r="S61" s="157">
        <v>0.15</v>
      </c>
      <c r="T61" s="157">
        <v>0.15</v>
      </c>
      <c r="U61" s="157">
        <v>7.4999999999999997E-2</v>
      </c>
      <c r="V61" s="159"/>
      <c r="W61" s="159"/>
      <c r="X61" s="789"/>
      <c r="Y61" s="789"/>
      <c r="Z61" s="789"/>
      <c r="AA61" s="789"/>
      <c r="AB61" s="789"/>
      <c r="AC61" s="789"/>
      <c r="AD61" s="789"/>
      <c r="AE61" s="789"/>
      <c r="AF61" s="789"/>
      <c r="AG61" s="160"/>
      <c r="AH61" s="153"/>
      <c r="AI61" s="153"/>
      <c r="AJ61" s="153"/>
      <c r="AK61" s="153"/>
      <c r="AL61" s="153"/>
      <c r="AM61" s="153"/>
      <c r="AN61" s="153"/>
      <c r="AO61" s="153"/>
      <c r="AP61" s="153"/>
    </row>
    <row r="62" spans="1:49" x14ac:dyDescent="0.2">
      <c r="O62" s="161" t="s">
        <v>73</v>
      </c>
      <c r="P62" s="162"/>
      <c r="Q62" s="162"/>
      <c r="R62" s="162"/>
      <c r="S62" s="162"/>
      <c r="T62" s="162"/>
      <c r="U62" s="162"/>
      <c r="V62" s="159"/>
      <c r="W62" s="159"/>
      <c r="X62" s="789"/>
      <c r="Y62" s="789"/>
      <c r="Z62" s="789"/>
      <c r="AA62" s="789"/>
      <c r="AB62" s="789"/>
      <c r="AC62" s="789"/>
      <c r="AD62" s="789"/>
      <c r="AE62" s="789"/>
      <c r="AF62" s="789"/>
      <c r="AG62" s="160"/>
      <c r="AH62" s="153"/>
      <c r="AI62" s="152"/>
      <c r="AJ62" s="153"/>
      <c r="AK62" s="153"/>
      <c r="AL62" s="153"/>
      <c r="AM62" s="153"/>
      <c r="AN62" s="153"/>
      <c r="AO62" s="153"/>
      <c r="AP62" s="153"/>
    </row>
    <row r="63" spans="1:49" x14ac:dyDescent="0.2">
      <c r="O63" s="163"/>
      <c r="P63" s="163"/>
      <c r="Q63" s="163"/>
      <c r="R63" s="789"/>
      <c r="S63" s="789"/>
      <c r="T63" s="789"/>
      <c r="U63" s="789"/>
      <c r="V63" s="789"/>
      <c r="W63" s="789"/>
      <c r="X63" s="789"/>
      <c r="Y63" s="789"/>
      <c r="Z63" s="789"/>
      <c r="AA63" s="789"/>
      <c r="AB63" s="789"/>
      <c r="AC63" s="789"/>
      <c r="AD63" s="789"/>
      <c r="AE63" s="789"/>
      <c r="AF63" s="789"/>
      <c r="AG63" s="160"/>
      <c r="AH63" s="153"/>
      <c r="AI63" s="152"/>
      <c r="AJ63" s="153"/>
      <c r="AK63" s="153"/>
      <c r="AL63" s="153"/>
      <c r="AM63" s="153"/>
      <c r="AN63" s="153"/>
      <c r="AO63" s="153"/>
      <c r="AP63" s="153"/>
    </row>
    <row r="64" spans="1:49" x14ac:dyDescent="0.2">
      <c r="O64" s="152">
        <v>6</v>
      </c>
      <c r="P64" s="152" t="s">
        <v>84</v>
      </c>
      <c r="Q64" s="152"/>
      <c r="S64" s="152"/>
      <c r="T64" s="152"/>
      <c r="U64" s="152"/>
      <c r="V64" s="152"/>
      <c r="W64" s="152"/>
      <c r="X64" s="789"/>
      <c r="Y64" s="789"/>
      <c r="Z64" s="789"/>
      <c r="AA64" s="789"/>
      <c r="AB64" s="789"/>
      <c r="AC64" s="789"/>
      <c r="AD64" s="789"/>
      <c r="AE64" s="789"/>
      <c r="AF64" s="789"/>
      <c r="AG64" s="160"/>
      <c r="AH64" s="152"/>
      <c r="AI64" s="152"/>
      <c r="AJ64" s="152"/>
      <c r="AK64" s="152"/>
      <c r="AL64" s="152"/>
      <c r="AM64" s="153"/>
      <c r="AN64" s="153"/>
      <c r="AO64" s="153"/>
      <c r="AP64" s="153"/>
    </row>
    <row r="65" spans="15:42" x14ac:dyDescent="0.2"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9"/>
      <c r="AF65" s="159"/>
      <c r="AG65" s="160"/>
      <c r="AH65" s="152"/>
      <c r="AI65" s="152"/>
      <c r="AJ65" s="152"/>
      <c r="AK65" s="152"/>
      <c r="AL65" s="152"/>
      <c r="AM65" s="153"/>
      <c r="AN65" s="153"/>
      <c r="AO65" s="153"/>
      <c r="AP65" s="153"/>
    </row>
    <row r="66" spans="15:42" x14ac:dyDescent="0.2"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9"/>
      <c r="AF66" s="159"/>
      <c r="AG66" s="160"/>
      <c r="AH66" s="152"/>
      <c r="AI66" s="152"/>
      <c r="AJ66" s="152"/>
      <c r="AK66" s="152"/>
      <c r="AL66" s="152"/>
      <c r="AM66" s="153"/>
      <c r="AN66" s="164"/>
      <c r="AO66" s="153"/>
      <c r="AP66" s="153"/>
    </row>
    <row r="67" spans="15:42" ht="15" x14ac:dyDescent="0.25">
      <c r="P67" s="180" t="s">
        <v>85</v>
      </c>
      <c r="Q67" s="181"/>
      <c r="R67" s="181"/>
      <c r="S67" s="181"/>
      <c r="T67" s="181"/>
      <c r="U67" s="182"/>
      <c r="V67" s="800" t="s">
        <v>86</v>
      </c>
      <c r="W67" s="801"/>
      <c r="X67" s="797" t="s">
        <v>87</v>
      </c>
      <c r="Y67" s="797"/>
      <c r="Z67" s="173"/>
      <c r="AA67" s="152"/>
      <c r="AB67" s="152"/>
      <c r="AC67" s="152"/>
      <c r="AD67" s="152"/>
      <c r="AE67" s="152"/>
      <c r="AF67" s="152"/>
      <c r="AG67" s="160"/>
      <c r="AH67" s="152"/>
      <c r="AI67" s="152"/>
      <c r="AJ67" s="152"/>
      <c r="AK67" s="152"/>
      <c r="AL67" s="152"/>
      <c r="AM67" s="153"/>
      <c r="AN67" s="153"/>
      <c r="AO67" s="153"/>
      <c r="AP67" s="153"/>
    </row>
    <row r="68" spans="15:42" x14ac:dyDescent="0.2">
      <c r="P68" s="792" t="s">
        <v>78</v>
      </c>
      <c r="Q68" s="793"/>
      <c r="R68" s="793"/>
      <c r="S68" s="793"/>
      <c r="T68" s="794"/>
      <c r="U68" s="165" t="s">
        <v>79</v>
      </c>
      <c r="V68" s="171">
        <f>HLOOKUP($P$53,$AK$54:$AV$57,2,FALSE)</f>
        <v>0.5</v>
      </c>
      <c r="W68" s="172">
        <f>HLOOKUP($P$53+0.01,$AK$54:$AV$57,2,FALSE)</f>
        <v>0.65</v>
      </c>
      <c r="X68" s="799" t="e">
        <f>(AB56-AB57)/(100-AB56)</f>
        <v>#REF!</v>
      </c>
      <c r="Y68" s="799"/>
      <c r="Z68" s="174" t="e">
        <f>IF(X68&gt;V68,IF(X68&gt;W68,"No Cumple","Si Cumple"),"No Cumple")</f>
        <v>#REF!</v>
      </c>
      <c r="AA68" s="152"/>
      <c r="AB68" s="175"/>
      <c r="AC68" s="152"/>
      <c r="AD68" s="152"/>
      <c r="AE68" s="152"/>
      <c r="AF68" s="152"/>
      <c r="AG68" s="160"/>
      <c r="AH68" s="152"/>
      <c r="AI68" s="152"/>
      <c r="AJ68" s="152"/>
      <c r="AK68" s="152"/>
      <c r="AL68" s="152"/>
      <c r="AM68" s="153"/>
      <c r="AN68" s="153"/>
      <c r="AO68" s="153"/>
      <c r="AP68" s="153"/>
    </row>
    <row r="69" spans="15:42" x14ac:dyDescent="0.2">
      <c r="P69" s="795" t="s">
        <v>80</v>
      </c>
      <c r="Q69" s="795"/>
      <c r="R69" s="795"/>
      <c r="S69" s="795"/>
      <c r="T69" s="795"/>
      <c r="U69" s="165" t="s">
        <v>81</v>
      </c>
      <c r="V69" s="171">
        <f>HLOOKUP($P$53,$AK$54:$AV$57,3,FALSE)</f>
        <v>0.35</v>
      </c>
      <c r="W69" s="172">
        <f>HLOOKUP($P$53+0.01,$AK$54:$AV$57,3,FALSE)</f>
        <v>0.5</v>
      </c>
      <c r="X69" s="799" t="e">
        <f>AB58/AB57</f>
        <v>#REF!</v>
      </c>
      <c r="Y69" s="799"/>
      <c r="Z69" s="174" t="e">
        <f>IF(X69&gt;V69,IF(X69&gt;W69,"No Cumple","Si Cumple"),"No Cumple")</f>
        <v>#REF!</v>
      </c>
      <c r="AA69" s="152"/>
      <c r="AB69" s="175"/>
      <c r="AC69" s="152"/>
      <c r="AD69" s="152"/>
      <c r="AE69" s="152"/>
      <c r="AF69" s="152"/>
      <c r="AG69" s="160"/>
      <c r="AH69" s="152"/>
      <c r="AI69" s="152"/>
      <c r="AJ69" s="152"/>
      <c r="AK69" s="152"/>
      <c r="AL69" s="152"/>
      <c r="AM69" s="153"/>
      <c r="AN69" s="153"/>
      <c r="AO69" s="153"/>
      <c r="AP69" s="153"/>
    </row>
    <row r="70" spans="15:42" x14ac:dyDescent="0.2">
      <c r="P70" s="795" t="s">
        <v>82</v>
      </c>
      <c r="Q70" s="795"/>
      <c r="R70" s="795"/>
      <c r="S70" s="795"/>
      <c r="T70" s="795"/>
      <c r="U70" s="165" t="s">
        <v>83</v>
      </c>
      <c r="V70" s="171">
        <f>HLOOKUP($P$53,$AK$54:$AV$57,4,FALSE)</f>
        <v>0.35</v>
      </c>
      <c r="W70" s="172">
        <f>HLOOKUP($P$53+0.01,$AK$54:$AV$57,4,FALSE)</f>
        <v>0.5</v>
      </c>
      <c r="X70" s="799" t="e">
        <f>AB59/AB58</f>
        <v>#REF!</v>
      </c>
      <c r="Y70" s="799"/>
      <c r="Z70" s="174" t="e">
        <f>IF(X70&gt;V70,IF(X70&gt;W70,"No Cumple","Si Cumple"),"No Cumple")</f>
        <v>#REF!</v>
      </c>
      <c r="AA70" s="152"/>
      <c r="AB70" s="175"/>
      <c r="AC70" s="152"/>
      <c r="AD70" s="152"/>
      <c r="AE70" s="152"/>
      <c r="AF70" s="152"/>
      <c r="AG70" s="160"/>
      <c r="AH70" s="152"/>
      <c r="AI70" s="152"/>
      <c r="AJ70" s="152"/>
      <c r="AK70" s="152"/>
      <c r="AL70" s="152"/>
      <c r="AM70" s="153"/>
      <c r="AN70" s="153"/>
      <c r="AO70" s="153"/>
      <c r="AP70" s="153"/>
    </row>
    <row r="71" spans="15:42" x14ac:dyDescent="0.2"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60"/>
      <c r="AH71" s="152"/>
      <c r="AI71" s="152"/>
      <c r="AJ71" s="152"/>
      <c r="AK71" s="152"/>
      <c r="AL71" s="152"/>
      <c r="AM71" s="153"/>
      <c r="AN71" s="153"/>
      <c r="AO71" s="153"/>
      <c r="AP71" s="153"/>
    </row>
    <row r="72" spans="15:42" x14ac:dyDescent="0.2">
      <c r="AE72" s="152"/>
      <c r="AF72" s="152"/>
      <c r="AG72" s="153"/>
      <c r="AH72" s="153"/>
      <c r="AI72" s="153"/>
      <c r="AJ72" s="153"/>
      <c r="AK72" s="153"/>
      <c r="AL72" s="152"/>
      <c r="AM72" s="153"/>
      <c r="AN72" s="153"/>
      <c r="AO72" s="153"/>
      <c r="AP72" s="153"/>
    </row>
    <row r="73" spans="15:42" x14ac:dyDescent="0.2"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3"/>
      <c r="AH73" s="153"/>
      <c r="AI73" s="153"/>
      <c r="AJ73" s="153"/>
      <c r="AK73" s="153"/>
      <c r="AL73" s="152"/>
      <c r="AM73" s="153"/>
      <c r="AN73" s="153"/>
      <c r="AO73" s="153"/>
      <c r="AP73" s="153"/>
    </row>
    <row r="74" spans="15:42" x14ac:dyDescent="0.2"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</row>
    <row r="75" spans="15:42" x14ac:dyDescent="0.2">
      <c r="AI75" s="153"/>
      <c r="AJ75" s="153"/>
      <c r="AK75" s="153"/>
      <c r="AL75" s="153"/>
      <c r="AM75" s="153"/>
      <c r="AN75" s="153"/>
      <c r="AO75" s="153"/>
      <c r="AP75" s="153"/>
    </row>
    <row r="76" spans="15:42" x14ac:dyDescent="0.2">
      <c r="AI76" s="153"/>
      <c r="AJ76" s="153"/>
      <c r="AK76" s="153"/>
      <c r="AL76" s="153"/>
      <c r="AM76" s="153"/>
      <c r="AN76" s="153"/>
      <c r="AO76" s="153"/>
      <c r="AP76" s="153"/>
    </row>
    <row r="77" spans="15:42" x14ac:dyDescent="0.2">
      <c r="AI77" s="153"/>
      <c r="AJ77" s="153"/>
      <c r="AK77" s="153"/>
      <c r="AL77" s="153"/>
      <c r="AM77" s="153"/>
      <c r="AN77" s="153"/>
      <c r="AO77" s="153"/>
      <c r="AP77" s="153"/>
    </row>
    <row r="78" spans="15:42" x14ac:dyDescent="0.2">
      <c r="AI78" s="153"/>
      <c r="AJ78" s="153"/>
      <c r="AK78" s="153"/>
      <c r="AL78" s="153"/>
      <c r="AM78" s="153"/>
      <c r="AN78" s="153"/>
      <c r="AO78" s="153"/>
      <c r="AP78" s="153"/>
    </row>
    <row r="79" spans="15:42" x14ac:dyDescent="0.2">
      <c r="AI79" s="153"/>
      <c r="AJ79" s="153"/>
      <c r="AK79" s="153"/>
      <c r="AL79" s="153"/>
      <c r="AM79" s="153"/>
      <c r="AN79" s="153"/>
      <c r="AO79" s="153"/>
      <c r="AP79" s="153"/>
    </row>
    <row r="80" spans="15:42" x14ac:dyDescent="0.2">
      <c r="AI80" s="153"/>
      <c r="AJ80" s="153"/>
      <c r="AK80" s="153"/>
      <c r="AL80" s="153"/>
      <c r="AM80" s="153"/>
      <c r="AN80" s="153"/>
      <c r="AO80" s="152"/>
      <c r="AP80" s="152"/>
    </row>
    <row r="81" spans="15:42" x14ac:dyDescent="0.2"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3"/>
      <c r="AH81" s="153"/>
      <c r="AI81" s="153"/>
      <c r="AJ81" s="153"/>
      <c r="AK81" s="153"/>
      <c r="AL81" s="153"/>
      <c r="AM81" s="153"/>
      <c r="AN81" s="153"/>
      <c r="AO81" s="152"/>
      <c r="AP81" s="152"/>
    </row>
    <row r="82" spans="15:42" x14ac:dyDescent="0.2"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3"/>
      <c r="AH82" s="153"/>
      <c r="AI82" s="153"/>
      <c r="AJ82" s="153"/>
      <c r="AK82" s="153"/>
      <c r="AL82" s="153"/>
      <c r="AM82" s="153"/>
      <c r="AN82" s="153"/>
      <c r="AO82" s="152"/>
      <c r="AP82" s="152"/>
    </row>
    <row r="83" spans="15:42" x14ac:dyDescent="0.2"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3"/>
      <c r="AH83" s="153"/>
      <c r="AI83" s="153"/>
      <c r="AJ83" s="153"/>
      <c r="AK83" s="153"/>
      <c r="AL83" s="153"/>
      <c r="AM83" s="153"/>
      <c r="AN83" s="153"/>
      <c r="AO83" s="152"/>
      <c r="AP83" s="152"/>
    </row>
    <row r="84" spans="15:42" x14ac:dyDescent="0.2"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3"/>
      <c r="AH84" s="153"/>
      <c r="AI84" s="153"/>
      <c r="AJ84" s="153"/>
      <c r="AK84" s="153"/>
      <c r="AL84" s="153"/>
      <c r="AM84" s="153"/>
      <c r="AN84" s="153"/>
      <c r="AO84" s="152"/>
      <c r="AP84" s="152"/>
    </row>
    <row r="85" spans="15:42" x14ac:dyDescent="0.2"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3"/>
      <c r="AH85" s="153"/>
      <c r="AI85" s="153"/>
      <c r="AJ85" s="153"/>
      <c r="AK85" s="153"/>
      <c r="AL85" s="153"/>
      <c r="AM85" s="153"/>
      <c r="AN85" s="153"/>
      <c r="AO85" s="152"/>
      <c r="AP85" s="152"/>
    </row>
    <row r="86" spans="15:42" x14ac:dyDescent="0.2">
      <c r="O86" s="152"/>
      <c r="AE86" s="152"/>
      <c r="AF86" s="152"/>
      <c r="AG86" s="153"/>
      <c r="AH86" s="153"/>
      <c r="AI86" s="153"/>
      <c r="AJ86" s="153"/>
      <c r="AK86" s="153"/>
      <c r="AL86" s="153"/>
      <c r="AM86" s="153"/>
      <c r="AN86" s="153"/>
      <c r="AO86" s="152"/>
      <c r="AP86" s="152"/>
    </row>
    <row r="87" spans="15:42" x14ac:dyDescent="0.2">
      <c r="O87" s="152"/>
      <c r="AE87" s="152"/>
      <c r="AF87" s="152"/>
      <c r="AG87" s="153"/>
      <c r="AH87" s="153"/>
      <c r="AI87" s="153"/>
      <c r="AJ87" s="153"/>
      <c r="AK87" s="153"/>
      <c r="AL87" s="153"/>
      <c r="AM87" s="153"/>
      <c r="AN87" s="153"/>
      <c r="AO87" s="152"/>
      <c r="AP87" s="152"/>
    </row>
    <row r="88" spans="15:42" x14ac:dyDescent="0.2">
      <c r="O88" s="152"/>
      <c r="AE88" s="152"/>
      <c r="AF88" s="152"/>
      <c r="AG88" s="153"/>
      <c r="AH88" s="153"/>
      <c r="AI88" s="153"/>
      <c r="AJ88" s="153"/>
      <c r="AK88" s="153"/>
      <c r="AL88" s="153"/>
      <c r="AM88" s="153"/>
      <c r="AN88" s="153"/>
      <c r="AO88" s="152"/>
      <c r="AP88" s="152"/>
    </row>
    <row r="89" spans="15:42" x14ac:dyDescent="0.2">
      <c r="O89" s="152"/>
      <c r="AE89" s="152"/>
      <c r="AF89" s="152"/>
      <c r="AG89" s="153"/>
      <c r="AH89" s="153"/>
      <c r="AI89" s="153"/>
      <c r="AJ89" s="153"/>
      <c r="AK89" s="153"/>
      <c r="AL89" s="153"/>
      <c r="AM89" s="176"/>
      <c r="AN89" s="153"/>
      <c r="AO89" s="152"/>
      <c r="AP89" s="152"/>
    </row>
    <row r="90" spans="15:42" x14ac:dyDescent="0.2">
      <c r="O90" s="152"/>
      <c r="AE90" s="152"/>
      <c r="AF90" s="152"/>
      <c r="AG90" s="153"/>
      <c r="AH90" s="153"/>
      <c r="AI90" s="153"/>
      <c r="AJ90" s="153"/>
      <c r="AK90" s="153"/>
      <c r="AL90" s="153"/>
      <c r="AM90" s="153"/>
      <c r="AN90" s="153"/>
      <c r="AO90" s="152"/>
      <c r="AP90" s="152"/>
    </row>
    <row r="91" spans="15:42" x14ac:dyDescent="0.2">
      <c r="O91" s="152"/>
      <c r="AE91" s="152"/>
      <c r="AF91" s="152"/>
      <c r="AG91" s="153"/>
      <c r="AH91" s="153"/>
      <c r="AI91" s="153"/>
      <c r="AJ91" s="153"/>
      <c r="AK91" s="153"/>
      <c r="AL91" s="153"/>
      <c r="AM91" s="153"/>
      <c r="AN91" s="153"/>
      <c r="AO91" s="152"/>
      <c r="AP91" s="152"/>
    </row>
    <row r="92" spans="15:42" x14ac:dyDescent="0.2">
      <c r="O92" s="152"/>
      <c r="AE92" s="152"/>
      <c r="AF92" s="152"/>
      <c r="AG92" s="153"/>
      <c r="AH92" s="153"/>
      <c r="AI92" s="153"/>
      <c r="AJ92" s="153"/>
      <c r="AK92" s="153"/>
      <c r="AL92" s="153"/>
      <c r="AM92" s="176"/>
      <c r="AN92" s="153"/>
      <c r="AO92" s="152"/>
      <c r="AP92" s="152"/>
    </row>
    <row r="775" spans="1:1" x14ac:dyDescent="0.2">
      <c r="A775" s="7">
        <v>7</v>
      </c>
    </row>
  </sheetData>
  <protectedRanges>
    <protectedRange sqref="L15 M14" name="Rango1"/>
    <protectedRange sqref="K2:K3" name="Rango1_1_1"/>
  </protectedRanges>
  <mergeCells count="81">
    <mergeCell ref="V67:W67"/>
    <mergeCell ref="X67:Y67"/>
    <mergeCell ref="P27:Q27"/>
    <mergeCell ref="R27:S27"/>
    <mergeCell ref="R28:S28"/>
    <mergeCell ref="R29:S29"/>
    <mergeCell ref="R30:S30"/>
    <mergeCell ref="R63:T63"/>
    <mergeCell ref="X64:Z64"/>
    <mergeCell ref="U63:W63"/>
    <mergeCell ref="X68:Y68"/>
    <mergeCell ref="P69:T69"/>
    <mergeCell ref="X69:Y69"/>
    <mergeCell ref="P70:T70"/>
    <mergeCell ref="X70:Y70"/>
    <mergeCell ref="P68:T68"/>
    <mergeCell ref="AA64:AC64"/>
    <mergeCell ref="AD64:AF64"/>
    <mergeCell ref="X62:Z62"/>
    <mergeCell ref="AA62:AC62"/>
    <mergeCell ref="AD62:AF62"/>
    <mergeCell ref="X63:Z63"/>
    <mergeCell ref="AA63:AC63"/>
    <mergeCell ref="AD63:AF63"/>
    <mergeCell ref="Z16:AB16"/>
    <mergeCell ref="P55:U55"/>
    <mergeCell ref="P56:U56"/>
    <mergeCell ref="X61:Z61"/>
    <mergeCell ref="AA61:AC61"/>
    <mergeCell ref="AD61:AF61"/>
    <mergeCell ref="Z53:Z55"/>
    <mergeCell ref="AA53:AA55"/>
    <mergeCell ref="AB53:AB55"/>
    <mergeCell ref="AE55:AI55"/>
    <mergeCell ref="AE56:AI56"/>
    <mergeCell ref="AE57:AI57"/>
    <mergeCell ref="O1:P1"/>
    <mergeCell ref="Q1:R1"/>
    <mergeCell ref="S1:T1"/>
    <mergeCell ref="J15:L15"/>
    <mergeCell ref="K1:L1"/>
    <mergeCell ref="A10:L10"/>
    <mergeCell ref="K2:L2"/>
    <mergeCell ref="A1:B4"/>
    <mergeCell ref="J3:J4"/>
    <mergeCell ref="K3:L4"/>
    <mergeCell ref="K5:L5"/>
    <mergeCell ref="I12:J12"/>
    <mergeCell ref="K12:L12"/>
    <mergeCell ref="B12:E12"/>
    <mergeCell ref="A11:B11"/>
    <mergeCell ref="A43:B43"/>
    <mergeCell ref="C43:D43"/>
    <mergeCell ref="A44:B44"/>
    <mergeCell ref="C44:D44"/>
    <mergeCell ref="C1:I4"/>
    <mergeCell ref="F15:H15"/>
    <mergeCell ref="A6:B6"/>
    <mergeCell ref="A5:B5"/>
    <mergeCell ref="A7:B7"/>
    <mergeCell ref="A8:B8"/>
    <mergeCell ref="A14:L14"/>
    <mergeCell ref="F12:H12"/>
    <mergeCell ref="J8:K8"/>
    <mergeCell ref="D11:E11"/>
    <mergeCell ref="G11:H11"/>
    <mergeCell ref="J11:K11"/>
    <mergeCell ref="A45:B45"/>
    <mergeCell ref="C45:D45"/>
    <mergeCell ref="A46:B46"/>
    <mergeCell ref="C46:D46"/>
    <mergeCell ref="A47:B47"/>
    <mergeCell ref="C47:D47"/>
    <mergeCell ref="A50:B50"/>
    <mergeCell ref="C50:D50"/>
    <mergeCell ref="A51:B51"/>
    <mergeCell ref="C51:D51"/>
    <mergeCell ref="A48:B48"/>
    <mergeCell ref="A49:B49"/>
    <mergeCell ref="C48:D48"/>
    <mergeCell ref="C49:D49"/>
  </mergeCells>
  <conditionalFormatting sqref="Q13">
    <cfRule type="cellIs" dxfId="0" priority="9" stopIfTrue="1" operator="notEqual">
      <formula>#REF!</formula>
    </cfRule>
  </conditionalFormatting>
  <printOptions horizontalCentered="1"/>
  <pageMargins left="0.47244094488188981" right="0.39370078740157483" top="0.70866141732283472" bottom="0.74803149606299213" header="0.55118110236220474" footer="0.62992125984251968"/>
  <pageSetup paperSize="9" scale="78" pageOrder="overThenDown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78233" r:id="rId4" name="Spinner 2329">
              <controlPr defaultSize="0" print="0" autoPict="0">
                <anchor moveWithCells="1">
                  <from>
                    <xdr:col>13</xdr:col>
                    <xdr:colOff>133350</xdr:colOff>
                    <xdr:row>6</xdr:row>
                    <xdr:rowOff>9525</xdr:rowOff>
                  </from>
                  <to>
                    <xdr:col>13</xdr:col>
                    <xdr:colOff>409575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84" r:id="rId5" name="Spinner 2880">
              <controlPr defaultSize="0" print="0" autoPict="0">
                <anchor moveWithCells="1">
                  <from>
                    <xdr:col>13</xdr:col>
                    <xdr:colOff>123825</xdr:colOff>
                    <xdr:row>30</xdr:row>
                    <xdr:rowOff>123825</xdr:rowOff>
                  </from>
                  <to>
                    <xdr:col>13</xdr:col>
                    <xdr:colOff>400050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85" r:id="rId6" name="Button 2881">
              <controlPr defaultSize="0" print="0" autoFill="0" autoPict="0" macro="[0]!Macro1">
                <anchor moveWithCells="1" sizeWithCells="1">
                  <from>
                    <xdr:col>13</xdr:col>
                    <xdr:colOff>161925</xdr:colOff>
                    <xdr:row>10</xdr:row>
                    <xdr:rowOff>104775</xdr:rowOff>
                  </from>
                  <to>
                    <xdr:col>16</xdr:col>
                    <xdr:colOff>190500</xdr:colOff>
                    <xdr:row>13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8</vt:i4>
      </vt:variant>
    </vt:vector>
  </HeadingPairs>
  <TitlesOfParts>
    <vt:vector size="13" baseType="lpstr">
      <vt:lpstr>MEZCLA EN FRIO</vt:lpstr>
      <vt:lpstr>TSR</vt:lpstr>
      <vt:lpstr>firmas</vt:lpstr>
      <vt:lpstr>Hoja1</vt:lpstr>
      <vt:lpstr>Formato</vt:lpstr>
      <vt:lpstr>aprobonombres</vt:lpstr>
      <vt:lpstr>Formato!Área_de_impresión</vt:lpstr>
      <vt:lpstr>'MEZCLA EN FRIO'!Área_de_impresión</vt:lpstr>
      <vt:lpstr>TSR!Área_de_impresión</vt:lpstr>
      <vt:lpstr>Elaboronombres</vt:lpstr>
      <vt:lpstr>Formato!muestra</vt:lpstr>
      <vt:lpstr>pruebanombres</vt:lpstr>
      <vt:lpstr>revisonombres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SISOOMC</dc:creator>
  <cp:lastModifiedBy>Karen Daniela Flórez Barón</cp:lastModifiedBy>
  <cp:lastPrinted>2021-11-17T18:48:52Z</cp:lastPrinted>
  <dcterms:created xsi:type="dcterms:W3CDTF">2011-04-13T16:07:04Z</dcterms:created>
  <dcterms:modified xsi:type="dcterms:W3CDTF">2022-10-18T15:16:14Z</dcterms:modified>
</cp:coreProperties>
</file>