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Laboratorio\9. Acreditacion\1. Control de documentos\1. Aprobaciones\59. Aprobaciones 2022-10-\Formatos\"/>
    </mc:Choice>
  </mc:AlternateContent>
  <bookViews>
    <workbookView xWindow="0" yWindow="0" windowWidth="20490" windowHeight="7650" tabRatio="540" firstSheet="5" activeTab="5"/>
  </bookViews>
  <sheets>
    <sheet name="Resumen" sheetId="40" state="hidden" r:id="rId1"/>
    <sheet name="732" sheetId="42" state="hidden" r:id="rId2"/>
    <sheet name="782" sheetId="41" state="hidden" r:id="rId3"/>
    <sheet name="733 - 735" sheetId="51" state="hidden" r:id="rId4"/>
    <sheet name="748" sheetId="52" state="hidden" r:id="rId5"/>
    <sheet name="TSR" sheetId="53" r:id="rId6"/>
    <sheet name="firmas" sheetId="37" state="hidden" r:id="rId7"/>
    <sheet name="Hoja1" sheetId="36" state="hidden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hidden="1">[1]AIU!$D$338:$D$357</definedName>
    <definedName name="__123Graph_Acaja" hidden="1">[1]EVA!$D$39:$AD$39</definedName>
    <definedName name="__123Graph_ACart_AnticAdic" hidden="1">[1]EVA!$F$95:$I$95</definedName>
    <definedName name="__123Graph_AFACTURAC" hidden="1">[1]Program!$B$120:$Y$120</definedName>
    <definedName name="__123Graph_AGraph2" hidden="1">[1]AIU!$D$338:$D$357</definedName>
    <definedName name="__123Graph_Bcaja" hidden="1">[1]EVA!$D$56:$AD$56</definedName>
    <definedName name="__123Graph_BCart_AnticAdic" hidden="1">[1]EVA!$F$96:$I$96</definedName>
    <definedName name="__123Graph_Ccaja" hidden="1">[1]EVA!$D$58:$AD$58</definedName>
    <definedName name="__123Graph_CCart_AnticAdic" hidden="1">[1]EVA!$F$97:$I$97</definedName>
    <definedName name="__123Graph_Dcaja" hidden="1">[1]EVA!$D$61:$AD$61</definedName>
    <definedName name="__123Graph_DCart_AnticAdic" hidden="1">[1]EVA!$F$99:$I$99</definedName>
    <definedName name="__123Graph_ECart_AnticAdic" hidden="1">[1]EVA!$F$99:$I$99</definedName>
    <definedName name="__123Graph_LBL_ACart_AnticAdic" hidden="1">[1]EVA!$J$95:$K$95</definedName>
    <definedName name="__123Graph_LBL_Ccaja" hidden="1">[1]EVA!$D$58:$AD$58</definedName>
    <definedName name="__123Graph_LBL_DCart_AnticAdic" hidden="1">[1]EVA!$F$98:$I$98</definedName>
    <definedName name="__123Graph_X" hidden="1">[1]AIU!$C$338:$C$357</definedName>
    <definedName name="__123Graph_Xcaja" hidden="1">[1]EVA!$D$6:$AD$6</definedName>
    <definedName name="_1__123Graph_ACart_Utilidad" hidden="1">[1]EVA!$F$104:$I$104</definedName>
    <definedName name="_2__123Graph_BCart_Utilidad" hidden="1">[1]EVA!$F$105:$I$105</definedName>
    <definedName name="_3__123Graph_CCart_Utilidad" hidden="1">[1]EVA!$F$106:$I$106</definedName>
    <definedName name="_4__123Graph_LBL_ACart_Utilidad" hidden="1">[1]EVA!$F$109:$I$109</definedName>
    <definedName name="_5__123Graph_LBL_BCart_Utilidad" hidden="1">[1]EVA!$F$110:$I$110</definedName>
    <definedName name="_6__123Graph_LBL_CCart_Utilidad" hidden="1">[1]EVA!$F$111:$I$111</definedName>
    <definedName name="_7__123Graph_XCart_Utilidad" hidden="1">[1]EVA!$F$103:$I$103</definedName>
    <definedName name="_Fill" localSheetId="1" hidden="1">#REF!</definedName>
    <definedName name="_Fill" localSheetId="3" hidden="1">#REF!</definedName>
    <definedName name="_Fill" localSheetId="4" hidden="1">#REF!</definedName>
    <definedName name="_Fill" localSheetId="2" hidden="1">#REF!</definedName>
    <definedName name="_Fill" localSheetId="0" hidden="1">#REF!</definedName>
    <definedName name="_Fill" localSheetId="5" hidden="1">#REF!</definedName>
    <definedName name="_Fill" hidden="1">#REF!</definedName>
    <definedName name="_Key1" localSheetId="1" hidden="1">[2]OCTUBRE!#REF!</definedName>
    <definedName name="_Key1" localSheetId="3" hidden="1">[2]OCTUBRE!#REF!</definedName>
    <definedName name="_Key1" localSheetId="4" hidden="1">[2]OCTUBRE!#REF!</definedName>
    <definedName name="_Key1" localSheetId="2" hidden="1">[2]OCTUBRE!#REF!</definedName>
    <definedName name="_Key1" localSheetId="0" hidden="1">[2]OCTUBRE!#REF!</definedName>
    <definedName name="_Key1" localSheetId="5" hidden="1">[3]OCTUBRE!#REF!</definedName>
    <definedName name="_Key1" hidden="1">[2]OCTUBRE!#REF!</definedName>
    <definedName name="_Order1" hidden="1">255</definedName>
    <definedName name="_Order2" hidden="1">255</definedName>
    <definedName name="_Regression_Out" localSheetId="1" hidden="1">[4]L!#REF!</definedName>
    <definedName name="_Regression_Out" localSheetId="3" hidden="1">[4]L!#REF!</definedName>
    <definedName name="_Regression_Out" localSheetId="4" hidden="1">[4]L!#REF!</definedName>
    <definedName name="_Regression_Out" localSheetId="2" hidden="1">[4]L!#REF!</definedName>
    <definedName name="_Regression_Out" localSheetId="0" hidden="1">[4]L!#REF!</definedName>
    <definedName name="_Regression_Out" localSheetId="5" hidden="1">[4]L!#REF!</definedName>
    <definedName name="_Regression_Out" hidden="1">[4]L!#REF!</definedName>
    <definedName name="_Regression_X" localSheetId="1" hidden="1">#REF!</definedName>
    <definedName name="_Regression_X" localSheetId="3" hidden="1">#REF!</definedName>
    <definedName name="_Regression_X" localSheetId="4" hidden="1">#REF!</definedName>
    <definedName name="_Regression_X" localSheetId="2" hidden="1">#REF!</definedName>
    <definedName name="_Regression_X" localSheetId="0" hidden="1">#REF!</definedName>
    <definedName name="_Regression_X" localSheetId="5" hidden="1">#REF!</definedName>
    <definedName name="_Regression_X" hidden="1">#REF!</definedName>
    <definedName name="_Regression_Y" localSheetId="1" hidden="1">#REF!</definedName>
    <definedName name="_Regression_Y" localSheetId="3" hidden="1">#REF!</definedName>
    <definedName name="_Regression_Y" localSheetId="4" hidden="1">#REF!</definedName>
    <definedName name="_Regression_Y" localSheetId="2" hidden="1">#REF!</definedName>
    <definedName name="_Regression_Y" localSheetId="0" hidden="1">#REF!</definedName>
    <definedName name="_Regression_Y" localSheetId="5" hidden="1">#REF!</definedName>
    <definedName name="_Regression_Y" hidden="1">#REF!</definedName>
    <definedName name="_Sort" localSheetId="1" hidden="1">[2]OCTUBRE!#REF!</definedName>
    <definedName name="_Sort" localSheetId="3" hidden="1">[2]OCTUBRE!#REF!</definedName>
    <definedName name="_Sort" localSheetId="4" hidden="1">[2]OCTUBRE!#REF!</definedName>
    <definedName name="_Sort" localSheetId="2" hidden="1">[2]OCTUBRE!#REF!</definedName>
    <definedName name="_Sort" localSheetId="0" hidden="1">[2]OCTUBRE!#REF!</definedName>
    <definedName name="_Sort" localSheetId="5" hidden="1">[3]OCTUBRE!#REF!</definedName>
    <definedName name="_Sort" hidden="1">[2]OCTUBRE!#REF!</definedName>
    <definedName name="aprobofirmas" localSheetId="1">INDEX(firmas!$C$36:$C$38,MATCH(#REF!,firmas!$A$36:$A$38,0))</definedName>
    <definedName name="aprobofirmas" localSheetId="3">INDEX([5]firmas!$C$34:$C$36,MATCH([5]TSR!$V$51,[5]firmas!$A$34:$A$36,0))</definedName>
    <definedName name="aprobofirmas" localSheetId="4">INDEX([6]firmas!$C$34:$C$36,MATCH([6]TSR!$V$51,[6]firmas!$A$34:$A$36,0))</definedName>
    <definedName name="aprobofirmas" localSheetId="2">INDEX(firmas!$C$36:$C$38,MATCH(#REF!,firmas!$A$36:$A$38,0))</definedName>
    <definedName name="aprobofirmas" localSheetId="0">INDEX(firmas!$C$36:$C$38,MATCH(Resumen!$I$37,firmas!$A$36:$A$38,0))</definedName>
    <definedName name="aprobofirmas" localSheetId="5">INDEX(firmas!$C$36:$C$38,MATCH(TSR!#REF!,firmas!$A$36:$A$38,0))</definedName>
    <definedName name="aprobofirmas">INDEX(firmas!$C$36:$C$38,MATCH(#REF!,firmas!$A$36:$A$38,0))</definedName>
    <definedName name="aprobofirmas1" localSheetId="1">INDEX(firmas!$C$36:$C$38,MATCH('732'!$I$24,firmas!$A$36:$A$38,0))</definedName>
    <definedName name="aprobofirmas1" localSheetId="3">INDEX(firmas!$C$36:$C$38,MATCH('733 - 735'!$I$35:$O$35,firmas!$A$36:$A$38,0))</definedName>
    <definedName name="aprobofirmas1" localSheetId="0">INDEX(firmas!$C$36:$C$38,MATCH(Resumen!$I$37,firmas!$A$36:$A$38,0))</definedName>
    <definedName name="aprobofirmas1" localSheetId="5">INDEX([7]firmas!$C$36:$C$38,MATCH('[7]733 - 735'!$I$35:$O$35,[7]firmas!$A$36:$A$38,0))</definedName>
    <definedName name="aprobofirmas1">INDEX(firmas!$C$36:$C$38,MATCH('733 - 735'!$I$35:$O$35,firmas!$A$36:$A$38,0))</definedName>
    <definedName name="aprobofirmas748" localSheetId="4">INDEX(firmas!$C$36:$C$38,MATCH('748'!$I$43,firmas!$A$36:$A$38,0))</definedName>
    <definedName name="aprobofirmas782" localSheetId="2">INDEX(firmas!$C$36:$C$38,MATCH('782'!$I$56,firmas!$A$36:$A$38,0))</definedName>
    <definedName name="aprobonombres" localSheetId="1">firmas!$A$36:$A$38</definedName>
    <definedName name="aprobonombres" localSheetId="3">[5]firmas!$A$34:$A$36</definedName>
    <definedName name="aprobonombres" localSheetId="4">[6]firmas!$A$34:$A$36</definedName>
    <definedName name="aprobonombres" localSheetId="2">firmas!$A$36:$A$38</definedName>
    <definedName name="aprobonombres" localSheetId="0">firmas!$A$36:$A$38</definedName>
    <definedName name="aprobonombres" localSheetId="5">[7]firmas!$A$36:$A$38</definedName>
    <definedName name="aprobonombres">firmas!$A$36:$A$38</definedName>
    <definedName name="_xlnm.Print_Area" localSheetId="1">'732'!$A$1:$O$28</definedName>
    <definedName name="_xlnm.Print_Area" localSheetId="3">'733 - 735'!$A$1:$O$39</definedName>
    <definedName name="_xlnm.Print_Area" localSheetId="4">'748'!$A$1:$O$47</definedName>
    <definedName name="_xlnm.Print_Area" localSheetId="2">'782'!$A$1:$O$60</definedName>
    <definedName name="_xlnm.Print_Area" localSheetId="0">Resumen!$A$1:$O$40</definedName>
    <definedName name="_xlnm.Print_Area" localSheetId="5">TSR!$A$1:$AC$53</definedName>
    <definedName name="elaborofirmas" localSheetId="1">INDEX(firmas!$C$3:$C$29,MATCH(#REF!,firmas!$A$3:$A$29,0))</definedName>
    <definedName name="elaborofirmas" localSheetId="3">INDEX([5]firmas!$C$3:$C$27,MATCH([5]TSR!$F$51,[5]firmas!$A$3:$A$27,0))</definedName>
    <definedName name="elaborofirmas" localSheetId="4">INDEX([6]firmas!$C$3:$C$27,MATCH([6]TSR!$F$51,[6]firmas!$A$3:$A$27,0))</definedName>
    <definedName name="elaborofirmas" localSheetId="2">INDEX(firmas!$C$3:$C$29,MATCH(#REF!,firmas!$A$3:$A$29,0))</definedName>
    <definedName name="elaborofirmas" localSheetId="0">INDEX(firmas!$C$3:$C$29,MATCH(#REF!,firmas!$A$3:$A$29,0))</definedName>
    <definedName name="elaborofirmas" localSheetId="5">INDEX([7]firmas!$C$3:$C$29,MATCH(TSR!#REF!,[7]firmas!$A$3:$A$29,0))</definedName>
    <definedName name="elaborofirmas">INDEX(firmas!$C$3:$C$29,MATCH(#REF!,firmas!$A$3:$A$29,0))</definedName>
    <definedName name="elaborofirmas1" localSheetId="1">INDEX(firmas!$C$3:$C$29,MATCH('732'!$A$24:$H$24,firmas!$A$3:$A$29,0))</definedName>
    <definedName name="elaborofirmas1" localSheetId="3">INDEX(firmas!$C$3:$C$29,MATCH('733 - 735'!$D$35:$G$35,firmas!$A$3:$A$29,0))</definedName>
    <definedName name="elaborofirmas1" localSheetId="4">INDEX([6]firmas!$C$3:$C$27,MATCH('748'!$E$43:$G$43,[6]firmas!$A$3:$A$27,0))</definedName>
    <definedName name="elaborofirmas1" localSheetId="2">INDEX(firmas!$C$3:$C$29,MATCH('782'!$E$56:$G$56,firmas!$A$3:$A$29,0))</definedName>
    <definedName name="elaborofirmas1" localSheetId="0">INDEX(firmas!$C$3:$C$29,MATCH(Resumen!$E$37:$G$37,firmas!$A$3:$A$29,0))</definedName>
    <definedName name="elaborofirmas1" localSheetId="5">INDEX([7]firmas!$C$3:$C$29,MATCH(#REF!,[7]firmas!$A$3:$A$29,0))</definedName>
    <definedName name="elaborofirmas1">INDEX(firmas!$C$3:$C$29,MATCH(#REF!,firmas!$A$3:$A$29,0))</definedName>
    <definedName name="Elaboronombres" localSheetId="1">firmas!$A$3:$A$29</definedName>
    <definedName name="Elaboronombres" localSheetId="3">[5]firmas!$A$3:$A$27</definedName>
    <definedName name="Elaboronombres" localSheetId="4">[6]firmas!$A$3:$A$27</definedName>
    <definedName name="Elaboronombres" localSheetId="2">firmas!$A$3:$A$29</definedName>
    <definedName name="Elaboronombres" localSheetId="0">firmas!$A$3:$A$29</definedName>
    <definedName name="Elaboronombres">firmas!$A$3:$A$29</definedName>
    <definedName name="HTML1_1" hidden="1">"'[06Cumplimiento1996.xls]GASTOS'!$A$3:$B$16"</definedName>
    <definedName name="HTML1_10" hidden="1">""</definedName>
    <definedName name="HTML1_11" hidden="1">1</definedName>
    <definedName name="HTML1_12" hidden="1">"c:\prueba.htm"</definedName>
    <definedName name="HTML1_2" hidden="1">1</definedName>
    <definedName name="HTML1_3" hidden="1">"06Cumplimiento1996"</definedName>
    <definedName name="HTML1_4" hidden="1">"GASTOS"</definedName>
    <definedName name="HTML1_5" hidden="1">""</definedName>
    <definedName name="HTML1_6" hidden="1">-4146</definedName>
    <definedName name="HTML1_7" hidden="1">-4146</definedName>
    <definedName name="HTML1_8" hidden="1">"16/12/1996"</definedName>
    <definedName name="HTML1_9" hidden="1">"JUAN CARLOS TORO VALDERRAMA"</definedName>
    <definedName name="HTML2_1" hidden="1">"'[INDICES.XLS]INDICES I'!$A$1:$K$36"</definedName>
    <definedName name="HTML2_10" hidden="1">""</definedName>
    <definedName name="HTML2_11" hidden="1">1</definedName>
    <definedName name="HTML2_12" hidden="1">"C:\Mis documentos\INDICESI.htm"</definedName>
    <definedName name="HTML2_2" hidden="1">1</definedName>
    <definedName name="HTML2_3" hidden="1">"INDICES"</definedName>
    <definedName name="HTML2_4" hidden="1">"INDICES I"</definedName>
    <definedName name="HTML2_5" hidden="1">""</definedName>
    <definedName name="HTML2_6" hidden="1">-4146</definedName>
    <definedName name="HTML2_7" hidden="1">-4146</definedName>
    <definedName name="HTML2_8" hidden="1">"5/02/1997"</definedName>
    <definedName name="HTML2_9" hidden="1">"JUAN CARLOS TORO VALDERRAMA"</definedName>
    <definedName name="HTML3_1" hidden="1">"'[INDICES.XLS]IPC NAL'!$A$4:$B$43"</definedName>
    <definedName name="HTML3_10" hidden="1">""</definedName>
    <definedName name="HTML3_11" hidden="1">1</definedName>
    <definedName name="HTML3_12" hidden="1">"C:\Mis documentos\IPCNAL.htm"</definedName>
    <definedName name="HTML3_2" hidden="1">1</definedName>
    <definedName name="HTML3_3" hidden="1">"INDICES"</definedName>
    <definedName name="HTML3_4" hidden="1">"IPC NAL"</definedName>
    <definedName name="HTML3_5" hidden="1">""</definedName>
    <definedName name="HTML3_6" hidden="1">-4146</definedName>
    <definedName name="HTML3_7" hidden="1">-4146</definedName>
    <definedName name="HTML3_8" hidden="1">"5/02/1997"</definedName>
    <definedName name="HTML3_9" hidden="1">"JUAN CARLOS TORO VALDERRAMA"</definedName>
    <definedName name="HTML4_1" hidden="1">"'[INDICES.XLS]IPC NAL'!$A$4:$C$43"</definedName>
    <definedName name="HTML4_10" hidden="1">""</definedName>
    <definedName name="HTML4_11" hidden="1">1</definedName>
    <definedName name="HTML4_12" hidden="1">"C:\Mis documentos\IPCNAL.htm"</definedName>
    <definedName name="HTML4_2" hidden="1">1</definedName>
    <definedName name="HTML4_3" hidden="1">"INDICES"</definedName>
    <definedName name="HTML4_4" hidden="1">"IPC NAL"</definedName>
    <definedName name="HTML4_5" hidden="1">""</definedName>
    <definedName name="HTML4_6" hidden="1">-4146</definedName>
    <definedName name="HTML4_7" hidden="1">-4146</definedName>
    <definedName name="HTML4_8" hidden="1">"5/02/1997"</definedName>
    <definedName name="HTML4_9" hidden="1">"JUAN CARLOS TORO VALDERRAMA"</definedName>
    <definedName name="HTML5_1" hidden="1">"'[INDICES.XLS]INDICES I'!$A$1:$I$36"</definedName>
    <definedName name="HTML5_10" hidden="1">""</definedName>
    <definedName name="HTML5_11" hidden="1">1</definedName>
    <definedName name="HTML5_12" hidden="1">"C:\Mis documentos\INDICESI.htm"</definedName>
    <definedName name="HTML5_2" hidden="1">1</definedName>
    <definedName name="HTML5_3" hidden="1">"INDICES"</definedName>
    <definedName name="HTML5_4" hidden="1">"INDICES I"</definedName>
    <definedName name="HTML5_5" hidden="1">""</definedName>
    <definedName name="HTML5_6" hidden="1">-4146</definedName>
    <definedName name="HTML5_7" hidden="1">-4146</definedName>
    <definedName name="HTML5_8" hidden="1">"5/02/1997"</definedName>
    <definedName name="HTML5_9" hidden="1">"JUAN CARLOS TORO VALDERRAMA"</definedName>
    <definedName name="HTML6_1" hidden="1">"'[INDICES.XLS]INDICES 1'!$A$3:$K$30"</definedName>
    <definedName name="HTML6_10" hidden="1">""</definedName>
    <definedName name="HTML6_11" hidden="1">1</definedName>
    <definedName name="HTML6_12" hidden="1">"C:\Mis documentos\INDICES1.htm"</definedName>
    <definedName name="HTML6_2" hidden="1">1</definedName>
    <definedName name="HTML6_3" hidden="1">"INDICES"</definedName>
    <definedName name="HTML6_4" hidden="1">"INDICES 1"</definedName>
    <definedName name="HTML6_5" hidden="1">""</definedName>
    <definedName name="HTML6_6" hidden="1">-4146</definedName>
    <definedName name="HTML6_7" hidden="1">-4146</definedName>
    <definedName name="HTML6_8" hidden="1">"5/02/1997"</definedName>
    <definedName name="HTML6_9" hidden="1">"JUAN CARLOS TORO VALDERRAMA"</definedName>
    <definedName name="HTMLCount" hidden="1">1</definedName>
    <definedName name="KK" localSheetId="1" hidden="1">[2]OCTUBRE!#REF!</definedName>
    <definedName name="KK" localSheetId="3" hidden="1">[2]OCTUBRE!#REF!</definedName>
    <definedName name="KK" localSheetId="4" hidden="1">[2]OCTUBRE!#REF!</definedName>
    <definedName name="KK" localSheetId="2" hidden="1">[2]OCTUBRE!#REF!</definedName>
    <definedName name="KK" localSheetId="0" hidden="1">[2]OCTUBRE!#REF!</definedName>
    <definedName name="KK" localSheetId="5" hidden="1">[3]OCTUBRE!#REF!</definedName>
    <definedName name="KK" hidden="1">[2]OCTUBRE!#REF!</definedName>
    <definedName name="Ojo" localSheetId="1" hidden="1">#REF!</definedName>
    <definedName name="Ojo" localSheetId="3" hidden="1">#REF!</definedName>
    <definedName name="Ojo" localSheetId="4" hidden="1">#REF!</definedName>
    <definedName name="Ojo" localSheetId="2" hidden="1">#REF!</definedName>
    <definedName name="Ojo" localSheetId="0" hidden="1">#REF!</definedName>
    <definedName name="Ojo" localSheetId="5" hidden="1">#REF!</definedName>
    <definedName name="Ojo" hidden="1">#REF!</definedName>
    <definedName name="pendiente" localSheetId="1" hidden="1">#REF!</definedName>
    <definedName name="pendiente" localSheetId="3" hidden="1">#REF!</definedName>
    <definedName name="pendiente" localSheetId="4" hidden="1">#REF!</definedName>
    <definedName name="pendiente" localSheetId="2" hidden="1">#REF!</definedName>
    <definedName name="pendiente" localSheetId="0" hidden="1">#REF!</definedName>
    <definedName name="pendiente" localSheetId="5" hidden="1">#REF!</definedName>
    <definedName name="pendiente" hidden="1">#REF!</definedName>
    <definedName name="pruebanombres">firmas!$A$3:$A$7</definedName>
    <definedName name="revisofirmas" localSheetId="1">INDEX(firmas!$C$31:$C$34,MATCH(#REF!,firmas!$A$31:$A$33,0))</definedName>
    <definedName name="revisofirmas" localSheetId="3">INDEX([5]firmas!$C$29:$C$32,MATCH([5]TSR!$N$51,[5]firmas!$A$29:$A$32,0))</definedName>
    <definedName name="revisofirmas" localSheetId="4">INDEX([6]firmas!$C$29:$C$32,MATCH([6]TSR!$N$51,[6]firmas!$A$29:$A$32,0))</definedName>
    <definedName name="revisofirmas" localSheetId="2">INDEX(firmas!$C$31:$C$34,MATCH(#REF!,firmas!$A$31:$A$33,0))</definedName>
    <definedName name="revisofirmas" localSheetId="0">INDEX(firmas!$C$31:$C$34,MATCH(#REF!,firmas!$A$31:$A$33,0))</definedName>
    <definedName name="revisofirmas" localSheetId="5">INDEX(firmas!$C$31:$C$34,MATCH(TSR!#REF!,firmas!$A$31:$A$34,0))</definedName>
    <definedName name="revisofirmas">INDEX(firmas!$C$31:$C$34,MATCH(#REF!,firmas!$A$31:$A$33,0))</definedName>
    <definedName name="revisofirmas1" localSheetId="3">INDEX(firmas!$C$31:$C$34,MATCH('733 - 735'!$A$35:$K$35,firmas!$A$31:$A$33,0))</definedName>
    <definedName name="revisofirmas1" localSheetId="4">INDEX(firmas!$C$31:$C$34,MATCH('748'!$A$43:$D$43,firmas!$A$31:$A$33,0))</definedName>
    <definedName name="revisofirmas1" localSheetId="2">INDEX(firmas!$C$31:$C$34,MATCH('782'!$A$56:$D$56,firmas!$A$31:$A$33,0))</definedName>
    <definedName name="revisofirmas1" localSheetId="0">INDEX(firmas!$C$31:$C$34,MATCH(Resumen!$A$37:$D$37,firmas!$A$31:$A$33,0))</definedName>
    <definedName name="revisofirmas1" localSheetId="5">INDEX([7]firmas!$C$31:$C$34,MATCH(#REF!,[7]firmas!$A$31:$A$34,0))</definedName>
    <definedName name="revisofirmas1">INDEX(firmas!$C$31:$C$34,MATCH(#REF!,firmas!$A$31:$A$33,0))</definedName>
    <definedName name="revisofirmas732" localSheetId="1">INDEX(firmas!$C$31:$C$34,MATCH('732'!$A$24,firmas!$A$31:$A$33,0))</definedName>
    <definedName name="revisonombres" localSheetId="1">firmas!$A$31:$A$33</definedName>
    <definedName name="revisonombres" localSheetId="3">[5]firmas!$A$29:$A$32</definedName>
    <definedName name="revisonombres" localSheetId="4">[6]firmas!$A$29:$A$32</definedName>
    <definedName name="revisonombres" localSheetId="2">firmas!$A$31:$A$33</definedName>
    <definedName name="revisonombres" localSheetId="0">firmas!$A$31:$A$33</definedName>
    <definedName name="revisonombres" localSheetId="5">[7]firmas!$A$31:$A$34</definedName>
    <definedName name="revisonombres">firmas!$A$31:$A$33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6" i="53" l="1"/>
  <c r="V8" i="53" l="1"/>
  <c r="AD9" i="53" l="1"/>
  <c r="U39" i="53" l="1"/>
  <c r="L39" i="53"/>
  <c r="L17" i="53"/>
  <c r="L16" i="53"/>
  <c r="L19" i="53" s="1"/>
  <c r="U30" i="53"/>
  <c r="U33" i="53" s="1"/>
  <c r="U35" i="53" s="1"/>
  <c r="AH28" i="53"/>
  <c r="AF28" i="53"/>
  <c r="AD28" i="53"/>
  <c r="AH22" i="53"/>
  <c r="AH26" i="53"/>
  <c r="R31" i="53" s="1"/>
  <c r="R32" i="53" s="1"/>
  <c r="AF22" i="53"/>
  <c r="AF26" i="53"/>
  <c r="O31" i="53" s="1"/>
  <c r="O32" i="53" s="1"/>
  <c r="AD26" i="53"/>
  <c r="L31" i="53" s="1"/>
  <c r="L32" i="53" s="1"/>
  <c r="L34" i="53" s="1"/>
  <c r="L30" i="53"/>
  <c r="L33" i="53" s="1"/>
  <c r="L35" i="53" s="1"/>
  <c r="AD22" i="53"/>
  <c r="U27" i="53" l="1"/>
  <c r="R37" i="53"/>
  <c r="O37" i="53"/>
  <c r="L37" i="53"/>
  <c r="U26" i="53"/>
  <c r="AD32" i="53" l="1"/>
  <c r="AD30" i="53"/>
  <c r="U31" i="53" s="1"/>
  <c r="P32" i="41"/>
  <c r="P31" i="41"/>
  <c r="M25" i="41"/>
  <c r="M26" i="41"/>
  <c r="M24" i="41"/>
  <c r="L26" i="41"/>
  <c r="L25" i="41"/>
  <c r="L24" i="41"/>
  <c r="K23" i="41"/>
  <c r="U32" i="53" l="1"/>
  <c r="U34" i="53" s="1"/>
  <c r="U31" i="41"/>
  <c r="L23" i="53" l="1"/>
  <c r="E10" i="52" l="1"/>
  <c r="E6" i="40"/>
  <c r="AA39" i="53" l="1"/>
  <c r="X39" i="53"/>
  <c r="R39" i="53"/>
  <c r="O39" i="53"/>
  <c r="AA30" i="53"/>
  <c r="AA33" i="53" s="1"/>
  <c r="X30" i="53"/>
  <c r="X33" i="53" s="1"/>
  <c r="R30" i="53"/>
  <c r="R33" i="53" s="1"/>
  <c r="O30" i="53"/>
  <c r="O33" i="53" s="1"/>
  <c r="AA27" i="53"/>
  <c r="X27" i="53"/>
  <c r="AA26" i="53"/>
  <c r="X26" i="53"/>
  <c r="AA17" i="53"/>
  <c r="AA18" i="53" s="1"/>
  <c r="X17" i="53"/>
  <c r="X18" i="53" s="1"/>
  <c r="U17" i="53"/>
  <c r="U18" i="53" s="1"/>
  <c r="U22" i="53" s="1"/>
  <c r="R17" i="53"/>
  <c r="R18" i="53" s="1"/>
  <c r="O17" i="53"/>
  <c r="O18" i="53" s="1"/>
  <c r="AA16" i="53"/>
  <c r="AA19" i="53" s="1"/>
  <c r="X16" i="53"/>
  <c r="X19" i="53" s="1"/>
  <c r="U16" i="53"/>
  <c r="U19" i="53" s="1"/>
  <c r="U23" i="53" s="1"/>
  <c r="R16" i="53"/>
  <c r="R19" i="53" s="1"/>
  <c r="O16" i="53"/>
  <c r="O19" i="53" s="1"/>
  <c r="AA12" i="53"/>
  <c r="X12" i="53"/>
  <c r="U12" i="53"/>
  <c r="R12" i="53"/>
  <c r="O12" i="53"/>
  <c r="L12" i="53"/>
  <c r="AA11" i="53"/>
  <c r="AA40" i="53" s="1"/>
  <c r="X11" i="53"/>
  <c r="X40" i="53" s="1"/>
  <c r="U11" i="53"/>
  <c r="U40" i="53" s="1"/>
  <c r="U41" i="53" s="1"/>
  <c r="R11" i="53"/>
  <c r="R40" i="53" s="1"/>
  <c r="O11" i="53"/>
  <c r="O40" i="53" s="1"/>
  <c r="L11" i="53"/>
  <c r="L43" i="53" l="1"/>
  <c r="L42" i="53"/>
  <c r="AH32" i="53"/>
  <c r="AH30" i="53"/>
  <c r="AA31" i="53" s="1"/>
  <c r="AA32" i="53" s="1"/>
  <c r="L40" i="53"/>
  <c r="L41" i="53" s="1"/>
  <c r="L20" i="53"/>
  <c r="U20" i="53" s="1"/>
  <c r="U21" i="53"/>
  <c r="AF32" i="53"/>
  <c r="AF30" i="53"/>
  <c r="X31" i="53" s="1"/>
  <c r="X32" i="53" s="1"/>
  <c r="L21" i="53"/>
  <c r="L18" i="53"/>
  <c r="L22" i="53" s="1"/>
  <c r="E9" i="51" l="1"/>
  <c r="E9" i="52"/>
  <c r="E8" i="52"/>
  <c r="E8" i="51"/>
  <c r="D37" i="52" s="1"/>
  <c r="E8" i="41"/>
  <c r="E9" i="41"/>
  <c r="F36" i="52" l="1"/>
  <c r="M18" i="41"/>
  <c r="M28" i="41"/>
  <c r="M30" i="41"/>
  <c r="M31" i="41" s="1"/>
  <c r="A28" i="41"/>
  <c r="L19" i="41"/>
  <c r="M29" i="41"/>
  <c r="M32" i="41"/>
  <c r="M19" i="41"/>
  <c r="L29" i="41"/>
  <c r="L30" i="41"/>
  <c r="L32" i="41" s="1"/>
  <c r="K19" i="41"/>
  <c r="L18" i="41"/>
  <c r="L28" i="41"/>
  <c r="Y29" i="41"/>
  <c r="Z29" i="41"/>
  <c r="X29" i="41"/>
  <c r="N35" i="52"/>
  <c r="F37" i="52"/>
  <c r="F35" i="52"/>
  <c r="AA29" i="41"/>
  <c r="E19" i="41"/>
  <c r="I19" i="41"/>
  <c r="G18" i="41"/>
  <c r="J18" i="41"/>
  <c r="H29" i="41"/>
  <c r="F19" i="41"/>
  <c r="J19" i="41"/>
  <c r="H18" i="41"/>
  <c r="J29" i="41"/>
  <c r="H28" i="41"/>
  <c r="E29" i="41"/>
  <c r="H19" i="41"/>
  <c r="H30" i="41"/>
  <c r="G29" i="41"/>
  <c r="E30" i="41"/>
  <c r="I28" i="41"/>
  <c r="G28" i="41"/>
  <c r="G19" i="41"/>
  <c r="E18" i="41"/>
  <c r="I18" i="41"/>
  <c r="I30" i="41"/>
  <c r="J28" i="41"/>
  <c r="G30" i="41"/>
  <c r="F30" i="41"/>
  <c r="E28" i="41"/>
  <c r="F18" i="41"/>
  <c r="J30" i="41"/>
  <c r="I29" i="41"/>
  <c r="F29" i="41"/>
  <c r="F28" i="41"/>
  <c r="E7" i="51"/>
  <c r="L31" i="41" l="1"/>
  <c r="P29" i="41"/>
  <c r="P28" i="41"/>
  <c r="E32" i="41"/>
  <c r="J31" i="41"/>
  <c r="H32" i="41"/>
  <c r="G32" i="41"/>
  <c r="H31" i="41"/>
  <c r="F31" i="41"/>
  <c r="E31" i="41"/>
  <c r="F32" i="41"/>
  <c r="I32" i="41"/>
  <c r="G31" i="41"/>
  <c r="I31" i="41"/>
  <c r="J32" i="41"/>
  <c r="L26" i="51"/>
  <c r="E13" i="40" l="1"/>
  <c r="B14" i="41" l="1"/>
  <c r="B15" i="41"/>
  <c r="M15" i="41" s="1"/>
  <c r="D14" i="41" l="1"/>
  <c r="M14" i="41"/>
  <c r="M17" i="41" s="1"/>
  <c r="E6" i="52"/>
  <c r="K18" i="40"/>
  <c r="C33" i="40" l="1"/>
  <c r="T6" i="52"/>
  <c r="T5" i="52"/>
  <c r="Y6" i="52"/>
  <c r="Y5" i="52"/>
  <c r="S6" i="52"/>
  <c r="M18" i="40"/>
  <c r="Q22" i="41"/>
  <c r="R22" i="41" s="1"/>
  <c r="Q21" i="41"/>
  <c r="R21" i="41" s="1"/>
  <c r="Q20" i="41"/>
  <c r="R20" i="41" s="1"/>
  <c r="T31" i="41"/>
  <c r="A25" i="42"/>
  <c r="L18" i="40" l="1"/>
  <c r="G29" i="51"/>
  <c r="G30" i="51" l="1"/>
  <c r="B16" i="41" l="1"/>
  <c r="D16" i="41" l="1"/>
  <c r="M16" i="41"/>
  <c r="V25" i="40"/>
  <c r="T25" i="40" l="1"/>
  <c r="U29" i="52" l="1"/>
  <c r="L27" i="51"/>
  <c r="U35" i="51"/>
  <c r="P30" i="51" s="1"/>
  <c r="C31" i="51" s="1"/>
  <c r="J15" i="51" l="1"/>
  <c r="R19" i="52" s="1"/>
  <c r="J21" i="52" s="1"/>
  <c r="L24" i="51" l="1"/>
  <c r="K24" i="51"/>
  <c r="J24" i="51"/>
  <c r="E6" i="51" l="1"/>
  <c r="E6" i="41"/>
  <c r="T32" i="41" a="1"/>
  <c r="T32" i="41" s="1"/>
  <c r="A44" i="52" l="1"/>
  <c r="I44" i="52"/>
  <c r="M11" i="52"/>
  <c r="M9" i="52"/>
  <c r="M8" i="52"/>
  <c r="M7" i="52"/>
  <c r="M6" i="52"/>
  <c r="E11" i="52"/>
  <c r="E7" i="52"/>
  <c r="M11" i="51"/>
  <c r="AH31" i="40" l="1"/>
  <c r="AH26" i="40"/>
  <c r="AH24" i="40"/>
  <c r="AB26" i="40"/>
  <c r="AB24" i="40"/>
  <c r="AB22" i="40"/>
  <c r="AB13" i="52" l="1"/>
  <c r="AB14" i="52"/>
  <c r="AB15" i="52"/>
  <c r="AB16" i="52"/>
  <c r="AB17" i="52"/>
  <c r="AB18" i="52"/>
  <c r="AB20" i="52"/>
  <c r="AB21" i="52"/>
  <c r="AB22" i="52"/>
  <c r="AB23" i="52"/>
  <c r="AB24" i="52"/>
  <c r="AS6" i="52" l="1"/>
  <c r="AT6" i="52"/>
  <c r="AU6" i="52"/>
  <c r="AR6" i="52"/>
  <c r="AM6" i="52"/>
  <c r="AN6" i="52"/>
  <c r="AO6" i="52"/>
  <c r="AL6" i="52"/>
  <c r="AG6" i="52"/>
  <c r="AH6" i="52"/>
  <c r="AI6" i="52"/>
  <c r="AF6" i="52"/>
  <c r="AB101" i="52" l="1"/>
  <c r="AB102" i="52"/>
  <c r="AB103" i="52"/>
  <c r="AB104" i="52"/>
  <c r="AB105" i="52"/>
  <c r="AB106" i="52"/>
  <c r="AB107" i="52"/>
  <c r="AB108" i="52"/>
  <c r="AB109" i="52"/>
  <c r="AB110" i="52"/>
  <c r="AB111" i="52"/>
  <c r="AB112" i="52"/>
  <c r="AB113" i="52"/>
  <c r="AB114" i="52"/>
  <c r="AB100" i="52"/>
  <c r="AB34" i="52"/>
  <c r="AB25" i="52"/>
  <c r="AB26" i="52"/>
  <c r="AB27" i="52"/>
  <c r="AB28" i="52"/>
  <c r="AB29" i="52"/>
  <c r="AB30" i="52"/>
  <c r="AB31" i="52"/>
  <c r="AB32" i="52"/>
  <c r="AB33" i="52"/>
  <c r="AB4" i="52"/>
  <c r="AB36" i="52"/>
  <c r="AB37" i="52"/>
  <c r="AB38" i="52"/>
  <c r="AB39" i="52"/>
  <c r="AB40" i="52"/>
  <c r="AB41" i="52"/>
  <c r="AB42" i="52"/>
  <c r="AB43" i="52"/>
  <c r="AB44" i="52"/>
  <c r="AB45" i="52"/>
  <c r="AB46" i="52"/>
  <c r="AB47" i="52"/>
  <c r="AB48" i="52"/>
  <c r="AB49" i="52"/>
  <c r="AB50" i="52"/>
  <c r="AB52" i="52"/>
  <c r="AB53" i="52"/>
  <c r="AB54" i="52"/>
  <c r="AB55" i="52"/>
  <c r="AB56" i="52"/>
  <c r="AB57" i="52"/>
  <c r="AB58" i="52"/>
  <c r="AB59" i="52"/>
  <c r="AB60" i="52"/>
  <c r="AB61" i="52"/>
  <c r="AB62" i="52"/>
  <c r="AB63" i="52"/>
  <c r="AB64" i="52"/>
  <c r="AB65" i="52"/>
  <c r="AB66" i="52"/>
  <c r="AB68" i="52"/>
  <c r="AB69" i="52"/>
  <c r="AB70" i="52"/>
  <c r="AB71" i="52"/>
  <c r="AB72" i="52"/>
  <c r="AB73" i="52"/>
  <c r="AB74" i="52"/>
  <c r="AB75" i="52"/>
  <c r="AB76" i="52"/>
  <c r="AB77" i="52"/>
  <c r="AB78" i="52"/>
  <c r="AB79" i="52"/>
  <c r="AB80" i="52"/>
  <c r="AB81" i="52"/>
  <c r="AB82" i="52"/>
  <c r="AB84" i="52"/>
  <c r="AB85" i="52"/>
  <c r="AB86" i="52"/>
  <c r="AB87" i="52"/>
  <c r="AB88" i="52"/>
  <c r="AB89" i="52"/>
  <c r="AB90" i="52"/>
  <c r="AB91" i="52"/>
  <c r="AB92" i="52"/>
  <c r="AB93" i="52"/>
  <c r="AB94" i="52"/>
  <c r="AB95" i="52"/>
  <c r="AB96" i="52"/>
  <c r="AB97" i="52"/>
  <c r="AB98" i="52"/>
  <c r="M15" i="51" l="1"/>
  <c r="U19" i="52" s="1"/>
  <c r="M21" i="52" s="1"/>
  <c r="L15" i="51"/>
  <c r="T19" i="52" s="1"/>
  <c r="L21" i="52" s="1"/>
  <c r="K15" i="51"/>
  <c r="S19" i="52" s="1"/>
  <c r="K21" i="52" s="1"/>
  <c r="M16" i="51"/>
  <c r="L16" i="51"/>
  <c r="K16" i="51"/>
  <c r="J16" i="51"/>
  <c r="AF22" i="52" l="1"/>
  <c r="AF24" i="52" s="1"/>
  <c r="AI22" i="52"/>
  <c r="AH22" i="52"/>
  <c r="AG22" i="52"/>
  <c r="M24" i="51"/>
  <c r="E24" i="41"/>
  <c r="E23" i="41"/>
  <c r="N21" i="40"/>
  <c r="N32" i="40"/>
  <c r="N24" i="51" l="1"/>
  <c r="S22" i="51"/>
  <c r="J22" i="52" l="1"/>
  <c r="J25" i="52" s="1"/>
  <c r="L22" i="52"/>
  <c r="L23" i="52" s="1"/>
  <c r="AN22" i="52" s="1"/>
  <c r="K22" i="52"/>
  <c r="K23" i="52" s="1"/>
  <c r="AM22" i="52" s="1"/>
  <c r="M22" i="52"/>
  <c r="N29" i="52"/>
  <c r="H24" i="40" s="1"/>
  <c r="AM25" i="52" l="1"/>
  <c r="AM24" i="52"/>
  <c r="AM23" i="52"/>
  <c r="AN23" i="52"/>
  <c r="AN25" i="52"/>
  <c r="AN24" i="52"/>
  <c r="AB8" i="52"/>
  <c r="AB12" i="52"/>
  <c r="AB6" i="52"/>
  <c r="AB9" i="52"/>
  <c r="AB7" i="52"/>
  <c r="AB10" i="52"/>
  <c r="AB5" i="52"/>
  <c r="AB11" i="52"/>
  <c r="M25" i="52"/>
  <c r="M23" i="52"/>
  <c r="AO22" i="52" s="1"/>
  <c r="K25" i="52"/>
  <c r="L25" i="52"/>
  <c r="I36" i="51"/>
  <c r="A36" i="51"/>
  <c r="AM27" i="52" l="1"/>
  <c r="AN27" i="52"/>
  <c r="AO23" i="52"/>
  <c r="AO24" i="52"/>
  <c r="AO25" i="52"/>
  <c r="J23" i="52"/>
  <c r="AL22" i="52" s="1"/>
  <c r="AM26" i="52"/>
  <c r="AN26" i="52"/>
  <c r="N22" i="52"/>
  <c r="L30" i="52"/>
  <c r="K30" i="52"/>
  <c r="M30" i="52"/>
  <c r="AN28" i="52" l="1"/>
  <c r="AN29" i="52" s="1"/>
  <c r="AM28" i="52"/>
  <c r="AM29" i="52" s="1"/>
  <c r="AL23" i="52"/>
  <c r="AL24" i="52"/>
  <c r="AL25" i="52"/>
  <c r="N23" i="52"/>
  <c r="AP22" i="52" s="1"/>
  <c r="AO26" i="52"/>
  <c r="AO27" i="52"/>
  <c r="AO28" i="52" s="1"/>
  <c r="AO29" i="52" s="1"/>
  <c r="J30" i="52"/>
  <c r="N30" i="52" s="1"/>
  <c r="N25" i="52"/>
  <c r="H22" i="40" s="1"/>
  <c r="M26" i="52" l="1"/>
  <c r="M24" i="52"/>
  <c r="K26" i="52"/>
  <c r="K24" i="52"/>
  <c r="L26" i="52"/>
  <c r="L24" i="52"/>
  <c r="AL26" i="52"/>
  <c r="AL27" i="52"/>
  <c r="AL28" i="52" s="1"/>
  <c r="AP24" i="52"/>
  <c r="AP23" i="52"/>
  <c r="AP25" i="52"/>
  <c r="J27" i="52"/>
  <c r="N27" i="52" s="1"/>
  <c r="L27" i="52"/>
  <c r="K27" i="52"/>
  <c r="M27" i="52"/>
  <c r="AL29" i="52" l="1"/>
  <c r="J24" i="52" s="1"/>
  <c r="H25" i="40"/>
  <c r="AP27" i="52"/>
  <c r="AP26" i="52"/>
  <c r="M7" i="51"/>
  <c r="M8" i="51"/>
  <c r="M9" i="51"/>
  <c r="M6" i="51"/>
  <c r="E11" i="51"/>
  <c r="E10" i="51"/>
  <c r="E7" i="41"/>
  <c r="E10" i="41"/>
  <c r="E7" i="42"/>
  <c r="E8" i="42"/>
  <c r="E9" i="42"/>
  <c r="E10" i="42"/>
  <c r="M11" i="41"/>
  <c r="M11" i="42"/>
  <c r="E11" i="41"/>
  <c r="E11" i="42"/>
  <c r="J26" i="52" l="1"/>
  <c r="N26" i="52" s="1"/>
  <c r="AP28" i="52"/>
  <c r="AP29" i="52" s="1"/>
  <c r="N24" i="52" s="1"/>
  <c r="V28" i="51"/>
  <c r="V26" i="51"/>
  <c r="V25" i="51"/>
  <c r="V27" i="51"/>
  <c r="V29" i="51"/>
  <c r="AA28" i="41"/>
  <c r="K18" i="41" s="1"/>
  <c r="Z28" i="41"/>
  <c r="Y28" i="41"/>
  <c r="X28" i="41"/>
  <c r="W30" i="51"/>
  <c r="X30" i="51" s="1"/>
  <c r="V30" i="51"/>
  <c r="V164" i="51"/>
  <c r="U164" i="51"/>
  <c r="V163" i="51"/>
  <c r="U163" i="51"/>
  <c r="V162" i="51"/>
  <c r="U162" i="51"/>
  <c r="V161" i="51"/>
  <c r="U161" i="51"/>
  <c r="V160" i="51"/>
  <c r="U160" i="51"/>
  <c r="V159" i="51"/>
  <c r="U159" i="51"/>
  <c r="V158" i="51"/>
  <c r="U158" i="51"/>
  <c r="M21" i="51"/>
  <c r="L21" i="51"/>
  <c r="K21" i="51"/>
  <c r="J21" i="51"/>
  <c r="J22" i="51" s="1"/>
  <c r="K28" i="41" l="1"/>
  <c r="K29" i="41"/>
  <c r="K30" i="41"/>
  <c r="K31" i="41" s="1"/>
  <c r="M22" i="51"/>
  <c r="M31" i="52" s="1"/>
  <c r="L22" i="51"/>
  <c r="K22" i="51"/>
  <c r="J31" i="52"/>
  <c r="K31" i="52"/>
  <c r="L31" i="52"/>
  <c r="J18" i="52"/>
  <c r="W30" i="52"/>
  <c r="J23" i="51"/>
  <c r="K32" i="41" l="1"/>
  <c r="M23" i="51"/>
  <c r="M18" i="52"/>
  <c r="L23" i="51"/>
  <c r="L18" i="52"/>
  <c r="K23" i="51"/>
  <c r="N22" i="51"/>
  <c r="K18" i="52"/>
  <c r="N31" i="52"/>
  <c r="H26" i="40" s="1"/>
  <c r="N23" i="51" l="1"/>
  <c r="U33" i="51"/>
  <c r="P14" i="51" s="1"/>
  <c r="M8" i="41"/>
  <c r="M9" i="41"/>
  <c r="M8" i="42"/>
  <c r="M9" i="42"/>
  <c r="M7" i="41"/>
  <c r="M7" i="42"/>
  <c r="M6" i="41"/>
  <c r="M6" i="42"/>
  <c r="E6" i="42"/>
  <c r="A57" i="41" l="1"/>
  <c r="I57" i="41"/>
  <c r="E26" i="41"/>
  <c r="F26" i="41" s="1"/>
  <c r="G26" i="41" s="1"/>
  <c r="H26" i="41" s="1"/>
  <c r="I26" i="41" s="1"/>
  <c r="J26" i="41" s="1"/>
  <c r="K26" i="41" s="1"/>
  <c r="L18" i="42"/>
  <c r="K18" i="42"/>
  <c r="I18" i="42"/>
  <c r="G18" i="42"/>
  <c r="E18" i="42"/>
  <c r="C18" i="42"/>
  <c r="M17" i="42"/>
  <c r="M16" i="42"/>
  <c r="M15" i="42"/>
  <c r="Q3" i="42"/>
  <c r="I25" i="42"/>
  <c r="N23" i="41"/>
  <c r="J23" i="41"/>
  <c r="I23" i="41"/>
  <c r="H23" i="41"/>
  <c r="G23" i="41"/>
  <c r="F23" i="41"/>
  <c r="G17" i="41"/>
  <c r="Q23" i="41" l="1"/>
  <c r="R23" i="41" s="1"/>
  <c r="F24" i="41"/>
  <c r="J15" i="41"/>
  <c r="O21" i="41" s="1"/>
  <c r="D15" i="41"/>
  <c r="E25" i="41" s="1"/>
  <c r="H32" i="40"/>
  <c r="M18" i="42"/>
  <c r="H17" i="40" s="1"/>
  <c r="H18" i="40" s="1"/>
  <c r="B17" i="41"/>
  <c r="J16" i="41"/>
  <c r="J14" i="41"/>
  <c r="O20" i="41" s="1"/>
  <c r="F25" i="41" l="1"/>
  <c r="G25" i="41" s="1"/>
  <c r="H25" i="41" s="1"/>
  <c r="I25" i="41" s="1"/>
  <c r="J25" i="41" s="1"/>
  <c r="K25" i="41" s="1"/>
  <c r="E27" i="41"/>
  <c r="S30" i="41" s="1"/>
  <c r="F27" i="41"/>
  <c r="W29" i="52"/>
  <c r="N37" i="52"/>
  <c r="N15" i="42"/>
  <c r="S4" i="42" s="1"/>
  <c r="N15" i="41"/>
  <c r="Q15" i="41" s="1"/>
  <c r="D17" i="41"/>
  <c r="G24" i="41"/>
  <c r="O22" i="41"/>
  <c r="J17" i="41"/>
  <c r="N17" i="42"/>
  <c r="S6" i="42" s="1"/>
  <c r="N16" i="42"/>
  <c r="S5" i="42" s="1"/>
  <c r="W34" i="52" l="1"/>
  <c r="W31" i="52"/>
  <c r="W28" i="52"/>
  <c r="W26" i="51"/>
  <c r="X26" i="51" s="1"/>
  <c r="T30" i="41"/>
  <c r="W25" i="51"/>
  <c r="X25" i="51" s="1"/>
  <c r="G27" i="41"/>
  <c r="S7" i="42"/>
  <c r="N16" i="41"/>
  <c r="Q16" i="41" s="1"/>
  <c r="H24" i="41"/>
  <c r="O23" i="41"/>
  <c r="N14" i="41"/>
  <c r="Q14" i="41" s="1"/>
  <c r="I38" i="40"/>
  <c r="A38" i="40"/>
  <c r="K32" i="40"/>
  <c r="M32" i="40" s="1"/>
  <c r="I32" i="40"/>
  <c r="AG31" i="40"/>
  <c r="AF31" i="40"/>
  <c r="AE31" i="40"/>
  <c r="AD31" i="40"/>
  <c r="K31" i="40"/>
  <c r="M31" i="40" s="1"/>
  <c r="O30" i="40"/>
  <c r="N30" i="40"/>
  <c r="K30" i="40"/>
  <c r="O29" i="40"/>
  <c r="N29" i="40"/>
  <c r="K29" i="40"/>
  <c r="O28" i="40"/>
  <c r="N28" i="40"/>
  <c r="K28" i="40"/>
  <c r="O27" i="40"/>
  <c r="N27" i="40"/>
  <c r="K27" i="40"/>
  <c r="AG26" i="40"/>
  <c r="AF26" i="40"/>
  <c r="AE26" i="40"/>
  <c r="AD26" i="40"/>
  <c r="AA26" i="40"/>
  <c r="Z26" i="40"/>
  <c r="Y26" i="40"/>
  <c r="X26" i="40"/>
  <c r="O26" i="40"/>
  <c r="N26" i="40"/>
  <c r="K26" i="40"/>
  <c r="L26" i="40" s="1"/>
  <c r="O25" i="40"/>
  <c r="N25" i="40"/>
  <c r="K25" i="40"/>
  <c r="AG24" i="40"/>
  <c r="AF24" i="40"/>
  <c r="AE24" i="40"/>
  <c r="AD24" i="40"/>
  <c r="AA24" i="40"/>
  <c r="Z24" i="40"/>
  <c r="Y24" i="40"/>
  <c r="X24" i="40"/>
  <c r="O24" i="40"/>
  <c r="N24" i="40"/>
  <c r="K24" i="40"/>
  <c r="M24" i="40" s="1"/>
  <c r="AA22" i="40"/>
  <c r="Z22" i="40"/>
  <c r="Y22" i="40"/>
  <c r="X22" i="40"/>
  <c r="O22" i="40"/>
  <c r="N22" i="40"/>
  <c r="P22" i="40" s="1"/>
  <c r="K22" i="40"/>
  <c r="K21" i="40"/>
  <c r="H21" i="40" s="1"/>
  <c r="H19" i="40"/>
  <c r="P18" i="40"/>
  <c r="K17" i="40"/>
  <c r="Z4" i="40"/>
  <c r="M17" i="40" l="1"/>
  <c r="L17" i="40"/>
  <c r="W27" i="51"/>
  <c r="X27" i="51" s="1"/>
  <c r="U30" i="41"/>
  <c r="I24" i="41"/>
  <c r="I27" i="41" s="1"/>
  <c r="W29" i="51" s="1"/>
  <c r="X29" i="51" s="1"/>
  <c r="H27" i="41"/>
  <c r="P24" i="40"/>
  <c r="P26" i="40"/>
  <c r="L28" i="52"/>
  <c r="K28" i="52"/>
  <c r="M28" i="52"/>
  <c r="J28" i="52"/>
  <c r="N19" i="42"/>
  <c r="L22" i="40"/>
  <c r="P17" i="40"/>
  <c r="M26" i="40"/>
  <c r="L24" i="40"/>
  <c r="D36" i="52" l="1"/>
  <c r="D35" i="52"/>
  <c r="S30" i="52"/>
  <c r="W30" i="41"/>
  <c r="W28" i="51"/>
  <c r="X28" i="51" s="1"/>
  <c r="Y25" i="51" s="1"/>
  <c r="L28" i="51" s="1"/>
  <c r="V30" i="41"/>
  <c r="U30" i="52"/>
  <c r="J24" i="41"/>
  <c r="N17" i="41"/>
  <c r="Q17" i="41" s="1"/>
  <c r="K24" i="41" l="1"/>
  <c r="J27" i="41"/>
  <c r="X30" i="41" s="1"/>
  <c r="S26" i="51"/>
  <c r="S21" i="51"/>
  <c r="P18" i="51" s="1"/>
  <c r="N36" i="52"/>
  <c r="T10" i="52" s="1"/>
  <c r="S27" i="51"/>
  <c r="S29" i="51"/>
  <c r="T26" i="51" s="1"/>
  <c r="P29" i="51" s="1"/>
  <c r="S28" i="51"/>
  <c r="K27" i="41"/>
  <c r="Y30" i="41" s="1"/>
  <c r="P25" i="40"/>
  <c r="S10" i="52" l="1"/>
  <c r="W32" i="52"/>
  <c r="W35" i="52" s="1"/>
  <c r="W36" i="52" s="1"/>
  <c r="W37" i="52" s="1"/>
  <c r="M27" i="41"/>
  <c r="S36" i="52" l="1"/>
  <c r="AA30" i="41"/>
  <c r="W33" i="52"/>
  <c r="R23" i="52" s="1"/>
  <c r="L27" i="41"/>
  <c r="Z30" i="41" s="1"/>
  <c r="H23" i="40"/>
  <c r="P23" i="40" s="1"/>
  <c r="S31" i="52" l="1"/>
  <c r="U31" i="52" s="1"/>
  <c r="H29" i="40"/>
  <c r="P29" i="40" s="1"/>
  <c r="R22" i="52"/>
  <c r="R24" i="52" s="1"/>
  <c r="H31" i="40" s="1"/>
  <c r="S34" i="52"/>
  <c r="U34" i="52" s="1"/>
  <c r="S33" i="52"/>
  <c r="U33" i="52" s="1"/>
  <c r="S32" i="52"/>
  <c r="U32" i="52" s="1"/>
  <c r="S35" i="52"/>
  <c r="U35" i="52" s="1"/>
  <c r="U36" i="52"/>
  <c r="U37" i="52" l="1"/>
  <c r="W38" i="52" s="1"/>
  <c r="P31" i="40"/>
  <c r="H30" i="40" l="1"/>
  <c r="P30" i="40" s="1"/>
  <c r="AF8" i="52" l="1"/>
  <c r="AF7" i="52"/>
  <c r="AF16" i="52" s="1"/>
  <c r="AF17" i="52" s="1"/>
  <c r="J15" i="52" s="1"/>
  <c r="AF9" i="52"/>
  <c r="AF12" i="52" l="1"/>
  <c r="AF14" i="52" s="1"/>
  <c r="AF15" i="52"/>
  <c r="AI8" i="52"/>
  <c r="AH9" i="52"/>
  <c r="AG8" i="52"/>
  <c r="AH8" i="52"/>
  <c r="AI7" i="52"/>
  <c r="AG7" i="52"/>
  <c r="AG15" i="52" s="1"/>
  <c r="AH7" i="52"/>
  <c r="AI9" i="52"/>
  <c r="AG9" i="52"/>
  <c r="AH16" i="52" l="1"/>
  <c r="AI16" i="52"/>
  <c r="AI17" i="52" s="1"/>
  <c r="M15" i="52" s="1"/>
  <c r="AH12" i="52"/>
  <c r="AH14" i="52" s="1"/>
  <c r="AI12" i="52"/>
  <c r="AI14" i="52" s="1"/>
  <c r="AH17" i="52"/>
  <c r="L15" i="52" s="1"/>
  <c r="AG16" i="52"/>
  <c r="AG12" i="52"/>
  <c r="AG14" i="52" s="1"/>
  <c r="AI15" i="52"/>
  <c r="AH15" i="52"/>
  <c r="AL8" i="52"/>
  <c r="AL7" i="52"/>
  <c r="AL15" i="52" s="1"/>
  <c r="AL9" i="52"/>
  <c r="AL12" i="52" l="1"/>
  <c r="AL14" i="52" s="1"/>
  <c r="AG17" i="52"/>
  <c r="K15" i="52" s="1"/>
  <c r="AL16" i="52"/>
  <c r="AL17" i="52" s="1"/>
  <c r="J16" i="52" s="1"/>
  <c r="AO8" i="52"/>
  <c r="AN8" i="52"/>
  <c r="AO9" i="52"/>
  <c r="AN7" i="52"/>
  <c r="AN16" i="52" s="1"/>
  <c r="AM8" i="52"/>
  <c r="AM7" i="52"/>
  <c r="AM15" i="52" s="1"/>
  <c r="AN9" i="52"/>
  <c r="AM9" i="52"/>
  <c r="AO7" i="52"/>
  <c r="AN12" i="52" l="1"/>
  <c r="AN14" i="52" s="1"/>
  <c r="AO12" i="52"/>
  <c r="AO14" i="52" s="1"/>
  <c r="AN15" i="52"/>
  <c r="AO16" i="52"/>
  <c r="AO17" i="52" s="1"/>
  <c r="M16" i="52" s="1"/>
  <c r="AN17" i="52"/>
  <c r="L16" i="52" s="1"/>
  <c r="AM12" i="52"/>
  <c r="AM14" i="52" s="1"/>
  <c r="AO15" i="52"/>
  <c r="AM16" i="52"/>
  <c r="AR8" i="52"/>
  <c r="AR7" i="52"/>
  <c r="AR15" i="52" s="1"/>
  <c r="AR9" i="52"/>
  <c r="AR12" i="52" l="1"/>
  <c r="AR14" i="52" s="1"/>
  <c r="AM17" i="52"/>
  <c r="K16" i="52" s="1"/>
  <c r="AR16" i="52"/>
  <c r="AR17" i="52" s="1"/>
  <c r="AU7" i="52"/>
  <c r="AU15" i="52" s="1"/>
  <c r="AS9" i="52"/>
  <c r="AU9" i="52"/>
  <c r="AT9" i="52"/>
  <c r="AS8" i="52"/>
  <c r="AU8" i="52"/>
  <c r="AT7" i="52"/>
  <c r="AT16" i="52" s="1"/>
  <c r="AT8" i="52"/>
  <c r="AS7" i="52"/>
  <c r="J32" i="52" l="1"/>
  <c r="J33" i="52" s="1"/>
  <c r="J17" i="52"/>
  <c r="AS16" i="52"/>
  <c r="AS17" i="52" s="1"/>
  <c r="AS12" i="52"/>
  <c r="AS14" i="52" s="1"/>
  <c r="AS15" i="52"/>
  <c r="AT12" i="52"/>
  <c r="AT14" i="52" s="1"/>
  <c r="AU12" i="52"/>
  <c r="AU14" i="52" s="1"/>
  <c r="AT17" i="52"/>
  <c r="AU16" i="52"/>
  <c r="AT15" i="52"/>
  <c r="AF23" i="52"/>
  <c r="AF25" i="52"/>
  <c r="K32" i="52" l="1"/>
  <c r="K33" i="52" s="1"/>
  <c r="K17" i="52"/>
  <c r="L32" i="52"/>
  <c r="L33" i="52" s="1"/>
  <c r="L17" i="52"/>
  <c r="AF26" i="52"/>
  <c r="AF27" i="52" s="1"/>
  <c r="AF28" i="52" s="1"/>
  <c r="AF29" i="52" s="1"/>
  <c r="AF30" i="52" s="1"/>
  <c r="J19" i="52" s="1"/>
  <c r="AU17" i="52"/>
  <c r="M17" i="52" s="1"/>
  <c r="AH25" i="52"/>
  <c r="AH24" i="52"/>
  <c r="AG24" i="52"/>
  <c r="AI24" i="52"/>
  <c r="AI23" i="52"/>
  <c r="AG23" i="52"/>
  <c r="AG25" i="52"/>
  <c r="AI25" i="52"/>
  <c r="AH23" i="52"/>
  <c r="AH28" i="52" s="1"/>
  <c r="N18" i="52" l="1"/>
  <c r="M32" i="52"/>
  <c r="M33" i="52" s="1"/>
  <c r="AH26" i="52"/>
  <c r="AH27" i="52" s="1"/>
  <c r="AG28" i="52"/>
  <c r="AG29" i="52" s="1"/>
  <c r="AG30" i="52" s="1"/>
  <c r="K19" i="52" s="1"/>
  <c r="AG26" i="52"/>
  <c r="AG27" i="52" s="1"/>
  <c r="AI26" i="52"/>
  <c r="AI27" i="52" s="1"/>
  <c r="AH29" i="52"/>
  <c r="AH30" i="52" s="1"/>
  <c r="L19" i="52" s="1"/>
  <c r="AI28" i="52"/>
  <c r="AI29" i="52" s="1"/>
  <c r="AI30" i="52" s="1"/>
  <c r="M19" i="52" s="1"/>
  <c r="N33" i="52" l="1"/>
  <c r="H28" i="40" s="1"/>
  <c r="P28" i="40" s="1"/>
  <c r="N32" i="52"/>
  <c r="H27" i="40" s="1"/>
  <c r="P27" i="40" s="1"/>
  <c r="U32" i="4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<sst xmlns="http://schemas.openxmlformats.org/spreadsheetml/2006/main" count="790" uniqueCount="415">
  <si>
    <t>1"</t>
  </si>
  <si>
    <t>3/4"</t>
  </si>
  <si>
    <t>3/8"</t>
  </si>
  <si>
    <t>Observaciones:</t>
  </si>
  <si>
    <t>1/2"</t>
  </si>
  <si>
    <t>PROMEDIO</t>
  </si>
  <si>
    <t>Nº</t>
  </si>
  <si>
    <t xml:space="preserve">Especificación </t>
  </si>
  <si>
    <t>Promedio</t>
  </si>
  <si>
    <t>Aprobó:</t>
  </si>
  <si>
    <t>N° 4</t>
  </si>
  <si>
    <t>mm</t>
  </si>
  <si>
    <t>ANÁLISIS GRANULOMÉTRICO DE LOS AGREGADOS EXTRAÍDOS DE MEZCLAS ASFÁLTICAS INV E-782-13</t>
  </si>
  <si>
    <t>Contenido de asfalto (%)</t>
  </si>
  <si>
    <t>% pasa Min</t>
  </si>
  <si>
    <t>% pasa Max</t>
  </si>
  <si>
    <t>N° 10</t>
  </si>
  <si>
    <t>N° 40</t>
  </si>
  <si>
    <t>N° 80</t>
  </si>
  <si>
    <t>N° 200</t>
  </si>
  <si>
    <t>Solvente utilizado:</t>
  </si>
  <si>
    <t>Gasolina</t>
  </si>
  <si>
    <t>Masa total seca antes de lavado (g):</t>
  </si>
  <si>
    <t>Rangos de tolerancia formula de trabajo</t>
  </si>
  <si>
    <t xml:space="preserve">Tamices </t>
  </si>
  <si>
    <t>N° de muestra</t>
  </si>
  <si>
    <t>INFORME DE ENSAYO</t>
  </si>
  <si>
    <t>ESMasaR (mm)</t>
  </si>
  <si>
    <t>FACTOR</t>
  </si>
  <si>
    <t>Formula de trabajo</t>
  </si>
  <si>
    <t>Tabla 510.4</t>
  </si>
  <si>
    <t>Masa total de agregado en la mezcla (g)</t>
  </si>
  <si>
    <t>Masa de pasa No 200 por lavado (g)</t>
  </si>
  <si>
    <t>N° muestra</t>
  </si>
  <si>
    <t>Laboratorista</t>
  </si>
  <si>
    <t>MD-12</t>
  </si>
  <si>
    <t>CALCULO DEL IPA INDICE DE PELICULA DE ASFALTO  (INV-E-741-13)</t>
  </si>
  <si>
    <t>tamiz (mm)</t>
  </si>
  <si>
    <t>alterno</t>
  </si>
  <si>
    <t>%</t>
  </si>
  <si>
    <t>g</t>
  </si>
  <si>
    <t>Cliente:</t>
  </si>
  <si>
    <t>Procedencia:</t>
  </si>
  <si>
    <t>min</t>
  </si>
  <si>
    <t xml:space="preserve">Estabilidad </t>
  </si>
  <si>
    <t>Flujo</t>
  </si>
  <si>
    <t>FT</t>
  </si>
  <si>
    <t>Jornada:</t>
  </si>
  <si>
    <t>Vacíos en agregados minerales (VAM)</t>
  </si>
  <si>
    <t>N/A</t>
  </si>
  <si>
    <t xml:space="preserve">Relación Estabilidad/ Flujo </t>
  </si>
  <si>
    <t>Vacíos llenos de asfalto (VFA)</t>
  </si>
  <si>
    <t>kgf/mm</t>
  </si>
  <si>
    <t>Fecha de ejecución:</t>
  </si>
  <si>
    <t>Placa Y/o Móvil</t>
  </si>
  <si>
    <t>Masa seca total después de lavado (g):</t>
  </si>
  <si>
    <t>Tipo de mezcla asfáltica:</t>
  </si>
  <si>
    <t>Max</t>
  </si>
  <si>
    <t>máx.</t>
  </si>
  <si>
    <t>Código:</t>
  </si>
  <si>
    <t>Fecha de recepción:</t>
  </si>
  <si>
    <t>Fecha de producción:</t>
  </si>
  <si>
    <t>kgf</t>
  </si>
  <si>
    <t>Contenido de asfalto</t>
  </si>
  <si>
    <t>°C</t>
  </si>
  <si>
    <t>golpes/cara</t>
  </si>
  <si>
    <t>Vacíos con aire (Va)</t>
  </si>
  <si>
    <t>Norma de ensayo</t>
  </si>
  <si>
    <t>INV E 748-13</t>
  </si>
  <si>
    <t>INV E 732-13</t>
  </si>
  <si>
    <t>Gse</t>
  </si>
  <si>
    <t>Gsb</t>
  </si>
  <si>
    <t xml:space="preserve">Gb </t>
  </si>
  <si>
    <t>Efectiva del agregado</t>
  </si>
  <si>
    <t>Bulk del agregado combinado</t>
  </si>
  <si>
    <t>Asfalto</t>
  </si>
  <si>
    <t>Temperatura del agua</t>
  </si>
  <si>
    <t>Pasa N° 200</t>
  </si>
  <si>
    <t>Total pasa N° 200</t>
  </si>
  <si>
    <t>CRITERIOS</t>
  </si>
  <si>
    <t>RESULTADO</t>
  </si>
  <si>
    <t>Compactación</t>
  </si>
  <si>
    <t>F: Vol. llenante Mezcla</t>
  </si>
  <si>
    <t>A: Vol. Asfalto efectivo en la mezcla</t>
  </si>
  <si>
    <t>Característica</t>
  </si>
  <si>
    <t>N° de ensayo:</t>
  </si>
  <si>
    <t>Recipiente :</t>
  </si>
  <si>
    <t>INV E 735-13</t>
  </si>
  <si>
    <t>W2  masa del agua (g):</t>
  </si>
  <si>
    <t>W3  masa del agregado mineral extraído (g):</t>
  </si>
  <si>
    <t>W4 masa del material mineral en el extracto (g):</t>
  </si>
  <si>
    <t>CIV del lote:</t>
  </si>
  <si>
    <t>Diferencia de masa %</t>
  </si>
  <si>
    <t>Control de la calidad de la mezcla</t>
  </si>
  <si>
    <t>INV E 782-13</t>
  </si>
  <si>
    <t>Ver grafica</t>
  </si>
  <si>
    <t>INV E 745-13</t>
  </si>
  <si>
    <t>Relación Llenante / ligante efectivo (P0.075/Pbe)</t>
  </si>
  <si>
    <t>INV E 799-13</t>
  </si>
  <si>
    <t>INV E 736-13</t>
  </si>
  <si>
    <t>INV E 741-13</t>
  </si>
  <si>
    <t>Nº  muestra</t>
  </si>
  <si>
    <r>
      <rPr>
        <sz val="8"/>
        <color theme="1"/>
        <rFont val="Calibri"/>
        <family val="2"/>
      </rPr>
      <t>µ</t>
    </r>
    <r>
      <rPr>
        <sz val="8"/>
        <color theme="1"/>
        <rFont val="Arial"/>
        <family val="2"/>
      </rPr>
      <t>m</t>
    </r>
  </si>
  <si>
    <r>
      <t>0,8</t>
    </r>
    <r>
      <rPr>
        <sz val="8"/>
        <color theme="1" tint="0.499984740745262"/>
        <rFont val="Calibri"/>
        <family val="2"/>
      </rPr>
      <t>≥</t>
    </r>
    <r>
      <rPr>
        <sz val="8"/>
        <color theme="1" tint="0.499984740745262"/>
        <rFont val="Arial"/>
        <family val="2"/>
      </rPr>
      <t>FT</t>
    </r>
    <r>
      <rPr>
        <sz val="8"/>
        <color theme="1" tint="0.499984740745262"/>
        <rFont val="Calibri"/>
        <family val="2"/>
      </rPr>
      <t>≤</t>
    </r>
    <r>
      <rPr>
        <sz val="8"/>
        <color theme="1" tint="0.499984740745262"/>
        <rFont val="Arial"/>
        <family val="2"/>
      </rPr>
      <t>1,20</t>
    </r>
  </si>
  <si>
    <r>
      <t>FT-0,3</t>
    </r>
    <r>
      <rPr>
        <sz val="8"/>
        <color theme="1" tint="0.499984740745262"/>
        <rFont val="Calibri"/>
        <family val="2"/>
      </rPr>
      <t>≥</t>
    </r>
    <r>
      <rPr>
        <sz val="8"/>
        <color theme="1" tint="0.499984740745262"/>
        <rFont val="Arial"/>
        <family val="2"/>
      </rPr>
      <t>FT</t>
    </r>
    <r>
      <rPr>
        <sz val="8"/>
        <color theme="1" tint="0.499984740745262"/>
        <rFont val="Calibri"/>
        <family val="2"/>
      </rPr>
      <t>≤</t>
    </r>
    <r>
      <rPr>
        <sz val="8"/>
        <color theme="1" tint="0.499984740745262"/>
        <rFont val="Arial"/>
        <family val="2"/>
      </rPr>
      <t>FT+0,3</t>
    </r>
  </si>
  <si>
    <t xml:space="preserve">. </t>
  </si>
  <si>
    <t>A: masa en el aire de la muestra seca:</t>
  </si>
  <si>
    <t>Agregado grueso</t>
  </si>
  <si>
    <t>Agregado fino</t>
  </si>
  <si>
    <t>llenante mineral</t>
  </si>
  <si>
    <r>
      <t>0,9</t>
    </r>
    <r>
      <rPr>
        <sz val="8"/>
        <color theme="1" tint="0.499984740745262"/>
        <rFont val="Calibri"/>
        <family val="2"/>
      </rPr>
      <t>≥E</t>
    </r>
    <r>
      <rPr>
        <sz val="6"/>
        <color theme="1" tint="0.499984740745262"/>
        <rFont val="Calibri"/>
        <family val="2"/>
      </rPr>
      <t>FT</t>
    </r>
  </si>
  <si>
    <r>
      <t>0,8≥Em
1,25≥E</t>
    </r>
    <r>
      <rPr>
        <sz val="6"/>
        <color theme="1" tint="0.499984740745262"/>
        <rFont val="Arial"/>
        <family val="2"/>
      </rPr>
      <t>FT</t>
    </r>
  </si>
  <si>
    <t>Control de la composición de la mezcla</t>
  </si>
  <si>
    <t>Granulometría</t>
  </si>
  <si>
    <t>Verificación de la estabilidad individual</t>
  </si>
  <si>
    <t>Índice de película de asfalto</t>
  </si>
  <si>
    <t>Gravedad especifica máxima teórica a 25°C</t>
  </si>
  <si>
    <t>Tamaño máximo nominal:</t>
  </si>
  <si>
    <r>
      <t xml:space="preserve"> kg/m</t>
    </r>
    <r>
      <rPr>
        <sz val="8"/>
        <rFont val="Calibri"/>
        <family val="2"/>
      </rPr>
      <t>³</t>
    </r>
  </si>
  <si>
    <t>ART%0,5≥ARI%
ARI%≤ART%+0,5</t>
  </si>
  <si>
    <t>G1</t>
  </si>
  <si>
    <t>G2</t>
  </si>
  <si>
    <t>G3</t>
  </si>
  <si>
    <t>MD-10</t>
  </si>
  <si>
    <t>Reportar</t>
  </si>
  <si>
    <t>MD-20</t>
  </si>
  <si>
    <r>
      <t>ARF%-0,3</t>
    </r>
    <r>
      <rPr>
        <sz val="7"/>
        <color theme="1" tint="0.499984740745262"/>
        <rFont val="Calibri"/>
        <family val="2"/>
      </rPr>
      <t>≥ARI</t>
    </r>
    <r>
      <rPr>
        <sz val="7"/>
        <color theme="1" tint="0.499984740745262"/>
        <rFont val="Arial"/>
        <family val="2"/>
      </rPr>
      <t>%
ARI%</t>
    </r>
    <r>
      <rPr>
        <sz val="7"/>
        <color theme="1" tint="0.499984740745262"/>
        <rFont val="Calibri"/>
        <family val="2"/>
      </rPr>
      <t>≤ARF%</t>
    </r>
    <r>
      <rPr>
        <sz val="7"/>
        <color theme="1" tint="0.499984740745262"/>
        <rFont val="Arial"/>
        <family val="2"/>
      </rPr>
      <t>+0,3</t>
    </r>
  </si>
  <si>
    <t>CHAPARRO CARLOS</t>
  </si>
  <si>
    <t>CORDOBA ALEXANDER</t>
  </si>
  <si>
    <t>CRISTANCHO VICTOR</t>
  </si>
  <si>
    <t>DIAZ CESAR</t>
  </si>
  <si>
    <t>FLOREZ KAREN</t>
  </si>
  <si>
    <t>GALVIS DAVID</t>
  </si>
  <si>
    <t>OSPINA JUAN GABRIEL</t>
  </si>
  <si>
    <t>RINCON SATURNINO</t>
  </si>
  <si>
    <t>SUAREZ  WILLIAM</t>
  </si>
  <si>
    <t>YARA FABIAN</t>
  </si>
  <si>
    <t>Reviso</t>
  </si>
  <si>
    <t>Aprobó</t>
  </si>
  <si>
    <t>D: masa de la tapa + picnómetro lleno de agua a 25°:</t>
  </si>
  <si>
    <t xml:space="preserve">Gravedad específica Bulk a 25° C </t>
  </si>
  <si>
    <t>Absorción de agua</t>
  </si>
  <si>
    <t>Gmm:Gravedad especifica máxima  teórica:</t>
  </si>
  <si>
    <t>Bromuro de n-propilo</t>
  </si>
  <si>
    <t>Tricloroetileno</t>
  </si>
  <si>
    <t>NOMBRES</t>
  </si>
  <si>
    <t>FIRMAS</t>
  </si>
  <si>
    <t>CANO LUIS EDUARDO</t>
  </si>
  <si>
    <t>GOMEZ LUIS CARLOS</t>
  </si>
  <si>
    <t>CARGO</t>
  </si>
  <si>
    <t>ELABORO</t>
  </si>
  <si>
    <t>Auxiliar</t>
  </si>
  <si>
    <t>ACHIARDI LEONARDO</t>
  </si>
  <si>
    <t xml:space="preserve">Cloruro de  Metileno </t>
  </si>
  <si>
    <t>--</t>
  </si>
  <si>
    <t>Gravedad especifica máxima de mezclas asfálticas para pavimentos INV 735-13</t>
  </si>
  <si>
    <t>FIN DEL INFORME DE ENSAYO</t>
  </si>
  <si>
    <t>EXTRACCIÓN CUANTITATIVA DEL ASFALTO EN MEZCLAS PARA PAVIMENTOS INV E 732-13 / MÉTODO A (CENTRIFUGACIÓN)</t>
  </si>
  <si>
    <t xml:space="preserve">Numero del espécimen </t>
  </si>
  <si>
    <t>A: Masa del espécimen seco en el aire</t>
  </si>
  <si>
    <t>C: Masa del espécimen sumergido en agua</t>
  </si>
  <si>
    <t xml:space="preserve">Reportar </t>
  </si>
  <si>
    <t>Verificación del porcentaje individual:</t>
  </si>
  <si>
    <t>Hoja:</t>
  </si>
  <si>
    <t>Fecha de informe:</t>
  </si>
  <si>
    <t xml:space="preserve">Grupo </t>
  </si>
  <si>
    <t xml:space="preserve">Seco </t>
  </si>
  <si>
    <t xml:space="preserve">D: Diámetro, mm </t>
  </si>
  <si>
    <t xml:space="preserve">A: Masa seca al  aire                    </t>
  </si>
  <si>
    <t xml:space="preserve">B: Masa    SSS                             </t>
  </si>
  <si>
    <t xml:space="preserve">E: Volumen del espécimen </t>
  </si>
  <si>
    <t>F: Gravedad específica bulk</t>
  </si>
  <si>
    <t>H: Porcentaje de vacíos</t>
  </si>
  <si>
    <t xml:space="preserve">I: Volumen de vacíos </t>
  </si>
  <si>
    <t>P:Carga</t>
  </si>
  <si>
    <t>kN</t>
  </si>
  <si>
    <t xml:space="preserve">P':Carga </t>
  </si>
  <si>
    <t>N</t>
  </si>
  <si>
    <t>Acondicionamiento :</t>
  </si>
  <si>
    <t xml:space="preserve">Saturación mediante vacío </t>
  </si>
  <si>
    <t>24 horas en agua a 60ºC</t>
  </si>
  <si>
    <t xml:space="preserve">B":Masa    SSS                             </t>
  </si>
  <si>
    <t xml:space="preserve">E":Volumen del espécimen </t>
  </si>
  <si>
    <t xml:space="preserve">J":Volumen absoluto del agua </t>
  </si>
  <si>
    <t xml:space="preserve">Expansión </t>
  </si>
  <si>
    <t>kPa</t>
  </si>
  <si>
    <t>Promedio  porcentaje de saturación</t>
  </si>
  <si>
    <t xml:space="preserve">Promedio  de expansión </t>
  </si>
  <si>
    <t xml:space="preserve">RRT: Relación de resistencia a la tensión </t>
  </si>
  <si>
    <t xml:space="preserve">Criterio de aceptación     </t>
  </si>
  <si>
    <t>Rth≥80%Rts</t>
  </si>
  <si>
    <t>Daño por humedad (visual)</t>
  </si>
  <si>
    <t>Revisó</t>
  </si>
  <si>
    <t>FIN DEL INFORME DE  ENSAYO</t>
  </si>
  <si>
    <t>Coordinador  técnico</t>
  </si>
  <si>
    <t>E: masa del  picnómetro con la  tapa,  el  agua y  la muestra a 25°:</t>
  </si>
  <si>
    <t>Planta:</t>
  </si>
  <si>
    <t>Grado de saturación</t>
  </si>
  <si>
    <t>CÓDIGO:  GLAB-FM-029</t>
  </si>
  <si>
    <t>CÓDIGO: GLAB-FM-030</t>
  </si>
  <si>
    <t xml:space="preserve">Los resultados presentados corresponden únicamente a la muestra sometida a ensayo. Este informe no puede ser reproducido en su totalidad ni parcialmente, sin la autorización escrita del laboratorio  de suelos, asfaltos y pavimentos de la UAERMV. </t>
  </si>
  <si>
    <t>Planta 1</t>
  </si>
  <si>
    <t>Planta 2</t>
  </si>
  <si>
    <t>Planta Incolvias S.A.S</t>
  </si>
  <si>
    <t xml:space="preserve">Criterio </t>
  </si>
  <si>
    <t>1 1/2"</t>
  </si>
  <si>
    <t>Sede de Producción La Esmeralda</t>
  </si>
  <si>
    <t>Sede de Producción La Esmeralda (obra)</t>
  </si>
  <si>
    <t>Gerencia de Producción</t>
  </si>
  <si>
    <t>Gerencia de Intervención</t>
  </si>
  <si>
    <t>Masas del filtro (g):</t>
  </si>
  <si>
    <t>Antes</t>
  </si>
  <si>
    <t>Después</t>
  </si>
  <si>
    <t>Masa total (g)</t>
  </si>
  <si>
    <t>% Que pasa</t>
  </si>
  <si>
    <t>B-C: Masa del volumen de agua correspondiente al volumen del espécimen</t>
  </si>
  <si>
    <t>Llenante mineral</t>
  </si>
  <si>
    <t>Procedimiento :</t>
  </si>
  <si>
    <t>% Pasa mín</t>
  </si>
  <si>
    <t>% Pasa máx</t>
  </si>
  <si>
    <t>Masa retenida
 (g)</t>
  </si>
  <si>
    <t>Gravedad específica bulk y densidad de mezclas asfálticas compactadas no absorbentes empleando especímenes saturados  y superficialmente secos, método A,  INV E 733-13</t>
  </si>
  <si>
    <t>Fórmula de trabajo</t>
  </si>
  <si>
    <t>Máx.</t>
  </si>
  <si>
    <t>Promedio gravedad específica bulk</t>
  </si>
  <si>
    <t>Promedio porcentaje de vacíos</t>
  </si>
  <si>
    <t xml:space="preserve">Promedio volumen de vacíos </t>
  </si>
  <si>
    <t>Laboratorio de suelos asfaltos y pavimentos de la UAERMV 
Sede de Producción Parque Minero Industrial El Mochuelo Kilometro 3 vía Pasquilla localidad Ciudad Bolívar, Bogotá D.C. - Colombia
Tel: 3779555 Ext. 1145   E- mail: p.laboratorio@umv.gov.co</t>
  </si>
  <si>
    <t>Espesor del espécimen (Método A, con calibrador)</t>
  </si>
  <si>
    <t>B: Masa en el aire del espécimen saturado y superficialmente seco SSS</t>
  </si>
  <si>
    <t>Densidad de la mezcla a 25° C</t>
  </si>
  <si>
    <t>REDONDEOS ESTABILIDAD Y FLUJO - NO TOCAR - OJO</t>
  </si>
  <si>
    <t>Redondeo para temperatura mezcla</t>
  </si>
  <si>
    <t>Redondeo para temperatura compatación</t>
  </si>
  <si>
    <t>Redondeo para temperatura ensayo</t>
  </si>
  <si>
    <t>Valor redon:</t>
  </si>
  <si>
    <t>Nº1</t>
  </si>
  <si>
    <t>Nº2</t>
  </si>
  <si>
    <t>Nº3</t>
  </si>
  <si>
    <t>Nº4</t>
  </si>
  <si>
    <t>Redondeo para altura probetas</t>
  </si>
  <si>
    <t>Redondeo para Estabili. Marshall Indiv. Y promedio correg.</t>
  </si>
  <si>
    <t>Nº5</t>
  </si>
  <si>
    <r>
      <t>W</t>
    </r>
    <r>
      <rPr>
        <sz val="8"/>
        <rFont val="Calibri"/>
        <family val="2"/>
      </rPr>
      <t>1: masa de la porción de ensayo (g)</t>
    </r>
    <r>
      <rPr>
        <sz val="8"/>
        <rFont val="Calibri"/>
        <family val="2"/>
        <scheme val="minor"/>
      </rPr>
      <t>:</t>
    </r>
  </si>
  <si>
    <t>CÓDIGO: GLAB-FM-097</t>
  </si>
  <si>
    <t>Revisó:</t>
  </si>
  <si>
    <t>CÓDIGO: GLAB-FM-098</t>
  </si>
  <si>
    <t>Laboratorio de suelos, asfaltos y pavimentos de la UAERMV 
Sede de Producción Parque Minero Industrial El Mochuelo Kilometro 3 vía Pasquilla localidad Ciudad Bolívar, Bogotá D.C. - Colombia
Tel: 3779555 Ext. 1145   E- mail: p.laboratorio@umv.gov.co</t>
  </si>
  <si>
    <t>CONTRERAS WILINTONG</t>
  </si>
  <si>
    <t>Lider operativo del proceso</t>
  </si>
  <si>
    <t>Gravedad específica (Gse, Gsb, G3, Gb), INV E 799-13</t>
  </si>
  <si>
    <t>DIURNA</t>
  </si>
  <si>
    <t>NOCTURNA</t>
  </si>
  <si>
    <t>Fecha de informe :</t>
  </si>
  <si>
    <t>CÓDIGO: GLAB-FM-099</t>
  </si>
  <si>
    <t>Estabilidad y flujo de mezclas asfálticas en caliente empleando el equipo Marshall INV-E-748-13</t>
  </si>
  <si>
    <t>Temperatura de mezcla</t>
  </si>
  <si>
    <t>Temperatura de compactación</t>
  </si>
  <si>
    <t>Altura probeta</t>
  </si>
  <si>
    <t>Estabilidad medida</t>
  </si>
  <si>
    <t xml:space="preserve"> kN</t>
  </si>
  <si>
    <t>Factor de corrección (Tabla 748-1)</t>
  </si>
  <si>
    <t>-</t>
  </si>
  <si>
    <t>Estabilidad individual corregida, Ei</t>
  </si>
  <si>
    <t>Estabilidad individual corregida, Ei - Sin redondeo</t>
  </si>
  <si>
    <t xml:space="preserve"> kgf</t>
  </si>
  <si>
    <t>lbf</t>
  </si>
  <si>
    <t>Verificación individual de la estabilidad</t>
  </si>
  <si>
    <t>0,8≥Em</t>
  </si>
  <si>
    <r>
      <t>1,25≥E</t>
    </r>
    <r>
      <rPr>
        <sz val="6"/>
        <rFont val="Arial"/>
        <family val="2"/>
      </rPr>
      <t>FT</t>
    </r>
  </si>
  <si>
    <t xml:space="preserve"> mm</t>
  </si>
  <si>
    <t>Relación estabilidad/ Flujo</t>
  </si>
  <si>
    <r>
      <t>Vacíos con aire (V</t>
    </r>
    <r>
      <rPr>
        <vertAlign val="subscript"/>
        <sz val="8"/>
        <rFont val="Arial"/>
        <family val="2"/>
      </rPr>
      <t>a</t>
    </r>
    <r>
      <rPr>
        <sz val="8"/>
        <rFont val="Arial"/>
        <family val="2"/>
      </rPr>
      <t>)</t>
    </r>
  </si>
  <si>
    <t xml:space="preserve"> %</t>
  </si>
  <si>
    <t xml:space="preserve">Cliente </t>
  </si>
  <si>
    <t xml:space="preserve">Planta </t>
  </si>
  <si>
    <t xml:space="preserve">Supervisor contrato de suministro mezcla </t>
  </si>
  <si>
    <t xml:space="preserve">Planta del proveedor </t>
  </si>
  <si>
    <t>Especificaciones</t>
  </si>
  <si>
    <t>Jornada</t>
  </si>
  <si>
    <t>FECHA DE APLICACIÓN: AGOSTO 2020</t>
  </si>
  <si>
    <t xml:space="preserve">Verificacion porcentaje de asfalto </t>
  </si>
  <si>
    <t xml:space="preserve">Suma </t>
  </si>
  <si>
    <t>Verificación individual
(0,5% del promedio)</t>
  </si>
  <si>
    <t>Sumatoria</t>
  </si>
  <si>
    <t xml:space="preserve">Perdida de masa por granulometria </t>
  </si>
  <si>
    <t xml:space="preserve">Gravedad especifica de las formulas de trabajo </t>
  </si>
  <si>
    <t>Mezcla</t>
  </si>
  <si>
    <t>Espesores individuales</t>
  </si>
  <si>
    <t>a:</t>
  </si>
  <si>
    <t>b:</t>
  </si>
  <si>
    <t>c:</t>
  </si>
  <si>
    <t>d:</t>
  </si>
  <si>
    <t>e:</t>
  </si>
  <si>
    <t>f:</t>
  </si>
  <si>
    <t>g:</t>
  </si>
  <si>
    <t xml:space="preserve">constante norma de ensayo </t>
  </si>
  <si>
    <t>% Pasas</t>
  </si>
  <si>
    <t xml:space="preserve">SE individual </t>
  </si>
  <si>
    <t xml:space="preserve">Pb=Contenido total de asfalto </t>
  </si>
  <si>
    <t xml:space="preserve">Db: Densidad del ligante </t>
  </si>
  <si>
    <t xml:space="preserve">Pb volumen: </t>
  </si>
  <si>
    <t>Pba masa</t>
  </si>
  <si>
    <t xml:space="preserve">Pba </t>
  </si>
  <si>
    <t>Pbe</t>
  </si>
  <si>
    <t>Pg</t>
  </si>
  <si>
    <t>Pba volumen</t>
  </si>
  <si>
    <t>Pbe volumen</t>
  </si>
  <si>
    <t xml:space="preserve">Diámetro del espcimen </t>
  </si>
  <si>
    <t>Diámetros individuales</t>
  </si>
  <si>
    <t xml:space="preserve">Tamaño maximo  nominal </t>
  </si>
  <si>
    <t xml:space="preserve">Tamaño minimo de la muestra </t>
  </si>
  <si>
    <t xml:space="preserve">Verificación del tamaño </t>
  </si>
  <si>
    <t>Factor de corrección espesores</t>
  </si>
  <si>
    <t xml:space="preserve">Temperatura ensayo </t>
  </si>
  <si>
    <t>Temperaturas</t>
  </si>
  <si>
    <t xml:space="preserve">espesores de especimen </t>
  </si>
  <si>
    <t>Flujo (Metodo A)</t>
  </si>
  <si>
    <t>Ps</t>
  </si>
  <si>
    <t>Vacios en el agregado mineral (VAM)</t>
  </si>
  <si>
    <t>Vacios llenos de asfalto (VFA)</t>
  </si>
  <si>
    <t xml:space="preserve">cv: Concentración real </t>
  </si>
  <si>
    <t xml:space="preserve">Concentración de llenante </t>
  </si>
  <si>
    <t xml:space="preserve">Numero de especimen </t>
  </si>
  <si>
    <r>
      <t>SE: Superficie especifica del agregado combinado (m</t>
    </r>
    <r>
      <rPr>
        <b/>
        <sz val="9"/>
        <color theme="1"/>
        <rFont val="Calibri"/>
        <family val="2"/>
      </rPr>
      <t>²</t>
    </r>
    <r>
      <rPr>
        <b/>
        <sz val="9"/>
        <color theme="1"/>
        <rFont val="Arial"/>
        <family val="2"/>
      </rPr>
      <t>/Kg)</t>
    </r>
  </si>
  <si>
    <r>
      <t>Ha (</t>
    </r>
    <r>
      <rPr>
        <b/>
        <sz val="10"/>
        <color theme="1"/>
        <rFont val="Calibri"/>
        <family val="2"/>
      </rPr>
      <t>µ</t>
    </r>
    <r>
      <rPr>
        <b/>
        <sz val="9.5"/>
        <color theme="1"/>
        <rFont val="Arial"/>
        <family val="2"/>
      </rPr>
      <t xml:space="preserve">m) espesor medio de pelicula de asfalto </t>
    </r>
  </si>
  <si>
    <t>VERSIÓN: 2</t>
  </si>
  <si>
    <t>CÓDIGO: GLAB-FM-170</t>
  </si>
  <si>
    <t>VERSIÓN: 3</t>
  </si>
  <si>
    <t xml:space="preserve">ESTABILIDAD Y FLUJO </t>
  </si>
  <si>
    <t>Especificación técnica</t>
  </si>
  <si>
    <t>INFORME DE ENSAYO 
CONTROL DE LA COMPOSICIÓN Y DE LA CALIDAD DE LA MEZCLA ASFÁLTICA DENSA EN CALIENTE</t>
  </si>
  <si>
    <t>N° 8</t>
  </si>
  <si>
    <t>Tamices</t>
  </si>
  <si>
    <t>MD 10 -MD 12</t>
  </si>
  <si>
    <t xml:space="preserve">Grafica </t>
  </si>
  <si>
    <t>Tabla Especificacion granulometria</t>
  </si>
  <si>
    <t>Grafica tamiz No 8</t>
  </si>
  <si>
    <t>Tamiz</t>
  </si>
  <si>
    <t>%pasa</t>
  </si>
  <si>
    <t>% Retenido acomulado</t>
  </si>
  <si>
    <t>Verificación de la gravedad especifica Bulk</t>
  </si>
  <si>
    <t>MIN</t>
  </si>
  <si>
    <t>MAX</t>
  </si>
  <si>
    <t>VERIFICACIÓN DEL ALCANCE DE ACREDITACIÓN INV E-733-13</t>
  </si>
  <si>
    <t>VERIFICACIÓN DEL ALCANCE DE ACREDITACIÓN INV E-735-13</t>
  </si>
  <si>
    <t>MD-10 CTO 529-19(INCOLVIAS S.A.S)</t>
  </si>
  <si>
    <t>MD-12 CTO 529-19(INCOLVIAS S.A.S)</t>
  </si>
  <si>
    <t>Verificación de absorción</t>
  </si>
  <si>
    <t>Coordinador Operativo</t>
  </si>
  <si>
    <t>PRADA CESAR</t>
  </si>
  <si>
    <t>GALVIS DANIEL</t>
  </si>
  <si>
    <t xml:space="preserve">VELASQUEZ JUAN CAMILO </t>
  </si>
  <si>
    <t xml:space="preserve">QUIÑONES ETIEL </t>
  </si>
  <si>
    <t>RIOS JOSE</t>
  </si>
  <si>
    <t xml:space="preserve">VAQUIRO JUAN CAMILO </t>
  </si>
  <si>
    <t xml:space="preserve">RINCON ALVARO JOSE </t>
  </si>
  <si>
    <t>CABALLERO YESID</t>
  </si>
  <si>
    <t xml:space="preserve">ACERO ROBERTO </t>
  </si>
  <si>
    <t>GONZALEZ CAMILO</t>
  </si>
  <si>
    <t>GARCIA JOSE</t>
  </si>
  <si>
    <t>Contenido de asfalto caucho</t>
  </si>
  <si>
    <t>VERSIÓN: 12</t>
  </si>
  <si>
    <t>FECHA DE APLICACIÓN: OCTUBRE 2020</t>
  </si>
  <si>
    <t>INFORME DE ENSAYO
GRAVEDAD ESPECIFICA BULK INV E 733-13 Y MAXIMA  DE MEZCLA ASFALTICA INV 735-13</t>
  </si>
  <si>
    <t xml:space="preserve">El contenido de asfalto caucho se calcula tomando el </t>
  </si>
  <si>
    <t>% de caucho</t>
  </si>
  <si>
    <t xml:space="preserve">según el certificado de calidad del contratista con consecutivo </t>
  </si>
  <si>
    <t xml:space="preserve">Técnico operativo </t>
  </si>
  <si>
    <t xml:space="preserve">Observaciones:  </t>
  </si>
  <si>
    <t>Los resultados del ensayo de Gravedad especifica máxima de mezclas asfálticas para pavimentos INV 735-13 esta fuera del alcance de acreditación aprobado.</t>
  </si>
  <si>
    <t xml:space="preserve">Verificación cumplimiento alcance y precision </t>
  </si>
  <si>
    <t>Formula de trabajo del 2020/10/15</t>
  </si>
  <si>
    <t>Fecha de aplicación 2021/02/03</t>
  </si>
  <si>
    <t>Formula de trabajo del 2020/11/06</t>
  </si>
  <si>
    <t>Formula de trabajo del 2020/11/30</t>
  </si>
  <si>
    <t>---</t>
  </si>
  <si>
    <t>JENNYFER ARIAS</t>
  </si>
  <si>
    <t>Auxiliar Técnico</t>
  </si>
  <si>
    <t>CINDY NATHALY SASTOQUE</t>
  </si>
  <si>
    <t xml:space="preserve">Procedencia </t>
  </si>
  <si>
    <t>ESPECIFICACIÓN TÉCNICA IDU SECCION 510-11, Categoría de trafico T4-T5</t>
  </si>
  <si>
    <t>ESPECIFICACIÓN TÉCNICA ARTICULO 467-13PARTICULAR, Categoría de transito NT2-NT3</t>
  </si>
  <si>
    <t>Mín.</t>
  </si>
  <si>
    <t>MGCR Tipo I</t>
  </si>
  <si>
    <t>Anexo A,
 Art 467-13</t>
  </si>
  <si>
    <t>SAENZ JESSICA</t>
  </si>
  <si>
    <t>Volumen total del lote (m³):</t>
  </si>
  <si>
    <t>T: Espesor mm.</t>
  </si>
  <si>
    <t>Espesor</t>
  </si>
  <si>
    <t>cm³</t>
  </si>
  <si>
    <t>Gravedad específica máxima (Rice)</t>
  </si>
  <si>
    <t>t":Espesor</t>
  </si>
  <si>
    <t>Rt: Resistencia</t>
  </si>
  <si>
    <t>Rts: Promedio  resistencia</t>
  </si>
  <si>
    <t>SI</t>
  </si>
  <si>
    <t>NO</t>
  </si>
  <si>
    <t xml:space="preserve"> </t>
  </si>
  <si>
    <t xml:space="preserve">INV 745-13 Concentracion critica del llenante </t>
  </si>
  <si>
    <t xml:space="preserve">A: Masa seca al  aire     </t>
  </si>
  <si>
    <t xml:space="preserve">I: Volumen de vacíos  </t>
  </si>
  <si>
    <t xml:space="preserve">B: Masa    SSS </t>
  </si>
  <si>
    <t>INFORME DE ENSAYO 
EVALUACIÓN DE LA SUSCEPTIBILIDAD AL AGUA DE LAS MEZCLAS DE CONCRETO ASFALTICO UTILIZANDO LA PRUEBA DE TRACCIÓN INDIRECTA (TSR) INV E 725-13</t>
  </si>
  <si>
    <t>Paginas</t>
  </si>
  <si>
    <t>Pagina</t>
  </si>
  <si>
    <t>de</t>
  </si>
  <si>
    <t>Pagina xx de xx</t>
  </si>
  <si>
    <t xml:space="preserve">Fecha de ejecución: </t>
  </si>
  <si>
    <t xml:space="preserve">C: Masa sumergida en agua              </t>
  </si>
  <si>
    <t>Espécimen  N°.</t>
  </si>
  <si>
    <t>Diámetro</t>
  </si>
  <si>
    <t xml:space="preserve">Húmedo </t>
  </si>
  <si>
    <t xml:space="preserve">C":Masa sumergida en agua              </t>
  </si>
  <si>
    <t>VERSIÓN: 9</t>
  </si>
  <si>
    <t>FECHA DE APLICACIÓN: OCTUBRE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</si>
</sst>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41" formatCode="_-* #,##0_-;\-* #,##0_-;_-* &quot;-&quot;_-;_-@_-"/>
    <numFmt numFmtId="43" formatCode="_-* #,##0.00_-;\-* #,##0.00_-;_-* &quot;-&quot;??_-;_-@_-"/>
    <numFmt numFmtId="164" formatCode="&quot;$&quot;\ #,##0.00_);\(&quot;$&quot;\ #,##0.00\)"/>
    <numFmt numFmtId="165" formatCode="_(* #,##0_);_(* \(#,##0\);_(* &quot;-&quot;_);_(@_)"/>
    <numFmt numFmtId="166" formatCode="_(* #,##0.00_);_(* \(#,##0.00\);_(* &quot;-&quot;??_);_(@_)"/>
    <numFmt numFmtId="167" formatCode="#,##0.00\ &quot;€&quot;;[Red]\-#,##0.00\ &quot;€&quot;"/>
    <numFmt numFmtId="168" formatCode="_-* #,##0.00\ &quot;€&quot;_-;\-* #,##0.00\ &quot;€&quot;_-;_-* &quot;-&quot;??\ &quot;€&quot;_-;_-@_-"/>
    <numFmt numFmtId="169" formatCode="_-* #,##0.00\ _€_-;\-* #,##0.00\ _€_-;_-* &quot;-&quot;??\ _€_-;_-@_-"/>
    <numFmt numFmtId="170" formatCode="0.0"/>
    <numFmt numFmtId="171" formatCode="0.0%"/>
    <numFmt numFmtId="172" formatCode="#,##0\ &quot;$&quot;;\-#,##0\ &quot;$&quot;"/>
    <numFmt numFmtId="173" formatCode="0.000"/>
    <numFmt numFmtId="174" formatCode="0.0000"/>
    <numFmt numFmtId="175" formatCode="_(* #,##0.00000_);_(* \(#,##0.00000\);_(* &quot;-&quot;??_);_(@_)"/>
    <numFmt numFmtId="176" formatCode="_([$€]* #,##0.00_);_([$€]* \(#,##0.00\);_([$€]* &quot;-&quot;??_);_(@_)"/>
    <numFmt numFmtId="177" formatCode="_ [$€-2]\ * #,##0.00_ ;_ [$€-2]\ * \-#,##0.00_ ;_ [$€-2]\ * &quot;-&quot;??_ "/>
    <numFmt numFmtId="178" formatCode="#,##0\ &quot;$&quot;;[Red]\-#,##0\ &quot;$&quot;"/>
    <numFmt numFmtId="179" formatCode="_-* #,##0\ _P_t_s_-;\-* #,##0\ _P_t_s_-;_-* &quot;-&quot;??\ _P_t_s_-;_-@_-"/>
    <numFmt numFmtId="180" formatCode="_(* #,##0.000_);_(* \(#,##0.000\);_(* &quot;-&quot;??_);_(@_)"/>
    <numFmt numFmtId="181" formatCode="_ * #,##0.00_ ;_ * \-#,##0.00_ ;_ * &quot;-&quot;??_ ;_ @_ "/>
    <numFmt numFmtId="182" formatCode="_-* #,##0.0\ _P_t_s_-;\-* #,##0.0\ _P_t_s_-;_-* &quot;-&quot;??\ _P_t_s_-;_-@_-"/>
    <numFmt numFmtId="183" formatCode="_ * #,##0_ ;_ * \-#,##0_ ;_ * &quot;-&quot;_ ;_ @_ "/>
    <numFmt numFmtId="184" formatCode="&quot;$&quot;#,##0\ ;\(&quot;$&quot;#,##0\)"/>
    <numFmt numFmtId="185" formatCode="General_)"/>
    <numFmt numFmtId="186" formatCode="#,##0.00\ &quot;$&quot;;\-#,##0.00\ &quot;$&quot;"/>
    <numFmt numFmtId="187" formatCode="000"/>
    <numFmt numFmtId="188" formatCode="#,##0.000"/>
    <numFmt numFmtId="189" formatCode="#,##0.0"/>
    <numFmt numFmtId="190" formatCode="yyyy\-mm\-dd;@"/>
  </numFmts>
  <fonts count="1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indexed="24"/>
      <name val="Modern"/>
      <family val="3"/>
      <charset val="255"/>
    </font>
    <font>
      <sz val="10"/>
      <name val="Helv"/>
    </font>
    <font>
      <b/>
      <sz val="10"/>
      <color indexed="24"/>
      <name val="Modern"/>
      <family val="3"/>
      <charset val="255"/>
    </font>
    <font>
      <sz val="8"/>
      <color indexed="24"/>
      <name val="Arial"/>
      <family val="2"/>
    </font>
    <font>
      <sz val="10"/>
      <color indexed="24"/>
      <name val="Arial"/>
      <family val="2"/>
    </font>
    <font>
      <sz val="8"/>
      <name val="Courier"/>
      <family val="3"/>
    </font>
    <font>
      <sz val="10"/>
      <color indexed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FF0000"/>
      <name val="Arial"/>
      <family val="2"/>
    </font>
    <font>
      <sz val="10"/>
      <color rgb="FFFF0000"/>
      <name val="Calibri"/>
      <family val="2"/>
      <scheme val="minor"/>
    </font>
    <font>
      <sz val="10"/>
      <color theme="0"/>
      <name val="Arial"/>
      <family val="2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b/>
      <sz val="8"/>
      <color indexed="12"/>
      <name val="Arial"/>
      <family val="2"/>
    </font>
    <font>
      <vertAlign val="subscript"/>
      <sz val="8"/>
      <name val="Arial"/>
      <family val="2"/>
    </font>
    <font>
      <sz val="12"/>
      <name val="Arial"/>
      <family val="2"/>
    </font>
    <font>
      <sz val="7"/>
      <color theme="0" tint="-0.499984740745262"/>
      <name val="Arial"/>
      <family val="2"/>
    </font>
    <font>
      <sz val="10"/>
      <name val="Times New Roman"/>
      <family val="1"/>
    </font>
    <font>
      <sz val="8"/>
      <color rgb="FFFF0000"/>
      <name val="Arial"/>
      <family val="2"/>
    </font>
    <font>
      <sz val="8"/>
      <color theme="1" tint="0.499984740745262"/>
      <name val="Arial"/>
      <family val="2"/>
    </font>
    <font>
      <sz val="10"/>
      <color indexed="63"/>
      <name val="Arial"/>
      <family val="2"/>
    </font>
    <font>
      <sz val="8"/>
      <color indexed="63"/>
      <name val="Arial"/>
      <family val="2"/>
    </font>
    <font>
      <b/>
      <sz val="10"/>
      <color indexed="63"/>
      <name val="Arial"/>
      <family val="2"/>
    </font>
    <font>
      <sz val="9"/>
      <color theme="0"/>
      <name val="Arial"/>
      <family val="2"/>
    </font>
    <font>
      <sz val="9"/>
      <color indexed="63"/>
      <name val="Arial"/>
      <family val="2"/>
    </font>
    <font>
      <sz val="8"/>
      <color theme="0" tint="-0.499984740745262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 tint="0.499984740745262"/>
      <name val="Arial"/>
      <family val="2"/>
    </font>
    <font>
      <b/>
      <sz val="9"/>
      <name val="Calibri"/>
      <family val="2"/>
    </font>
    <font>
      <b/>
      <sz val="8"/>
      <color theme="1" tint="0.499984740745262"/>
      <name val="Arial"/>
      <family val="2"/>
    </font>
    <font>
      <b/>
      <sz val="7"/>
      <name val="Arial"/>
      <family val="2"/>
    </font>
    <font>
      <sz val="7"/>
      <name val="Calibri"/>
      <family val="2"/>
      <scheme val="minor"/>
    </font>
    <font>
      <sz val="8"/>
      <color theme="0" tint="-0.499984740745262"/>
      <name val="Arial"/>
      <family val="2"/>
    </font>
    <font>
      <sz val="8"/>
      <color theme="1"/>
      <name val="Arial"/>
      <family val="2"/>
    </font>
    <font>
      <b/>
      <sz val="6"/>
      <name val="Arial"/>
      <family val="2"/>
    </font>
    <font>
      <sz val="7"/>
      <color theme="1"/>
      <name val="Arial"/>
      <family val="2"/>
    </font>
    <font>
      <sz val="6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Calibri"/>
      <family val="2"/>
    </font>
    <font>
      <sz val="8"/>
      <color theme="1" tint="0.499984740745262"/>
      <name val="Calibri"/>
      <family val="2"/>
    </font>
    <font>
      <sz val="6"/>
      <name val="Arial"/>
      <family val="2"/>
    </font>
    <font>
      <b/>
      <sz val="8"/>
      <color rgb="FF00B050"/>
      <name val="Arial"/>
      <family val="2"/>
    </font>
    <font>
      <sz val="6"/>
      <color theme="1" tint="0.499984740745262"/>
      <name val="Arial"/>
      <family val="2"/>
    </font>
    <font>
      <sz val="6"/>
      <color theme="1" tint="0.499984740745262"/>
      <name val="Calibri"/>
      <family val="2"/>
    </font>
    <font>
      <sz val="8"/>
      <name val="Calibri"/>
      <family val="2"/>
    </font>
    <font>
      <sz val="7"/>
      <color theme="1" tint="0.499984740745262"/>
      <name val="Calibri"/>
      <family val="2"/>
    </font>
    <font>
      <sz val="8.5"/>
      <name val="Arial"/>
      <family val="2"/>
    </font>
    <font>
      <sz val="8.5"/>
      <color theme="1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0"/>
      <color indexed="63"/>
      <name val="Calibri"/>
      <family val="2"/>
      <scheme val="minor"/>
    </font>
    <font>
      <b/>
      <sz val="10"/>
      <color indexed="63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color rgb="FF00B050"/>
      <name val="Calibri"/>
      <family val="2"/>
      <scheme val="minor"/>
    </font>
    <font>
      <sz val="8"/>
      <color rgb="FF00B050"/>
      <name val="Arial"/>
      <family val="2"/>
    </font>
    <font>
      <sz val="10"/>
      <color rgb="FF00B050"/>
      <name val="Arial"/>
      <family val="2"/>
    </font>
    <font>
      <sz val="8"/>
      <color rgb="FF00B050"/>
      <name val="Calibri"/>
      <family val="2"/>
      <scheme val="minor"/>
    </font>
    <font>
      <b/>
      <sz val="8"/>
      <color rgb="FF00B050"/>
      <name val="Calibri"/>
      <family val="2"/>
      <scheme val="minor"/>
    </font>
    <font>
      <sz val="10"/>
      <color theme="1"/>
      <name val="Arial"/>
      <family val="2"/>
    </font>
    <font>
      <b/>
      <sz val="8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7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9.5"/>
      <color theme="1"/>
      <name val="Arial"/>
      <family val="2"/>
    </font>
    <font>
      <sz val="6"/>
      <color theme="1"/>
      <name val="Calibri"/>
      <family val="2"/>
      <scheme val="minor"/>
    </font>
    <font>
      <sz val="6"/>
      <color theme="1"/>
      <name val="Arial"/>
      <family val="2"/>
    </font>
    <font>
      <b/>
      <sz val="7"/>
      <color rgb="FFFF0000"/>
      <name val="Arial"/>
      <family val="2"/>
    </font>
    <font>
      <b/>
      <sz val="6"/>
      <color rgb="FFFF0000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 tint="0.499984740745262"/>
      <name val="Arial"/>
      <family val="2"/>
    </font>
    <font>
      <sz val="9"/>
      <color theme="1" tint="0.499984740745262"/>
      <name val="Arial"/>
      <family val="2"/>
    </font>
    <font>
      <b/>
      <sz val="9"/>
      <color theme="1" tint="0.499984740745262"/>
      <name val="Arial"/>
      <family val="2"/>
    </font>
    <font>
      <u/>
      <sz val="8"/>
      <color theme="1"/>
      <name val="Arial"/>
      <family val="2"/>
    </font>
    <font>
      <i/>
      <sz val="8"/>
      <name val="Arial"/>
      <family val="2"/>
    </font>
    <font>
      <b/>
      <sz val="12"/>
      <name val="Arial"/>
      <family val="2"/>
    </font>
    <font>
      <b/>
      <i/>
      <sz val="9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gray0625">
        <fgColor theme="0" tint="-0.14996795556505021"/>
        <bgColor indexed="65"/>
      </patternFill>
    </fill>
    <fill>
      <patternFill patternType="gray125">
        <fgColor theme="0" tint="-4.9989318521683403E-2"/>
        <bgColor theme="0"/>
      </patternFill>
    </fill>
    <fill>
      <patternFill patternType="gray0625">
        <fgColor theme="0" tint="-0.24994659260841701"/>
        <bgColor indexed="65"/>
      </patternFill>
    </fill>
    <fill>
      <patternFill patternType="gray0625">
        <fgColor theme="0" tint="-0.24994659260841701"/>
        <bgColor theme="0"/>
      </patternFill>
    </fill>
    <fill>
      <patternFill patternType="solid">
        <fgColor theme="0"/>
        <bgColor theme="0" tint="-0.14996795556505021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0" tint="-0.14996795556505021"/>
      </patternFill>
    </fill>
    <fill>
      <patternFill patternType="gray125">
        <fgColor theme="0" tint="-4.9989318521683403E-2"/>
        <bgColor rgb="FF00B050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9"/>
        <bgColor indexed="64"/>
      </patternFill>
    </fill>
  </fills>
  <borders count="18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/>
      <top style="dashed">
        <color theme="0" tint="-0.499984740745262"/>
      </top>
      <bottom style="dashed">
        <color theme="0" tint="-0.499984740745262"/>
      </bottom>
      <diagonal/>
    </border>
    <border>
      <left/>
      <right style="thin">
        <color indexed="64"/>
      </right>
      <top style="dashed">
        <color theme="0" tint="-0.499984740745262"/>
      </top>
      <bottom style="dashed">
        <color theme="0" tint="-0.499984740745262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indexed="64"/>
      </left>
      <right style="dashed">
        <color theme="0" tint="-0.499984740745262"/>
      </right>
      <top/>
      <bottom style="thin">
        <color indexed="64"/>
      </bottom>
      <diagonal/>
    </border>
    <border>
      <left style="dashed">
        <color theme="0" tint="-0.499984740745262"/>
      </left>
      <right style="dashed">
        <color theme="0" tint="-0.499984740745262"/>
      </right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dashed">
        <color theme="0" tint="-0.499984740745262"/>
      </bottom>
      <diagonal/>
    </border>
    <border>
      <left/>
      <right/>
      <top style="thin">
        <color theme="1"/>
      </top>
      <bottom style="dashed">
        <color theme="0" tint="-0.499984740745262"/>
      </bottom>
      <diagonal/>
    </border>
    <border>
      <left/>
      <right style="thin">
        <color theme="1"/>
      </right>
      <top style="thin">
        <color theme="1"/>
      </top>
      <bottom style="dashed">
        <color theme="0" tint="-0.499984740745262"/>
      </bottom>
      <diagonal/>
    </border>
    <border>
      <left style="thin">
        <color theme="1"/>
      </left>
      <right/>
      <top style="dashed">
        <color theme="0" tint="-0.499984740745262"/>
      </top>
      <bottom style="dashed">
        <color theme="0" tint="-0.499984740745262"/>
      </bottom>
      <diagonal/>
    </border>
    <border>
      <left/>
      <right style="thin">
        <color theme="1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indexed="64"/>
      </left>
      <right style="thin">
        <color indexed="64"/>
      </right>
      <top style="dashed">
        <color theme="0" tint="-0.499984740745262"/>
      </top>
      <bottom/>
      <diagonal/>
    </border>
    <border>
      <left style="thin">
        <color indexed="64"/>
      </left>
      <right/>
      <top style="dashed">
        <color theme="0" tint="-0.499984740745262"/>
      </top>
      <bottom style="thin">
        <color theme="1"/>
      </bottom>
      <diagonal/>
    </border>
    <border>
      <left/>
      <right/>
      <top style="dashed">
        <color theme="0" tint="-0.499984740745262"/>
      </top>
      <bottom style="thin">
        <color theme="1"/>
      </bottom>
      <diagonal/>
    </border>
    <border>
      <left/>
      <right style="thin">
        <color indexed="64"/>
      </right>
      <top style="dashed">
        <color theme="0" tint="-0.499984740745262"/>
      </top>
      <bottom style="thin">
        <color theme="1"/>
      </bottom>
      <diagonal/>
    </border>
    <border>
      <left/>
      <right style="dashed">
        <color theme="0" tint="-0.499984740745262"/>
      </right>
      <top style="thin">
        <color theme="1"/>
      </top>
      <bottom style="dashed">
        <color theme="0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dashed">
        <color theme="0" tint="-0.499984740745262"/>
      </bottom>
      <diagonal/>
    </border>
    <border>
      <left style="thin">
        <color theme="1"/>
      </left>
      <right style="thin">
        <color theme="1"/>
      </right>
      <top style="dashed">
        <color theme="0" tint="-0.499984740745262"/>
      </top>
      <bottom style="dashed">
        <color theme="0" tint="-0.499984740745262"/>
      </bottom>
      <diagonal/>
    </border>
    <border>
      <left/>
      <right style="thin">
        <color indexed="64"/>
      </right>
      <top style="thin">
        <color theme="1"/>
      </top>
      <bottom style="dashed">
        <color theme="0" tint="-0.499984740745262"/>
      </bottom>
      <diagonal/>
    </border>
    <border>
      <left style="thin">
        <color indexed="64"/>
      </left>
      <right/>
      <top style="thin">
        <color theme="1"/>
      </top>
      <bottom style="dashed">
        <color theme="0" tint="-0.499984740745262"/>
      </bottom>
      <diagonal/>
    </border>
    <border>
      <left style="dashed">
        <color theme="0" tint="-0.499984740745262"/>
      </left>
      <right style="dashed">
        <color theme="0" tint="-0.499984740745262"/>
      </right>
      <top style="thin">
        <color theme="1"/>
      </top>
      <bottom style="dashed">
        <color theme="0" tint="-0.499984740745262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 style="dashed">
        <color theme="0" tint="-0.14999847407452621"/>
      </bottom>
      <diagonal/>
    </border>
    <border>
      <left/>
      <right style="dashed">
        <color theme="0" tint="-0.14999847407452621"/>
      </right>
      <top style="thin">
        <color indexed="64"/>
      </top>
      <bottom/>
      <diagonal/>
    </border>
    <border>
      <left/>
      <right style="dashed">
        <color theme="0" tint="-0.14999847407452621"/>
      </right>
      <top/>
      <bottom/>
      <diagonal/>
    </border>
    <border>
      <left/>
      <right style="dashed">
        <color theme="0" tint="-0.14999847407452621"/>
      </right>
      <top/>
      <bottom style="dashed">
        <color theme="0" tint="-0.14999847407452621"/>
      </bottom>
      <diagonal/>
    </border>
    <border>
      <left/>
      <right/>
      <top style="dashed">
        <color theme="0" tint="-0.14999847407452621"/>
      </top>
      <bottom/>
      <diagonal/>
    </border>
    <border>
      <left style="dashed">
        <color theme="0" tint="-0.14999847407452621"/>
      </left>
      <right/>
      <top/>
      <bottom/>
      <diagonal/>
    </border>
    <border>
      <left style="dashed">
        <color theme="0" tint="-0.14999847407452621"/>
      </left>
      <right/>
      <top style="thin">
        <color indexed="64"/>
      </top>
      <bottom/>
      <diagonal/>
    </border>
    <border>
      <left style="dashed">
        <color theme="0" tint="-0.14999847407452621"/>
      </left>
      <right/>
      <top/>
      <bottom style="dashed">
        <color theme="0" tint="-0.14999847407452621"/>
      </bottom>
      <diagonal/>
    </border>
    <border>
      <left style="thin">
        <color indexed="64"/>
      </left>
      <right style="dashed">
        <color theme="0" tint="-0.14999847407452621"/>
      </right>
      <top/>
      <bottom/>
      <diagonal/>
    </border>
    <border>
      <left/>
      <right/>
      <top style="double">
        <color theme="1"/>
      </top>
      <bottom style="double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/>
      <top style="double">
        <color indexed="64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indexed="64"/>
      </left>
      <right/>
      <top style="dashed">
        <color theme="0" tint="-0.499984740745262"/>
      </top>
      <bottom style="dashed">
        <color theme="0" tint="-0.499984740745262"/>
      </bottom>
      <diagonal/>
    </border>
    <border>
      <left/>
      <right style="dashed">
        <color theme="1" tint="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1"/>
      </left>
      <right/>
      <top style="dashed">
        <color theme="0" tint="-0.499984740745262"/>
      </top>
      <bottom style="thin">
        <color indexed="64"/>
      </bottom>
      <diagonal/>
    </border>
    <border>
      <left/>
      <right/>
      <top style="dashed">
        <color theme="0" tint="-0.499984740745262"/>
      </top>
      <bottom style="thin">
        <color indexed="64"/>
      </bottom>
      <diagonal/>
    </border>
    <border>
      <left/>
      <right style="thin">
        <color theme="1"/>
      </right>
      <top style="dashed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dashed">
        <color theme="0" tint="-0.499984740745262"/>
      </top>
      <bottom style="thin">
        <color indexed="64"/>
      </bottom>
      <diagonal/>
    </border>
    <border>
      <left/>
      <right style="dashed">
        <color theme="0" tint="-0.249977111117893"/>
      </right>
      <top style="dashed">
        <color theme="0" tint="-0.499984740745262"/>
      </top>
      <bottom style="dashed">
        <color theme="0" tint="-0.499984740745262"/>
      </bottom>
      <diagonal/>
    </border>
    <border>
      <left/>
      <right style="dashed">
        <color theme="0" tint="-0.249977111117893"/>
      </right>
      <top style="thin">
        <color theme="1"/>
      </top>
      <bottom style="dashed">
        <color theme="0" tint="-0.499984740745262"/>
      </bottom>
      <diagonal/>
    </border>
    <border>
      <left style="dashed">
        <color theme="0" tint="-0.249977111117893"/>
      </left>
      <right style="dashed">
        <color theme="0" tint="-0.249977111117893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1"/>
      </left>
      <right style="dashed">
        <color theme="0" tint="-0.249977111117893"/>
      </right>
      <top style="dashed">
        <color theme="0" tint="-0.499984740745262"/>
      </top>
      <bottom style="dashed">
        <color theme="0" tint="-0.499984740745262"/>
      </bottom>
      <diagonal/>
    </border>
    <border>
      <left style="dashed">
        <color theme="0" tint="-0.249977111117893"/>
      </left>
      <right/>
      <top style="dashed">
        <color theme="0" tint="-0.499984740745262"/>
      </top>
      <bottom style="dashed">
        <color theme="0" tint="-0.499984740745262"/>
      </bottom>
      <diagonal/>
    </border>
    <border>
      <left style="dashed">
        <color theme="0" tint="-0.249977111117893"/>
      </left>
      <right style="thin">
        <color indexed="64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/>
      <top/>
      <bottom style="dash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/>
      <right style="thin">
        <color indexed="64"/>
      </right>
      <top/>
      <bottom style="dashed">
        <color theme="0" tint="-4.9989318521683403E-2"/>
      </bottom>
      <diagonal/>
    </border>
    <border>
      <left style="thin">
        <color indexed="64"/>
      </left>
      <right style="dashed">
        <color theme="0" tint="-4.9989318521683403E-2"/>
      </right>
      <top/>
      <bottom style="dashed">
        <color theme="0" tint="-4.9989318521683403E-2"/>
      </bottom>
      <diagonal/>
    </border>
    <border>
      <left style="dashed">
        <color theme="0" tint="-4.9989318521683403E-2"/>
      </left>
      <right style="dashed">
        <color theme="0" tint="-4.9989318521683403E-2"/>
      </right>
      <top/>
      <bottom style="dashed">
        <color theme="0" tint="-4.9989318521683403E-2"/>
      </bottom>
      <diagonal/>
    </border>
    <border>
      <left style="dashed">
        <color theme="0" tint="-4.9989318521683403E-2"/>
      </left>
      <right/>
      <top/>
      <bottom style="dashed">
        <color theme="0" tint="-4.9989318521683403E-2"/>
      </bottom>
      <diagonal/>
    </border>
    <border>
      <left style="thin">
        <color theme="1"/>
      </left>
      <right style="dashed">
        <color theme="0" tint="-4.9989318521683403E-2"/>
      </right>
      <top/>
      <bottom style="dashed">
        <color theme="0" tint="-4.9989318521683403E-2"/>
      </bottom>
      <diagonal/>
    </border>
    <border>
      <left style="dashed">
        <color theme="0" tint="-4.9989318521683403E-2"/>
      </left>
      <right style="thin">
        <color indexed="64"/>
      </right>
      <top/>
      <bottom style="dashed">
        <color theme="0" tint="-4.9989318521683403E-2"/>
      </bottom>
      <diagonal/>
    </border>
    <border>
      <left style="thin">
        <color indexed="64"/>
      </left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 style="thin">
        <color indexed="64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indexed="64"/>
      </left>
      <right style="dashed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dashed">
        <color theme="0" tint="-4.9989318521683403E-2"/>
      </left>
      <right style="dashed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dashed">
        <color theme="0" tint="-4.9989318521683403E-2"/>
      </left>
      <right/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theme="1"/>
      </left>
      <right style="dashed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dashed">
        <color theme="0" tint="-4.9989318521683403E-2"/>
      </left>
      <right style="thin">
        <color indexed="64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 style="thin">
        <color theme="1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indexed="64"/>
      </left>
      <right/>
      <top style="dashed">
        <color theme="0" tint="-4.9989318521683403E-2"/>
      </top>
      <bottom/>
      <diagonal/>
    </border>
    <border>
      <left/>
      <right/>
      <top style="dashed">
        <color theme="0" tint="-4.9989318521683403E-2"/>
      </top>
      <bottom/>
      <diagonal/>
    </border>
    <border>
      <left/>
      <right style="thin">
        <color indexed="64"/>
      </right>
      <top style="dashed">
        <color theme="0" tint="-4.9989318521683403E-2"/>
      </top>
      <bottom/>
      <diagonal/>
    </border>
    <border>
      <left style="thin">
        <color indexed="64"/>
      </left>
      <right style="dashed">
        <color theme="0" tint="-4.9989318521683403E-2"/>
      </right>
      <top style="dashed">
        <color theme="0" tint="-4.9989318521683403E-2"/>
      </top>
      <bottom/>
      <diagonal/>
    </border>
    <border>
      <left style="dashed">
        <color theme="0" tint="-4.9989318521683403E-2"/>
      </left>
      <right style="dashed">
        <color theme="0" tint="-4.9989318521683403E-2"/>
      </right>
      <top style="dashed">
        <color theme="0" tint="-4.9989318521683403E-2"/>
      </top>
      <bottom/>
      <diagonal/>
    </border>
    <border>
      <left style="dashed">
        <color theme="0" tint="-4.9989318521683403E-2"/>
      </left>
      <right/>
      <top style="dashed">
        <color theme="0" tint="-4.9989318521683403E-2"/>
      </top>
      <bottom/>
      <diagonal/>
    </border>
    <border>
      <left style="thin">
        <color theme="1"/>
      </left>
      <right style="dashed">
        <color theme="0" tint="-4.9989318521683403E-2"/>
      </right>
      <top style="dashed">
        <color theme="0" tint="-4.9989318521683403E-2"/>
      </top>
      <bottom/>
      <diagonal/>
    </border>
    <border>
      <left style="dashed">
        <color theme="0" tint="-4.9989318521683403E-2"/>
      </left>
      <right style="thin">
        <color indexed="64"/>
      </right>
      <top style="dashed">
        <color theme="0" tint="-4.9989318521683403E-2"/>
      </top>
      <bottom/>
      <diagonal/>
    </border>
    <border>
      <left style="thin">
        <color indexed="64"/>
      </left>
      <right/>
      <top style="dashed">
        <color theme="0" tint="-4.9989318521683403E-2"/>
      </top>
      <bottom style="thin">
        <color indexed="64"/>
      </bottom>
      <diagonal/>
    </border>
    <border>
      <left/>
      <right/>
      <top style="dashed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dashed">
        <color theme="0" tint="-4.9989318521683403E-2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 style="dashed">
        <color theme="0" tint="-0.14999847407452621"/>
      </left>
      <right/>
      <top style="dashed">
        <color theme="0" tint="-0.14999847407452621"/>
      </top>
      <bottom style="thin">
        <color indexed="64"/>
      </bottom>
      <diagonal/>
    </border>
    <border>
      <left/>
      <right/>
      <top style="dashed">
        <color theme="0" tint="-0.14999847407452621"/>
      </top>
      <bottom style="thin">
        <color indexed="64"/>
      </bottom>
      <diagonal/>
    </border>
    <border>
      <left/>
      <right style="thin">
        <color indexed="64"/>
      </right>
      <top style="dashed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dashed">
        <color theme="0" tint="-0.14999847407452621"/>
      </right>
      <top style="thin">
        <color indexed="64"/>
      </top>
      <bottom/>
      <diagonal/>
    </border>
    <border>
      <left style="thin">
        <color indexed="64"/>
      </left>
      <right style="dashed">
        <color theme="0" tint="-0.14999847407452621"/>
      </right>
      <top/>
      <bottom style="thin">
        <color indexed="64"/>
      </bottom>
      <diagonal/>
    </border>
    <border>
      <left style="thin">
        <color theme="1"/>
      </left>
      <right/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/>
      <right style="thin">
        <color indexed="64"/>
      </right>
      <top/>
      <bottom style="double">
        <color theme="1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ashed">
        <color theme="0" tint="-0.249977111117893"/>
      </left>
      <right/>
      <top style="thin">
        <color theme="1"/>
      </top>
      <bottom style="dashed">
        <color theme="0" tint="-0.499984740745262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theme="1"/>
      </right>
      <top/>
      <bottom style="double">
        <color theme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theme="1"/>
      </left>
      <right/>
      <top/>
      <bottom style="double">
        <color indexed="64"/>
      </bottom>
      <diagonal/>
    </border>
    <border>
      <left/>
      <right style="thin">
        <color theme="1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ashed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theme="1"/>
      </left>
      <right/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theme="1"/>
      </left>
      <right style="dashed">
        <color theme="0" tint="-4.9989318521683403E-2"/>
      </right>
      <top/>
      <bottom style="thin">
        <color indexed="64"/>
      </bottom>
      <diagonal/>
    </border>
    <border>
      <left style="dashed">
        <color theme="0" tint="-4.9989318521683403E-2"/>
      </left>
      <right style="dashed">
        <color theme="0" tint="-4.9989318521683403E-2"/>
      </right>
      <top/>
      <bottom style="thin">
        <color indexed="64"/>
      </bottom>
      <diagonal/>
    </border>
    <border>
      <left style="dashed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theme="0" tint="-4.9989318521683403E-2"/>
      </bottom>
      <diagonal/>
    </border>
    <border>
      <left/>
      <right/>
      <top style="thin">
        <color indexed="64"/>
      </top>
      <bottom style="dashed">
        <color theme="0" tint="-4.9989318521683403E-2"/>
      </bottom>
      <diagonal/>
    </border>
    <border>
      <left/>
      <right style="thin">
        <color indexed="64"/>
      </right>
      <top style="thin">
        <color indexed="64"/>
      </top>
      <bottom style="dashed">
        <color theme="0" tint="-4.9989318521683403E-2"/>
      </bottom>
      <diagonal/>
    </border>
    <border>
      <left style="thin">
        <color indexed="64"/>
      </left>
      <right style="dashed">
        <color theme="0" tint="-4.9989318521683403E-2"/>
      </right>
      <top style="thin">
        <color indexed="64"/>
      </top>
      <bottom style="dashed">
        <color theme="0" tint="-4.9989318521683403E-2"/>
      </bottom>
      <diagonal/>
    </border>
    <border>
      <left style="dashed">
        <color theme="0" tint="-4.9989318521683403E-2"/>
      </left>
      <right style="dashed">
        <color theme="0" tint="-4.9989318521683403E-2"/>
      </right>
      <top style="thin">
        <color indexed="64"/>
      </top>
      <bottom style="dashed">
        <color theme="0" tint="-4.9989318521683403E-2"/>
      </bottom>
      <diagonal/>
    </border>
    <border>
      <left style="dashed">
        <color theme="0" tint="-4.9989318521683403E-2"/>
      </left>
      <right/>
      <top style="thin">
        <color indexed="64"/>
      </top>
      <bottom style="dashed">
        <color theme="0" tint="-4.9989318521683403E-2"/>
      </bottom>
      <diagonal/>
    </border>
    <border>
      <left style="thin">
        <color theme="1"/>
      </left>
      <right style="dashed">
        <color theme="0" tint="-4.9989318521683403E-2"/>
      </right>
      <top style="thin">
        <color indexed="64"/>
      </top>
      <bottom style="dashed">
        <color theme="0" tint="-4.9989318521683403E-2"/>
      </bottom>
      <diagonal/>
    </border>
    <border>
      <left style="dashed">
        <color theme="0" tint="-4.9989318521683403E-2"/>
      </left>
      <right style="thin">
        <color indexed="64"/>
      </right>
      <top style="thin">
        <color indexed="64"/>
      </top>
      <bottom style="dashed">
        <color theme="0" tint="-4.9989318521683403E-2"/>
      </bottom>
      <diagonal/>
    </border>
    <border>
      <left style="thin">
        <color indexed="64"/>
      </left>
      <right style="dashed">
        <color theme="0" tint="-4.9989318521683403E-2"/>
      </right>
      <top style="dashed">
        <color theme="0" tint="-4.9989318521683403E-2"/>
      </top>
      <bottom style="thin">
        <color indexed="64"/>
      </bottom>
      <diagonal/>
    </border>
    <border>
      <left style="dashed">
        <color theme="0" tint="-4.9989318521683403E-2"/>
      </left>
      <right style="dashed">
        <color theme="0" tint="-4.9989318521683403E-2"/>
      </right>
      <top style="dashed">
        <color theme="0" tint="-4.9989318521683403E-2"/>
      </top>
      <bottom style="thin">
        <color indexed="64"/>
      </bottom>
      <diagonal/>
    </border>
    <border>
      <left style="dashed">
        <color theme="0" tint="-4.9989318521683403E-2"/>
      </left>
      <right/>
      <top style="dashed">
        <color theme="0" tint="-4.9989318521683403E-2"/>
      </top>
      <bottom style="thin">
        <color indexed="64"/>
      </bottom>
      <diagonal/>
    </border>
    <border>
      <left style="thin">
        <color theme="1"/>
      </left>
      <right style="dashed">
        <color theme="0" tint="-4.9989318521683403E-2"/>
      </right>
      <top style="dashed">
        <color theme="0" tint="-4.9989318521683403E-2"/>
      </top>
      <bottom style="thin">
        <color indexed="64"/>
      </bottom>
      <diagonal/>
    </border>
    <border>
      <left style="dashed">
        <color theme="0" tint="-4.9989318521683403E-2"/>
      </left>
      <right style="thin">
        <color indexed="64"/>
      </right>
      <top style="dashed">
        <color theme="0" tint="-4.9989318521683403E-2"/>
      </top>
      <bottom style="thin">
        <color indexed="64"/>
      </bottom>
      <diagonal/>
    </border>
    <border>
      <left style="thin">
        <color indexed="64"/>
      </left>
      <right style="dashed">
        <color theme="0" tint="-4.9989318521683403E-2"/>
      </right>
      <top style="thin">
        <color indexed="64"/>
      </top>
      <bottom/>
      <diagonal/>
    </border>
    <border>
      <left style="dashed">
        <color theme="0" tint="-4.9989318521683403E-2"/>
      </left>
      <right style="dashed">
        <color theme="0" tint="-4.9989318521683403E-2"/>
      </right>
      <top style="thin">
        <color indexed="64"/>
      </top>
      <bottom/>
      <diagonal/>
    </border>
    <border>
      <left style="dashed">
        <color theme="0" tint="-4.9989318521683403E-2"/>
      </left>
      <right style="thin">
        <color indexed="64"/>
      </right>
      <top style="thin">
        <color indexed="64"/>
      </top>
      <bottom/>
      <diagonal/>
    </border>
  </borders>
  <cellStyleXfs count="200">
    <xf numFmtId="0" fontId="0" fillId="0" borderId="0"/>
    <xf numFmtId="172" fontId="11" fillId="0" borderId="1">
      <alignment horizontal="right"/>
    </xf>
    <xf numFmtId="2" fontId="13" fillId="0" borderId="0"/>
    <xf numFmtId="173" fontId="13" fillId="0" borderId="0"/>
    <xf numFmtId="174" fontId="14" fillId="0" borderId="0"/>
    <xf numFmtId="175" fontId="11" fillId="0" borderId="1">
      <alignment horizontal="right"/>
    </xf>
    <xf numFmtId="172" fontId="11" fillId="0" borderId="0">
      <protection locked="0"/>
    </xf>
    <xf numFmtId="3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72" fontId="11" fillId="0" borderId="0">
      <protection locked="0"/>
    </xf>
    <xf numFmtId="164" fontId="11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6" fillId="0" borderId="0"/>
    <xf numFmtId="176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2" fontId="11" fillId="0" borderId="0">
      <protection locked="0"/>
    </xf>
    <xf numFmtId="172" fontId="11" fillId="0" borderId="0">
      <protection locked="0"/>
    </xf>
    <xf numFmtId="172" fontId="11" fillId="0" borderId="0">
      <protection locked="0"/>
    </xf>
    <xf numFmtId="172" fontId="11" fillId="0" borderId="0">
      <protection locked="0"/>
    </xf>
    <xf numFmtId="172" fontId="11" fillId="0" borderId="0">
      <protection locked="0"/>
    </xf>
    <xf numFmtId="172" fontId="11" fillId="0" borderId="0">
      <protection locked="0"/>
    </xf>
    <xf numFmtId="172" fontId="11" fillId="0" borderId="0">
      <protection locked="0"/>
    </xf>
    <xf numFmtId="2" fontId="15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72" fontId="11" fillId="0" borderId="0">
      <protection locked="0"/>
    </xf>
    <xf numFmtId="172" fontId="11" fillId="0" borderId="0">
      <protection locked="0"/>
    </xf>
    <xf numFmtId="178" fontId="11" fillId="0" borderId="0">
      <alignment horizontal="right"/>
    </xf>
    <xf numFmtId="179" fontId="11" fillId="0" borderId="0" applyFont="0" applyFill="0" applyBorder="0" applyAlignment="0">
      <alignment horizont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2" fontId="11" fillId="0" borderId="0">
      <alignment horizontal="right"/>
    </xf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84" fontId="19" fillId="0" borderId="0" applyFont="0" applyFill="0" applyBorder="0" applyAlignment="0" applyProtection="0"/>
    <xf numFmtId="185" fontId="20" fillId="0" borderId="0"/>
    <xf numFmtId="186" fontId="11" fillId="0" borderId="0" applyFont="0" applyFill="0" applyBorder="0" applyAlignment="0">
      <alignment horizontal="center"/>
    </xf>
    <xf numFmtId="0" fontId="24" fillId="0" borderId="0"/>
    <xf numFmtId="0" fontId="11" fillId="0" borderId="0"/>
    <xf numFmtId="1" fontId="11" fillId="0" borderId="0"/>
    <xf numFmtId="1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24" fillId="0" borderId="0"/>
    <xf numFmtId="0" fontId="22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6" fillId="0" borderId="0"/>
    <xf numFmtId="172" fontId="11" fillId="0" borderId="0">
      <protection locked="0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1" fillId="0" borderId="0">
      <alignment vertical="top"/>
    </xf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42" fillId="0" borderId="0"/>
    <xf numFmtId="0" fontId="11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7" fillId="0" borderId="0"/>
    <xf numFmtId="0" fontId="11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733">
    <xf numFmtId="0" fontId="0" fillId="0" borderId="0" xfId="0"/>
    <xf numFmtId="0" fontId="38" fillId="0" borderId="0" xfId="0" applyFont="1" applyFill="1" applyAlignment="1" applyProtection="1">
      <alignment horizontal="center" vertical="center"/>
    </xf>
    <xf numFmtId="173" fontId="38" fillId="0" borderId="0" xfId="0" applyNumberFormat="1" applyFont="1" applyFill="1" applyAlignment="1" applyProtection="1">
      <alignment horizontal="center" vertical="center"/>
    </xf>
    <xf numFmtId="170" fontId="40" fillId="0" borderId="0" xfId="0" applyNumberFormat="1" applyFont="1" applyFill="1" applyAlignment="1" applyProtection="1">
      <alignment horizontal="center" vertical="center"/>
    </xf>
    <xf numFmtId="173" fontId="40" fillId="0" borderId="0" xfId="0" applyNumberFormat="1" applyFont="1" applyFill="1" applyAlignment="1" applyProtection="1">
      <alignment horizontal="center" vertical="center"/>
    </xf>
    <xf numFmtId="170" fontId="70" fillId="0" borderId="0" xfId="0" applyNumberFormat="1" applyFont="1" applyFill="1" applyAlignment="1" applyProtection="1">
      <alignment horizontal="center" vertical="center"/>
    </xf>
    <xf numFmtId="173" fontId="70" fillId="0" borderId="0" xfId="0" applyNumberFormat="1" applyFont="1" applyFill="1" applyAlignment="1" applyProtection="1">
      <alignment horizontal="center" vertical="center"/>
    </xf>
    <xf numFmtId="170" fontId="53" fillId="0" borderId="0" xfId="0" applyNumberFormat="1" applyFont="1" applyBorder="1" applyAlignment="1" applyProtection="1">
      <alignment horizontal="center" vertical="center"/>
      <protection locked="0"/>
    </xf>
    <xf numFmtId="0" fontId="69" fillId="0" borderId="20" xfId="150" applyFont="1" applyBorder="1" applyAlignment="1" applyProtection="1">
      <alignment wrapText="1"/>
    </xf>
    <xf numFmtId="170" fontId="46" fillId="4" borderId="0" xfId="0" applyNumberFormat="1" applyFont="1" applyFill="1" applyBorder="1" applyAlignment="1" applyProtection="1">
      <alignment horizontal="center" vertical="center" wrapText="1"/>
      <protection locked="0"/>
    </xf>
    <xf numFmtId="1" fontId="46" fillId="4" borderId="0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Protection="1">
      <protection locked="0"/>
    </xf>
    <xf numFmtId="1" fontId="28" fillId="0" borderId="0" xfId="0" applyNumberFormat="1" applyFont="1" applyBorder="1" applyAlignment="1" applyProtection="1">
      <alignment vertical="center" wrapText="1"/>
      <protection locked="0"/>
    </xf>
    <xf numFmtId="170" fontId="52" fillId="0" borderId="15" xfId="0" applyNumberFormat="1" applyFont="1" applyBorder="1" applyAlignment="1" applyProtection="1">
      <alignment horizontal="center" vertical="center" wrapText="1"/>
      <protection locked="0"/>
    </xf>
    <xf numFmtId="170" fontId="53" fillId="0" borderId="9" xfId="0" applyNumberFormat="1" applyFont="1" applyBorder="1" applyAlignment="1" applyProtection="1">
      <alignment horizontal="center" vertical="center"/>
      <protection locked="0"/>
    </xf>
    <xf numFmtId="170" fontId="53" fillId="0" borderId="10" xfId="0" applyNumberFormat="1" applyFont="1" applyBorder="1" applyAlignment="1" applyProtection="1">
      <alignment horizontal="center" vertical="center"/>
      <protection locked="0"/>
    </xf>
    <xf numFmtId="170" fontId="53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0" xfId="82" applyFont="1" applyFill="1" applyProtection="1">
      <protection locked="0"/>
    </xf>
    <xf numFmtId="0" fontId="11" fillId="0" borderId="0" xfId="0" applyFont="1" applyFill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2" fillId="0" borderId="0" xfId="0" applyFont="1" applyFill="1" applyBorder="1" applyAlignment="1" applyProtection="1">
      <alignment vertical="center"/>
      <protection locked="0"/>
    </xf>
    <xf numFmtId="0" fontId="37" fillId="2" borderId="33" xfId="0" applyFont="1" applyFill="1" applyBorder="1" applyAlignment="1" applyProtection="1">
      <alignment horizontal="center" vertical="center"/>
    </xf>
    <xf numFmtId="0" fontId="0" fillId="2" borderId="34" xfId="0" applyFont="1" applyFill="1" applyBorder="1" applyAlignment="1" applyProtection="1">
      <alignment horizontal="center" vertical="center"/>
    </xf>
    <xf numFmtId="0" fontId="0" fillId="2" borderId="13" xfId="0" applyFont="1" applyFill="1" applyBorder="1" applyAlignment="1" applyProtection="1">
      <alignment horizontal="center" vertical="center"/>
    </xf>
    <xf numFmtId="170" fontId="13" fillId="4" borderId="22" xfId="0" applyNumberFormat="1" applyFont="1" applyFill="1" applyBorder="1" applyAlignment="1" applyProtection="1">
      <alignment horizontal="center" vertical="center"/>
    </xf>
    <xf numFmtId="170" fontId="46" fillId="4" borderId="45" xfId="0" applyNumberFormat="1" applyFont="1" applyFill="1" applyBorder="1" applyAlignment="1" applyProtection="1">
      <alignment horizontal="center" vertical="center"/>
    </xf>
    <xf numFmtId="170" fontId="46" fillId="4" borderId="50" xfId="0" applyNumberFormat="1" applyFont="1" applyFill="1" applyBorder="1" applyAlignment="1" applyProtection="1">
      <alignment horizontal="center" vertical="center"/>
    </xf>
    <xf numFmtId="170" fontId="46" fillId="4" borderId="37" xfId="0" applyNumberFormat="1" applyFont="1" applyFill="1" applyBorder="1" applyAlignment="1" applyProtection="1">
      <alignment horizontal="center" vertical="center"/>
    </xf>
    <xf numFmtId="170" fontId="13" fillId="4" borderId="41" xfId="0" applyNumberFormat="1" applyFont="1" applyFill="1" applyBorder="1" applyAlignment="1" applyProtection="1">
      <alignment horizontal="center" vertical="center"/>
    </xf>
    <xf numFmtId="0" fontId="13" fillId="4" borderId="46" xfId="0" applyFont="1" applyFill="1" applyBorder="1" applyAlignment="1" applyProtection="1">
      <alignment horizontal="center" vertical="center"/>
    </xf>
    <xf numFmtId="1" fontId="13" fillId="4" borderId="47" xfId="0" applyNumberFormat="1" applyFont="1" applyFill="1" applyBorder="1" applyAlignment="1" applyProtection="1">
      <alignment horizontal="center" vertical="center"/>
    </xf>
    <xf numFmtId="1" fontId="46" fillId="4" borderId="40" xfId="0" applyNumberFormat="1" applyFont="1" applyFill="1" applyBorder="1" applyAlignment="1" applyProtection="1">
      <alignment horizontal="center" vertical="center"/>
    </xf>
    <xf numFmtId="1" fontId="23" fillId="4" borderId="47" xfId="0" applyNumberFormat="1" applyFont="1" applyFill="1" applyBorder="1" applyAlignment="1" applyProtection="1">
      <alignment horizontal="center" vertical="center" wrapText="1"/>
    </xf>
    <xf numFmtId="170" fontId="13" fillId="4" borderId="47" xfId="0" applyNumberFormat="1" applyFont="1" applyFill="1" applyBorder="1" applyAlignment="1" applyProtection="1">
      <alignment horizontal="center" vertical="center"/>
    </xf>
    <xf numFmtId="170" fontId="46" fillId="4" borderId="40" xfId="0" applyNumberFormat="1" applyFont="1" applyFill="1" applyBorder="1" applyAlignment="1" applyProtection="1">
      <alignment horizontal="center" vertical="center"/>
    </xf>
    <xf numFmtId="0" fontId="64" fillId="4" borderId="29" xfId="0" applyFont="1" applyFill="1" applyBorder="1" applyAlignment="1" applyProtection="1">
      <alignment horizontal="center" vertical="center"/>
    </xf>
    <xf numFmtId="170" fontId="13" fillId="4" borderId="47" xfId="0" applyNumberFormat="1" applyFont="1" applyFill="1" applyBorder="1" applyAlignment="1" applyProtection="1">
      <alignment horizontal="center" vertical="center" wrapText="1"/>
    </xf>
    <xf numFmtId="0" fontId="62" fillId="4" borderId="29" xfId="0" applyFont="1" applyFill="1" applyBorder="1" applyAlignment="1" applyProtection="1">
      <alignment horizontal="center" vertical="center"/>
    </xf>
    <xf numFmtId="2" fontId="13" fillId="4" borderId="47" xfId="0" applyNumberFormat="1" applyFont="1" applyFill="1" applyBorder="1" applyAlignment="1" applyProtection="1">
      <alignment horizontal="center" vertical="center"/>
    </xf>
    <xf numFmtId="0" fontId="46" fillId="0" borderId="40" xfId="0" applyFont="1" applyFill="1" applyBorder="1" applyAlignment="1" applyProtection="1">
      <alignment horizontal="center" vertical="center"/>
    </xf>
    <xf numFmtId="170" fontId="52" fillId="0" borderId="13" xfId="0" applyNumberFormat="1" applyFont="1" applyBorder="1" applyAlignment="1" applyProtection="1">
      <alignment horizontal="center" vertical="center"/>
    </xf>
    <xf numFmtId="170" fontId="52" fillId="0" borderId="11" xfId="125" applyNumberFormat="1" applyFont="1" applyBorder="1" applyAlignment="1" applyProtection="1">
      <alignment horizontal="center" vertical="center" wrapText="1"/>
    </xf>
    <xf numFmtId="170" fontId="35" fillId="0" borderId="12" xfId="125" applyNumberFormat="1" applyFont="1" applyBorder="1" applyAlignment="1" applyProtection="1">
      <alignment horizontal="center" vertical="center" wrapText="1"/>
    </xf>
    <xf numFmtId="170" fontId="54" fillId="0" borderId="5" xfId="0" applyNumberFormat="1" applyFont="1" applyBorder="1" applyAlignment="1" applyProtection="1">
      <alignment horizontal="center" vertical="center" wrapText="1"/>
    </xf>
    <xf numFmtId="1" fontId="28" fillId="0" borderId="9" xfId="0" applyNumberFormat="1" applyFont="1" applyBorder="1" applyAlignment="1" applyProtection="1">
      <alignment horizontal="center" vertical="center" wrapText="1"/>
    </xf>
    <xf numFmtId="1" fontId="28" fillId="0" borderId="11" xfId="0" applyNumberFormat="1" applyFont="1" applyBorder="1" applyAlignment="1" applyProtection="1">
      <alignment horizontal="center" vertical="center" wrapText="1"/>
    </xf>
    <xf numFmtId="0" fontId="25" fillId="0" borderId="0" xfId="0" applyFont="1" applyProtection="1"/>
    <xf numFmtId="170" fontId="53" fillId="4" borderId="14" xfId="0" applyNumberFormat="1" applyFont="1" applyFill="1" applyBorder="1" applyAlignment="1" applyProtection="1">
      <alignment horizontal="center" vertical="center"/>
    </xf>
    <xf numFmtId="170" fontId="53" fillId="4" borderId="15" xfId="0" applyNumberFormat="1" applyFont="1" applyFill="1" applyBorder="1" applyAlignment="1" applyProtection="1">
      <alignment horizontal="center" vertical="center"/>
    </xf>
    <xf numFmtId="170" fontId="53" fillId="0" borderId="13" xfId="0" applyNumberFormat="1" applyFont="1" applyBorder="1" applyAlignment="1" applyProtection="1">
      <alignment horizontal="center" vertical="center"/>
    </xf>
    <xf numFmtId="170" fontId="53" fillId="0" borderId="5" xfId="0" applyNumberFormat="1" applyFont="1" applyBorder="1" applyAlignment="1" applyProtection="1">
      <alignment horizontal="center" vertical="center"/>
    </xf>
    <xf numFmtId="9" fontId="53" fillId="4" borderId="9" xfId="0" applyNumberFormat="1" applyFont="1" applyFill="1" applyBorder="1" applyAlignment="1" applyProtection="1">
      <alignment horizontal="center" vertical="center"/>
    </xf>
    <xf numFmtId="9" fontId="53" fillId="0" borderId="10" xfId="0" applyNumberFormat="1" applyFont="1" applyBorder="1" applyAlignment="1" applyProtection="1">
      <alignment horizontal="center" vertical="center"/>
    </xf>
    <xf numFmtId="9" fontId="53" fillId="0" borderId="11" xfId="0" applyNumberFormat="1" applyFont="1" applyBorder="1" applyAlignment="1" applyProtection="1">
      <alignment horizontal="center" vertical="center"/>
    </xf>
    <xf numFmtId="9" fontId="53" fillId="0" borderId="0" xfId="0" applyNumberFormat="1" applyFont="1" applyBorder="1" applyAlignment="1" applyProtection="1">
      <alignment horizontal="center" vertical="center"/>
    </xf>
    <xf numFmtId="1" fontId="53" fillId="0" borderId="0" xfId="0" applyNumberFormat="1" applyFont="1" applyBorder="1" applyAlignment="1" applyProtection="1">
      <alignment horizontal="center" vertical="center"/>
    </xf>
    <xf numFmtId="1" fontId="53" fillId="0" borderId="11" xfId="0" applyNumberFormat="1" applyFont="1" applyBorder="1" applyAlignment="1" applyProtection="1">
      <alignment horizontal="center" vertical="center"/>
    </xf>
    <xf numFmtId="0" fontId="25" fillId="0" borderId="0" xfId="0" applyFont="1" applyBorder="1" applyProtection="1"/>
    <xf numFmtId="0" fontId="43" fillId="0" borderId="0" xfId="151" applyFont="1" applyFill="1" applyBorder="1" applyAlignment="1" applyProtection="1">
      <alignment horizontal="center" vertical="top" wrapText="1"/>
    </xf>
    <xf numFmtId="0" fontId="11" fillId="0" borderId="0" xfId="0" applyFont="1" applyFill="1" applyBorder="1" applyAlignment="1" applyProtection="1">
      <alignment vertical="center"/>
    </xf>
    <xf numFmtId="170" fontId="46" fillId="4" borderId="0" xfId="0" applyNumberFormat="1" applyFont="1" applyFill="1" applyBorder="1" applyAlignment="1" applyProtection="1">
      <alignment horizontal="center" vertical="center" wrapText="1"/>
    </xf>
    <xf numFmtId="173" fontId="46" fillId="4" borderId="0" xfId="0" applyNumberFormat="1" applyFont="1" applyFill="1" applyBorder="1" applyAlignment="1" applyProtection="1">
      <alignment horizontal="center" vertical="center" wrapText="1"/>
    </xf>
    <xf numFmtId="1" fontId="46" fillId="4" borderId="0" xfId="0" applyNumberFormat="1" applyFont="1" applyFill="1" applyBorder="1" applyAlignment="1" applyProtection="1">
      <alignment horizontal="center" vertical="center" wrapText="1"/>
    </xf>
    <xf numFmtId="170" fontId="46" fillId="4" borderId="20" xfId="0" applyNumberFormat="1" applyFont="1" applyFill="1" applyBorder="1" applyAlignment="1" applyProtection="1">
      <alignment horizontal="center" vertical="center" wrapText="1"/>
    </xf>
    <xf numFmtId="0" fontId="13" fillId="0" borderId="11" xfId="0" applyFont="1" applyFill="1" applyBorder="1" applyAlignment="1" applyProtection="1">
      <alignment horizontal="center" vertical="center"/>
    </xf>
    <xf numFmtId="170" fontId="46" fillId="4" borderId="0" xfId="0" applyNumberFormat="1" applyFont="1" applyFill="1" applyBorder="1" applyAlignment="1" applyProtection="1">
      <alignment horizontal="center" vertical="center"/>
    </xf>
    <xf numFmtId="0" fontId="46" fillId="0" borderId="0" xfId="0" applyFont="1" applyFill="1" applyBorder="1" applyAlignment="1" applyProtection="1">
      <alignment vertical="center"/>
    </xf>
    <xf numFmtId="170" fontId="46" fillId="0" borderId="0" xfId="0" applyNumberFormat="1" applyFont="1" applyFill="1" applyBorder="1" applyAlignment="1" applyProtection="1">
      <alignment horizontal="center" vertical="center"/>
    </xf>
    <xf numFmtId="170" fontId="46" fillId="4" borderId="5" xfId="0" applyNumberFormat="1" applyFont="1" applyFill="1" applyBorder="1" applyAlignment="1" applyProtection="1">
      <alignment horizontal="center" vertical="center" wrapText="1"/>
    </xf>
    <xf numFmtId="0" fontId="46" fillId="0" borderId="5" xfId="0" applyFont="1" applyFill="1" applyBorder="1" applyAlignment="1" applyProtection="1">
      <alignment vertical="center"/>
    </xf>
    <xf numFmtId="4" fontId="61" fillId="4" borderId="0" xfId="0" applyNumberFormat="1" applyFont="1" applyFill="1" applyBorder="1" applyAlignment="1" applyProtection="1">
      <alignment horizontal="center" vertical="center"/>
    </xf>
    <xf numFmtId="0" fontId="61" fillId="4" borderId="0" xfId="0" applyFont="1" applyFill="1" applyBorder="1" applyAlignment="1" applyProtection="1">
      <alignment horizontal="center" vertical="center"/>
    </xf>
    <xf numFmtId="0" fontId="61" fillId="4" borderId="5" xfId="0" applyFont="1" applyFill="1" applyBorder="1" applyAlignment="1" applyProtection="1">
      <alignment horizontal="center" vertical="center"/>
    </xf>
    <xf numFmtId="12" fontId="61" fillId="4" borderId="5" xfId="0" applyNumberFormat="1" applyFont="1" applyFill="1" applyBorder="1" applyAlignment="1" applyProtection="1">
      <alignment vertical="center"/>
    </xf>
    <xf numFmtId="0" fontId="11" fillId="0" borderId="5" xfId="0" applyFont="1" applyFill="1" applyBorder="1" applyAlignment="1" applyProtection="1">
      <alignment vertical="center"/>
    </xf>
    <xf numFmtId="0" fontId="25" fillId="0" borderId="0" xfId="0" applyFont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vertical="center"/>
    </xf>
    <xf numFmtId="0" fontId="25" fillId="0" borderId="0" xfId="0" applyFont="1" applyAlignment="1" applyProtection="1">
      <alignment horizontal="center" vertical="center"/>
    </xf>
    <xf numFmtId="0" fontId="46" fillId="4" borderId="73" xfId="0" applyFont="1" applyFill="1" applyBorder="1" applyAlignment="1" applyProtection="1">
      <alignment horizontal="center" vertical="center"/>
    </xf>
    <xf numFmtId="170" fontId="46" fillId="4" borderId="73" xfId="0" applyNumberFormat="1" applyFont="1" applyFill="1" applyBorder="1" applyAlignment="1" applyProtection="1">
      <alignment horizontal="center" vertical="center"/>
    </xf>
    <xf numFmtId="1" fontId="46" fillId="4" borderId="73" xfId="0" applyNumberFormat="1" applyFont="1" applyFill="1" applyBorder="1" applyAlignment="1" applyProtection="1">
      <alignment horizontal="center" vertical="center"/>
    </xf>
    <xf numFmtId="0" fontId="11" fillId="0" borderId="0" xfId="82" applyFont="1" applyFill="1" applyProtection="1"/>
    <xf numFmtId="0" fontId="25" fillId="0" borderId="15" xfId="0" applyFont="1" applyBorder="1" applyProtection="1"/>
    <xf numFmtId="0" fontId="27" fillId="4" borderId="2" xfId="0" applyFont="1" applyFill="1" applyBorder="1" applyAlignment="1">
      <alignment horizontal="center" vertical="center" wrapText="1"/>
    </xf>
    <xf numFmtId="0" fontId="27" fillId="4" borderId="2" xfId="0" applyFont="1" applyFill="1" applyBorder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vertical="center"/>
    </xf>
    <xf numFmtId="0" fontId="14" fillId="4" borderId="0" xfId="0" applyFont="1" applyFill="1" applyBorder="1" applyAlignment="1" applyProtection="1">
      <alignment vertical="center"/>
    </xf>
    <xf numFmtId="173" fontId="14" fillId="16" borderId="0" xfId="0" applyNumberFormat="1" applyFont="1" applyFill="1" applyBorder="1" applyAlignment="1" applyProtection="1">
      <alignment vertical="center"/>
    </xf>
    <xf numFmtId="173" fontId="14" fillId="16" borderId="15" xfId="0" applyNumberFormat="1" applyFont="1" applyFill="1" applyBorder="1" applyAlignment="1" applyProtection="1">
      <alignment vertical="center"/>
    </xf>
    <xf numFmtId="0" fontId="13" fillId="14" borderId="0" xfId="0" applyFont="1" applyFill="1" applyBorder="1" applyAlignment="1" applyProtection="1">
      <alignment vertical="center"/>
    </xf>
    <xf numFmtId="12" fontId="61" fillId="4" borderId="0" xfId="0" applyNumberFormat="1" applyFont="1" applyFill="1" applyBorder="1" applyAlignment="1" applyProtection="1">
      <alignment vertical="center"/>
    </xf>
    <xf numFmtId="0" fontId="61" fillId="4" borderId="0" xfId="0" applyFont="1" applyFill="1" applyBorder="1" applyAlignment="1" applyProtection="1">
      <alignment vertical="center" wrapText="1"/>
    </xf>
    <xf numFmtId="1" fontId="61" fillId="4" borderId="0" xfId="0" applyNumberFormat="1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25" fillId="0" borderId="7" xfId="0" applyFont="1" applyBorder="1" applyAlignment="1" applyProtection="1">
      <alignment horizontal="center" vertical="center"/>
    </xf>
    <xf numFmtId="0" fontId="77" fillId="0" borderId="0" xfId="0" applyFont="1" applyBorder="1" applyAlignment="1">
      <alignment horizontal="center" vertical="center"/>
    </xf>
    <xf numFmtId="0" fontId="0" fillId="0" borderId="0" xfId="0" applyBorder="1"/>
    <xf numFmtId="0" fontId="27" fillId="4" borderId="0" xfId="0" quotePrefix="1" applyFont="1" applyFill="1" applyBorder="1" applyAlignment="1" applyProtection="1">
      <alignment horizontal="center" vertical="center" wrapText="1"/>
    </xf>
    <xf numFmtId="0" fontId="25" fillId="0" borderId="7" xfId="0" applyNumberFormat="1" applyFont="1" applyBorder="1" applyAlignment="1" applyProtection="1">
      <alignment horizontal="center" vertical="center"/>
    </xf>
    <xf numFmtId="0" fontId="25" fillId="0" borderId="0" xfId="0" applyNumberFormat="1" applyFont="1" applyBorder="1" applyAlignment="1" applyProtection="1">
      <alignment horizontal="center" vertical="center"/>
    </xf>
    <xf numFmtId="1" fontId="53" fillId="0" borderId="12" xfId="0" applyNumberFormat="1" applyFont="1" applyBorder="1" applyAlignment="1" applyProtection="1">
      <alignment horizontal="center" vertical="center"/>
    </xf>
    <xf numFmtId="1" fontId="53" fillId="0" borderId="5" xfId="0" applyNumberFormat="1" applyFont="1" applyBorder="1" applyAlignment="1" applyProtection="1">
      <alignment horizontal="center" vertical="center"/>
    </xf>
    <xf numFmtId="173" fontId="13" fillId="0" borderId="77" xfId="0" applyNumberFormat="1" applyFont="1" applyFill="1" applyBorder="1" applyAlignment="1" applyProtection="1">
      <alignment horizontal="center" vertical="center"/>
    </xf>
    <xf numFmtId="0" fontId="25" fillId="0" borderId="11" xfId="0" applyFont="1" applyBorder="1" applyProtection="1"/>
    <xf numFmtId="1" fontId="53" fillId="0" borderId="5" xfId="0" applyNumberFormat="1" applyFont="1" applyFill="1" applyBorder="1" applyAlignment="1" applyProtection="1">
      <alignment horizontal="center" vertical="center"/>
    </xf>
    <xf numFmtId="1" fontId="53" fillId="0" borderId="10" xfId="0" applyNumberFormat="1" applyFont="1" applyFill="1" applyBorder="1" applyAlignment="1" applyProtection="1">
      <alignment horizontal="center" vertical="center"/>
    </xf>
    <xf numFmtId="170" fontId="53" fillId="0" borderId="15" xfId="0" applyNumberFormat="1" applyFont="1" applyBorder="1" applyAlignment="1" applyProtection="1">
      <alignment horizontal="center" vertical="center"/>
    </xf>
    <xf numFmtId="0" fontId="11" fillId="0" borderId="0" xfId="78" applyProtection="1"/>
    <xf numFmtId="0" fontId="11" fillId="0" borderId="0" xfId="78" applyFill="1" applyProtection="1"/>
    <xf numFmtId="0" fontId="37" fillId="0" borderId="0" xfId="78" applyFont="1" applyFill="1" applyProtection="1"/>
    <xf numFmtId="0" fontId="37" fillId="0" borderId="0" xfId="78" applyFont="1" applyProtection="1"/>
    <xf numFmtId="0" fontId="11" fillId="0" borderId="0" xfId="193" applyProtection="1"/>
    <xf numFmtId="2" fontId="37" fillId="0" borderId="10" xfId="193" applyNumberFormat="1" applyFont="1" applyBorder="1" applyProtection="1">
      <protection locked="0"/>
    </xf>
    <xf numFmtId="2" fontId="37" fillId="0" borderId="14" xfId="193" applyNumberFormat="1" applyFont="1" applyBorder="1" applyProtection="1">
      <protection locked="0"/>
    </xf>
    <xf numFmtId="2" fontId="37" fillId="0" borderId="9" xfId="193" applyNumberFormat="1" applyFont="1" applyBorder="1" applyProtection="1">
      <protection locked="0"/>
    </xf>
    <xf numFmtId="2" fontId="37" fillId="0" borderId="5" xfId="193" applyNumberFormat="1" applyFont="1" applyBorder="1" applyProtection="1">
      <protection locked="0"/>
    </xf>
    <xf numFmtId="2" fontId="37" fillId="0" borderId="13" xfId="193" applyNumberFormat="1" applyFont="1" applyBorder="1" applyProtection="1">
      <protection locked="0"/>
    </xf>
    <xf numFmtId="2" fontId="37" fillId="0" borderId="12" xfId="193" applyNumberFormat="1" applyFont="1" applyBorder="1" applyProtection="1">
      <protection locked="0"/>
    </xf>
    <xf numFmtId="0" fontId="11" fillId="0" borderId="11" xfId="193" applyBorder="1" applyAlignment="1" applyProtection="1"/>
    <xf numFmtId="0" fontId="11" fillId="0" borderId="0" xfId="193" applyBorder="1" applyAlignment="1" applyProtection="1"/>
    <xf numFmtId="2" fontId="37" fillId="0" borderId="11" xfId="193" applyNumberFormat="1" applyFont="1" applyBorder="1" applyProtection="1"/>
    <xf numFmtId="2" fontId="37" fillId="0" borderId="0" xfId="193" applyNumberFormat="1" applyFont="1" applyBorder="1" applyProtection="1"/>
    <xf numFmtId="0" fontId="11" fillId="0" borderId="0" xfId="78" applyFill="1" applyAlignment="1" applyProtection="1">
      <alignment vertical="center"/>
    </xf>
    <xf numFmtId="0" fontId="11" fillId="0" borderId="0" xfId="78" applyAlignment="1" applyProtection="1">
      <alignment vertical="center"/>
    </xf>
    <xf numFmtId="0" fontId="11" fillId="0" borderId="0" xfId="89" applyFont="1" applyFill="1" applyAlignment="1" applyProtection="1">
      <alignment vertical="center"/>
    </xf>
    <xf numFmtId="0" fontId="57" fillId="0" borderId="0" xfId="0" applyFont="1" applyFill="1" applyBorder="1" applyAlignment="1" applyProtection="1">
      <alignment horizontal="center" vertical="center" wrapText="1"/>
    </xf>
    <xf numFmtId="0" fontId="56" fillId="0" borderId="0" xfId="149" applyFont="1" applyBorder="1" applyAlignment="1" applyProtection="1">
      <alignment horizontal="left" vertical="center" wrapText="1"/>
    </xf>
    <xf numFmtId="0" fontId="26" fillId="0" borderId="0" xfId="0" applyFont="1" applyFill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left" vertical="center" wrapText="1"/>
    </xf>
    <xf numFmtId="0" fontId="65" fillId="0" borderId="0" xfId="0" applyFont="1" applyBorder="1" applyAlignment="1" applyProtection="1">
      <alignment horizontal="center" vertical="center" wrapText="1"/>
    </xf>
    <xf numFmtId="0" fontId="25" fillId="16" borderId="0" xfId="0" applyFont="1" applyFill="1" applyBorder="1" applyAlignment="1" applyProtection="1">
      <alignment horizontal="center"/>
    </xf>
    <xf numFmtId="171" fontId="54" fillId="0" borderId="0" xfId="0" applyNumberFormat="1" applyFont="1" applyBorder="1" applyAlignment="1" applyProtection="1">
      <alignment horizontal="center" vertical="center" wrapText="1"/>
    </xf>
    <xf numFmtId="0" fontId="14" fillId="3" borderId="0" xfId="0" applyFont="1" applyFill="1" applyBorder="1" applyAlignment="1" applyProtection="1">
      <alignment horizontal="center" vertical="center" wrapText="1"/>
    </xf>
    <xf numFmtId="170" fontId="13" fillId="4" borderId="0" xfId="0" applyNumberFormat="1" applyFont="1" applyFill="1" applyBorder="1" applyAlignment="1" applyProtection="1">
      <alignment horizontal="center" vertical="center" wrapText="1"/>
    </xf>
    <xf numFmtId="0" fontId="64" fillId="4" borderId="0" xfId="0" applyFont="1" applyFill="1" applyBorder="1" applyAlignment="1" applyProtection="1">
      <alignment horizontal="center" vertical="center"/>
    </xf>
    <xf numFmtId="0" fontId="13" fillId="18" borderId="0" xfId="0" applyFont="1" applyFill="1" applyBorder="1" applyAlignment="1" applyProtection="1">
      <alignment horizontal="center" vertical="center"/>
    </xf>
    <xf numFmtId="187" fontId="13" fillId="0" borderId="0" xfId="0" applyNumberFormat="1" applyFont="1" applyBorder="1" applyAlignment="1" applyProtection="1">
      <alignment horizontal="left" vertical="center"/>
    </xf>
    <xf numFmtId="0" fontId="37" fillId="0" borderId="0" xfId="150" applyFont="1" applyBorder="1" applyAlignment="1" applyProtection="1">
      <alignment horizontal="center"/>
    </xf>
    <xf numFmtId="0" fontId="28" fillId="0" borderId="0" xfId="0" applyFont="1" applyBorder="1" applyAlignment="1" applyProtection="1">
      <alignment vertical="center" wrapText="1"/>
    </xf>
    <xf numFmtId="0" fontId="11" fillId="0" borderId="0" xfId="0" applyFont="1" applyFill="1" applyAlignment="1" applyProtection="1">
      <alignment vertical="center"/>
    </xf>
    <xf numFmtId="173" fontId="13" fillId="0" borderId="0" xfId="0" applyNumberFormat="1" applyFont="1" applyFill="1" applyAlignment="1" applyProtection="1">
      <alignment horizontal="center" vertical="center"/>
    </xf>
    <xf numFmtId="170" fontId="13" fillId="0" borderId="0" xfId="0" applyNumberFormat="1" applyFont="1" applyFill="1" applyAlignment="1" applyProtection="1">
      <alignment horizontal="center" vertical="center"/>
    </xf>
    <xf numFmtId="1" fontId="13" fillId="0" borderId="0" xfId="0" applyNumberFormat="1" applyFont="1" applyFill="1" applyBorder="1" applyAlignment="1" applyProtection="1">
      <alignment horizontal="center" vertical="center"/>
    </xf>
    <xf numFmtId="2" fontId="11" fillId="0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 wrapText="1"/>
    </xf>
    <xf numFmtId="170" fontId="39" fillId="0" borderId="0" xfId="0" applyNumberFormat="1" applyFont="1" applyFill="1" applyAlignment="1" applyProtection="1">
      <alignment horizontal="center" vertical="center"/>
    </xf>
    <xf numFmtId="173" fontId="39" fillId="0" borderId="0" xfId="0" applyNumberFormat="1" applyFont="1" applyFill="1" applyAlignment="1" applyProtection="1">
      <alignment horizontal="center" vertical="center"/>
    </xf>
    <xf numFmtId="0" fontId="47" fillId="0" borderId="0" xfId="75" applyNumberFormat="1" applyFont="1" applyBorder="1" applyProtection="1"/>
    <xf numFmtId="170" fontId="38" fillId="0" borderId="0" xfId="0" applyNumberFormat="1" applyFont="1" applyFill="1" applyAlignment="1" applyProtection="1">
      <alignment horizontal="center" vertical="center"/>
    </xf>
    <xf numFmtId="0" fontId="47" fillId="0" borderId="0" xfId="75" applyNumberFormat="1" applyFont="1" applyBorder="1" applyAlignment="1" applyProtection="1">
      <alignment horizontal="center"/>
    </xf>
    <xf numFmtId="0" fontId="47" fillId="4" borderId="0" xfId="75" applyNumberFormat="1" applyFont="1" applyFill="1" applyBorder="1" applyAlignment="1" applyProtection="1">
      <alignment horizontal="center"/>
    </xf>
    <xf numFmtId="0" fontId="47" fillId="4" borderId="0" xfId="75" applyNumberFormat="1" applyFont="1" applyFill="1" applyBorder="1" applyProtection="1"/>
    <xf numFmtId="0" fontId="25" fillId="0" borderId="0" xfId="0" applyFont="1" applyAlignment="1" applyProtection="1">
      <alignment horizontal="center"/>
    </xf>
    <xf numFmtId="0" fontId="31" fillId="0" borderId="0" xfId="0" applyFont="1" applyFill="1" applyBorder="1" applyAlignment="1" applyProtection="1">
      <alignment horizontal="center" vertical="center"/>
    </xf>
    <xf numFmtId="0" fontId="0" fillId="14" borderId="0" xfId="0" applyFont="1" applyFill="1" applyBorder="1" applyAlignment="1" applyProtection="1">
      <alignment horizontal="center" vertical="center"/>
    </xf>
    <xf numFmtId="0" fontId="69" fillId="0" borderId="62" xfId="150" applyFont="1" applyBorder="1" applyAlignment="1" applyProtection="1">
      <alignment wrapText="1"/>
    </xf>
    <xf numFmtId="0" fontId="69" fillId="0" borderId="21" xfId="150" applyFont="1" applyBorder="1" applyAlignment="1" applyProtection="1">
      <alignment wrapText="1"/>
    </xf>
    <xf numFmtId="0" fontId="13" fillId="4" borderId="65" xfId="0" applyFont="1" applyFill="1" applyBorder="1" applyAlignment="1" applyProtection="1">
      <alignment horizontal="left" vertical="center"/>
    </xf>
    <xf numFmtId="0" fontId="13" fillId="4" borderId="29" xfId="0" applyFont="1" applyFill="1" applyBorder="1" applyAlignment="1" applyProtection="1">
      <alignment horizontal="left" vertical="center"/>
    </xf>
    <xf numFmtId="0" fontId="37" fillId="2" borderId="33" xfId="195" applyFont="1" applyFill="1" applyBorder="1" applyAlignment="1" applyProtection="1">
      <alignment horizontal="center" vertical="center" wrapText="1"/>
    </xf>
    <xf numFmtId="0" fontId="37" fillId="2" borderId="13" xfId="195" applyFont="1" applyFill="1" applyBorder="1" applyAlignment="1" applyProtection="1">
      <alignment horizontal="center" vertical="center" wrapText="1"/>
    </xf>
    <xf numFmtId="0" fontId="63" fillId="3" borderId="0" xfId="195" applyFont="1" applyFill="1" applyBorder="1" applyAlignment="1" applyProtection="1">
      <alignment horizontal="center" vertical="center" wrapText="1"/>
    </xf>
    <xf numFmtId="0" fontId="14" fillId="4" borderId="37" xfId="195" applyFont="1" applyFill="1" applyBorder="1" applyAlignment="1" applyProtection="1">
      <alignment horizontal="center" vertical="center" wrapText="1"/>
    </xf>
    <xf numFmtId="0" fontId="58" fillId="4" borderId="0" xfId="195" applyFont="1" applyFill="1" applyBorder="1" applyAlignment="1" applyProtection="1">
      <alignment horizontal="center" vertical="center" wrapText="1"/>
    </xf>
    <xf numFmtId="0" fontId="14" fillId="4" borderId="29" xfId="195" applyFont="1" applyFill="1" applyBorder="1" applyAlignment="1" applyProtection="1">
      <alignment horizontal="center" vertical="center" wrapText="1"/>
    </xf>
    <xf numFmtId="0" fontId="46" fillId="4" borderId="30" xfId="195" applyFont="1" applyFill="1" applyBorder="1" applyAlignment="1" applyProtection="1">
      <alignment horizontal="center" vertical="center" wrapText="1"/>
    </xf>
    <xf numFmtId="0" fontId="58" fillId="4" borderId="39" xfId="195" applyFont="1" applyFill="1" applyBorder="1" applyAlignment="1" applyProtection="1">
      <alignment horizontal="center" vertical="center" wrapText="1"/>
    </xf>
    <xf numFmtId="0" fontId="58" fillId="4" borderId="30" xfId="195" applyFont="1" applyFill="1" applyBorder="1" applyAlignment="1" applyProtection="1">
      <alignment horizontal="center" vertical="center" wrapText="1"/>
    </xf>
    <xf numFmtId="0" fontId="14" fillId="4" borderId="43" xfId="195" applyFont="1" applyFill="1" applyBorder="1" applyAlignment="1" applyProtection="1">
      <alignment horizontal="center" vertical="center" wrapText="1"/>
    </xf>
    <xf numFmtId="0" fontId="58" fillId="4" borderId="11" xfId="195" applyFont="1" applyFill="1" applyBorder="1" applyAlignment="1" applyProtection="1">
      <alignment horizontal="center" vertical="center" wrapText="1"/>
    </xf>
    <xf numFmtId="0" fontId="62" fillId="4" borderId="29" xfId="195" applyFont="1" applyFill="1" applyBorder="1" applyAlignment="1" applyProtection="1">
      <alignment horizontal="center" vertical="center" wrapText="1"/>
    </xf>
    <xf numFmtId="0" fontId="46" fillId="4" borderId="39" xfId="195" applyFont="1" applyFill="1" applyBorder="1" applyAlignment="1" applyProtection="1">
      <alignment horizontal="center" vertical="center" wrapText="1"/>
    </xf>
    <xf numFmtId="0" fontId="46" fillId="4" borderId="76" xfId="195" applyFont="1" applyFill="1" applyBorder="1" applyAlignment="1" applyProtection="1">
      <alignment horizontal="center" vertical="center" wrapText="1"/>
    </xf>
    <xf numFmtId="0" fontId="46" fillId="4" borderId="74" xfId="195" applyFont="1" applyFill="1" applyBorder="1" applyAlignment="1" applyProtection="1">
      <alignment horizontal="center" vertical="center" wrapText="1"/>
    </xf>
    <xf numFmtId="0" fontId="46" fillId="4" borderId="39" xfId="195" applyFont="1" applyFill="1" applyBorder="1" applyAlignment="1" applyProtection="1">
      <alignment vertical="center" wrapText="1"/>
    </xf>
    <xf numFmtId="0" fontId="46" fillId="4" borderId="71" xfId="195" applyFont="1" applyFill="1" applyBorder="1" applyAlignment="1" applyProtection="1">
      <alignment vertical="center" wrapText="1"/>
    </xf>
    <xf numFmtId="0" fontId="46" fillId="4" borderId="29" xfId="195" applyFont="1" applyFill="1" applyBorder="1" applyAlignment="1" applyProtection="1">
      <alignment vertical="center" wrapText="1"/>
    </xf>
    <xf numFmtId="0" fontId="46" fillId="4" borderId="40" xfId="195" applyFont="1" applyFill="1" applyBorder="1" applyAlignment="1" applyProtection="1">
      <alignment vertical="center" wrapText="1"/>
    </xf>
    <xf numFmtId="0" fontId="66" fillId="4" borderId="29" xfId="195" applyFont="1" applyFill="1" applyBorder="1" applyAlignment="1" applyProtection="1">
      <alignment horizontal="center" vertical="center" wrapText="1"/>
    </xf>
    <xf numFmtId="0" fontId="58" fillId="15" borderId="39" xfId="195" applyFont="1" applyFill="1" applyBorder="1" applyAlignment="1" applyProtection="1">
      <alignment vertical="center" wrapText="1"/>
    </xf>
    <xf numFmtId="0" fontId="58" fillId="15" borderId="71" xfId="195" applyFont="1" applyFill="1" applyBorder="1" applyAlignment="1" applyProtection="1">
      <alignment vertical="center" wrapText="1"/>
    </xf>
    <xf numFmtId="0" fontId="58" fillId="15" borderId="29" xfId="195" applyFont="1" applyFill="1" applyBorder="1" applyAlignment="1" applyProtection="1">
      <alignment vertical="center" wrapText="1"/>
    </xf>
    <xf numFmtId="0" fontId="58" fillId="15" borderId="40" xfId="195" applyFont="1" applyFill="1" applyBorder="1" applyAlignment="1" applyProtection="1">
      <alignment vertical="center" wrapText="1"/>
    </xf>
    <xf numFmtId="0" fontId="32" fillId="0" borderId="108" xfId="0" applyFont="1" applyFill="1" applyBorder="1" applyProtection="1"/>
    <xf numFmtId="0" fontId="25" fillId="0" borderId="109" xfId="0" applyFont="1" applyFill="1" applyBorder="1" applyProtection="1"/>
    <xf numFmtId="0" fontId="47" fillId="0" borderId="109" xfId="75" applyNumberFormat="1" applyFont="1" applyFill="1" applyBorder="1" applyProtection="1"/>
    <xf numFmtId="0" fontId="12" fillId="0" borderId="109" xfId="0" applyFont="1" applyFill="1" applyBorder="1" applyAlignment="1" applyProtection="1">
      <alignment vertical="center"/>
    </xf>
    <xf numFmtId="0" fontId="12" fillId="0" borderId="109" xfId="0" applyFont="1" applyFill="1" applyBorder="1" applyAlignment="1" applyProtection="1">
      <alignment vertical="center"/>
      <protection locked="0"/>
    </xf>
    <xf numFmtId="0" fontId="12" fillId="0" borderId="110" xfId="0" applyFont="1" applyFill="1" applyBorder="1" applyAlignment="1" applyProtection="1">
      <alignment vertical="center"/>
      <protection locked="0"/>
    </xf>
    <xf numFmtId="170" fontId="0" fillId="14" borderId="0" xfId="0" applyNumberFormat="1" applyFont="1" applyFill="1" applyBorder="1" applyAlignment="1" applyProtection="1">
      <alignment horizontal="center" vertical="center"/>
    </xf>
    <xf numFmtId="170" fontId="0" fillId="0" borderId="0" xfId="0" applyNumberFormat="1" applyFont="1" applyFill="1" applyBorder="1" applyAlignment="1" applyProtection="1">
      <alignment horizontal="center" vertical="center"/>
    </xf>
    <xf numFmtId="0" fontId="32" fillId="0" borderId="111" xfId="0" applyFont="1" applyFill="1" applyBorder="1" applyProtection="1"/>
    <xf numFmtId="0" fontId="26" fillId="0" borderId="0" xfId="0" applyFont="1" applyFill="1" applyBorder="1" applyAlignment="1" applyProtection="1">
      <alignment vertical="center"/>
    </xf>
    <xf numFmtId="0" fontId="12" fillId="0" borderId="112" xfId="0" applyFont="1" applyFill="1" applyBorder="1" applyAlignment="1" applyProtection="1">
      <alignment vertical="center"/>
      <protection locked="0"/>
    </xf>
    <xf numFmtId="0" fontId="25" fillId="0" borderId="0" xfId="0" applyFont="1" applyFill="1" applyBorder="1" applyProtection="1"/>
    <xf numFmtId="0" fontId="26" fillId="0" borderId="2" xfId="0" applyFont="1" applyFill="1" applyBorder="1" applyAlignment="1" applyProtection="1">
      <alignment vertical="center"/>
    </xf>
    <xf numFmtId="0" fontId="81" fillId="0" borderId="2" xfId="75" applyNumberFormat="1" applyFont="1" applyFill="1" applyBorder="1" applyAlignment="1" applyProtection="1">
      <alignment horizontal="center" vertical="center"/>
    </xf>
    <xf numFmtId="0" fontId="81" fillId="0" borderId="0" xfId="75" applyNumberFormat="1" applyFont="1" applyFill="1" applyBorder="1" applyProtection="1"/>
    <xf numFmtId="0" fontId="26" fillId="0" borderId="2" xfId="0" applyFont="1" applyFill="1" applyBorder="1" applyAlignment="1" applyProtection="1">
      <alignment horizontal="center" vertical="center"/>
    </xf>
    <xf numFmtId="2" fontId="0" fillId="14" borderId="0" xfId="0" applyNumberFormat="1" applyFont="1" applyFill="1" applyBorder="1" applyAlignment="1" applyProtection="1">
      <alignment horizontal="center" vertical="center"/>
    </xf>
    <xf numFmtId="2" fontId="0" fillId="0" borderId="0" xfId="0" applyNumberFormat="1" applyFont="1" applyFill="1" applyBorder="1" applyAlignment="1" applyProtection="1">
      <alignment horizontal="center" vertical="center"/>
    </xf>
    <xf numFmtId="0" fontId="25" fillId="0" borderId="2" xfId="0" applyFont="1" applyFill="1" applyBorder="1" applyAlignment="1" applyProtection="1">
      <alignment horizontal="center" vertical="center"/>
    </xf>
    <xf numFmtId="0" fontId="31" fillId="0" borderId="111" xfId="75" applyNumberFormat="1" applyFont="1" applyFill="1" applyBorder="1" applyProtection="1"/>
    <xf numFmtId="0" fontId="82" fillId="0" borderId="2" xfId="75" applyNumberFormat="1" applyFont="1" applyFill="1" applyBorder="1" applyAlignment="1" applyProtection="1">
      <alignment horizontal="center" vertical="center"/>
    </xf>
    <xf numFmtId="0" fontId="83" fillId="0" borderId="111" xfId="0" applyFont="1" applyFill="1" applyBorder="1" applyAlignment="1" applyProtection="1">
      <alignment vertical="center"/>
    </xf>
    <xf numFmtId="1" fontId="25" fillId="0" borderId="2" xfId="0" applyNumberFormat="1" applyFont="1" applyFill="1" applyBorder="1" applyAlignment="1" applyProtection="1">
      <alignment horizontal="center" vertical="center"/>
    </xf>
    <xf numFmtId="0" fontId="31" fillId="0" borderId="111" xfId="0" applyFont="1" applyFill="1" applyBorder="1" applyAlignment="1" applyProtection="1">
      <alignment vertical="center"/>
    </xf>
    <xf numFmtId="0" fontId="25" fillId="0" borderId="0" xfId="0" applyFont="1" applyFill="1" applyBorder="1" applyAlignment="1" applyProtection="1">
      <alignment vertical="center"/>
    </xf>
    <xf numFmtId="0" fontId="11" fillId="0" borderId="112" xfId="0" applyFont="1" applyFill="1" applyBorder="1" applyAlignment="1" applyProtection="1">
      <alignment vertical="center"/>
      <protection locked="0"/>
    </xf>
    <xf numFmtId="0" fontId="25" fillId="0" borderId="112" xfId="0" applyFont="1" applyFill="1" applyBorder="1" applyProtection="1">
      <protection locked="0"/>
    </xf>
    <xf numFmtId="0" fontId="25" fillId="0" borderId="0" xfId="0" applyFont="1" applyFill="1" applyBorder="1" applyProtection="1">
      <protection locked="0"/>
    </xf>
    <xf numFmtId="0" fontId="25" fillId="0" borderId="2" xfId="0" applyFont="1" applyFill="1" applyBorder="1" applyAlignment="1" applyProtection="1">
      <alignment horizontal="center" vertical="center"/>
      <protection locked="0"/>
    </xf>
    <xf numFmtId="170" fontId="81" fillId="0" borderId="2" xfId="75" applyNumberFormat="1" applyFont="1" applyFill="1" applyBorder="1" applyAlignment="1" applyProtection="1">
      <alignment horizontal="center" vertical="center"/>
    </xf>
    <xf numFmtId="0" fontId="25" fillId="0" borderId="2" xfId="0" applyFont="1" applyFill="1" applyBorder="1" applyAlignment="1" applyProtection="1">
      <alignment horizontal="center"/>
      <protection locked="0"/>
    </xf>
    <xf numFmtId="1" fontId="25" fillId="0" borderId="0" xfId="0" applyNumberFormat="1" applyFont="1" applyFill="1" applyBorder="1" applyAlignment="1" applyProtection="1">
      <alignment horizontal="center" vertical="center"/>
    </xf>
    <xf numFmtId="0" fontId="25" fillId="0" borderId="0" xfId="0" applyFont="1" applyFill="1" applyBorder="1" applyAlignment="1" applyProtection="1">
      <alignment horizontal="center" vertical="center"/>
    </xf>
    <xf numFmtId="0" fontId="32" fillId="0" borderId="113" xfId="0" applyFont="1" applyFill="1" applyBorder="1" applyProtection="1"/>
    <xf numFmtId="0" fontId="25" fillId="0" borderId="107" xfId="0" applyFont="1" applyFill="1" applyBorder="1" applyProtection="1"/>
    <xf numFmtId="0" fontId="25" fillId="0" borderId="107" xfId="0" applyFont="1" applyFill="1" applyBorder="1" applyAlignment="1" applyProtection="1">
      <alignment horizontal="center" vertical="center"/>
    </xf>
    <xf numFmtId="0" fontId="25" fillId="0" borderId="107" xfId="0" applyFont="1" applyFill="1" applyBorder="1" applyProtection="1">
      <protection locked="0"/>
    </xf>
    <xf numFmtId="0" fontId="25" fillId="0" borderId="114" xfId="0" applyFont="1" applyFill="1" applyBorder="1" applyProtection="1">
      <protection locked="0"/>
    </xf>
    <xf numFmtId="170" fontId="0" fillId="14" borderId="0" xfId="0" applyNumberFormat="1" applyFont="1" applyFill="1" applyBorder="1" applyAlignment="1" applyProtection="1">
      <alignment horizontal="center" vertical="center"/>
      <protection locked="0"/>
    </xf>
    <xf numFmtId="170" fontId="0" fillId="0" borderId="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Fill="1" applyBorder="1" applyAlignment="1" applyProtection="1">
      <alignment horizontal="center" vertical="center"/>
    </xf>
    <xf numFmtId="0" fontId="28" fillId="0" borderId="12" xfId="0" applyFont="1" applyBorder="1" applyAlignment="1" applyProtection="1">
      <alignment horizontal="center" vertical="center"/>
    </xf>
    <xf numFmtId="170" fontId="53" fillId="0" borderId="10" xfId="0" applyNumberFormat="1" applyFont="1" applyBorder="1" applyAlignment="1" applyProtection="1">
      <alignment horizontal="center" vertical="center" wrapText="1"/>
    </xf>
    <xf numFmtId="0" fontId="14" fillId="3" borderId="0" xfId="195" applyFont="1" applyFill="1" applyBorder="1" applyAlignment="1" applyProtection="1">
      <alignment horizontal="center" vertical="center" wrapText="1"/>
    </xf>
    <xf numFmtId="0" fontId="28" fillId="3" borderId="31" xfId="0" applyFont="1" applyFill="1" applyBorder="1" applyAlignment="1" applyProtection="1">
      <alignment vertical="center" wrapText="1"/>
    </xf>
    <xf numFmtId="0" fontId="28" fillId="3" borderId="8" xfId="0" applyFont="1" applyFill="1" applyBorder="1" applyAlignment="1" applyProtection="1">
      <alignment horizontal="center" vertical="center" wrapText="1"/>
    </xf>
    <xf numFmtId="16" fontId="28" fillId="3" borderId="10" xfId="0" applyNumberFormat="1" applyFont="1" applyFill="1" applyBorder="1" applyAlignment="1" applyProtection="1">
      <alignment horizontal="center" vertical="center"/>
    </xf>
    <xf numFmtId="0" fontId="28" fillId="3" borderId="10" xfId="0" applyFont="1" applyFill="1" applyBorder="1" applyAlignment="1" applyProtection="1">
      <alignment horizontal="center" vertical="center"/>
    </xf>
    <xf numFmtId="0" fontId="28" fillId="3" borderId="0" xfId="0" applyFont="1" applyFill="1" applyBorder="1" applyAlignment="1" applyProtection="1">
      <alignment horizontal="center" vertical="center"/>
    </xf>
    <xf numFmtId="170" fontId="53" fillId="0" borderId="12" xfId="0" applyNumberFormat="1" applyFont="1" applyBorder="1" applyAlignment="1" applyProtection="1">
      <alignment horizontal="center" vertical="center"/>
    </xf>
    <xf numFmtId="171" fontId="53" fillId="0" borderId="14" xfId="0" applyNumberFormat="1" applyFont="1" applyBorder="1" applyAlignment="1" applyProtection="1">
      <alignment horizontal="center" vertical="center"/>
    </xf>
    <xf numFmtId="171" fontId="53" fillId="0" borderId="15" xfId="0" applyNumberFormat="1" applyFont="1" applyBorder="1" applyAlignment="1" applyProtection="1">
      <alignment horizontal="center" vertical="center"/>
    </xf>
    <xf numFmtId="1" fontId="55" fillId="4" borderId="12" xfId="0" applyNumberFormat="1" applyFont="1" applyFill="1" applyBorder="1" applyAlignment="1" applyProtection="1">
      <alignment horizontal="center" vertical="center"/>
    </xf>
    <xf numFmtId="1" fontId="55" fillId="4" borderId="5" xfId="0" applyNumberFormat="1" applyFont="1" applyFill="1" applyBorder="1" applyAlignment="1" applyProtection="1">
      <alignment horizontal="center" vertical="center"/>
    </xf>
    <xf numFmtId="170" fontId="55" fillId="4" borderId="13" xfId="0" applyNumberFormat="1" applyFont="1" applyFill="1" applyBorder="1" applyAlignment="1" applyProtection="1">
      <alignment horizontal="center" vertical="center"/>
    </xf>
    <xf numFmtId="1" fontId="53" fillId="0" borderId="9" xfId="0" applyNumberFormat="1" applyFont="1" applyFill="1" applyBorder="1" applyAlignment="1" applyProtection="1">
      <alignment horizontal="center" vertical="center"/>
    </xf>
    <xf numFmtId="1" fontId="53" fillId="0" borderId="12" xfId="0" applyNumberFormat="1" applyFont="1" applyFill="1" applyBorder="1" applyAlignment="1" applyProtection="1">
      <alignment horizontal="center" vertical="center"/>
    </xf>
    <xf numFmtId="0" fontId="35" fillId="4" borderId="14" xfId="0" applyFont="1" applyFill="1" applyBorder="1" applyAlignment="1" applyProtection="1">
      <alignment horizontal="center" vertical="top"/>
    </xf>
    <xf numFmtId="0" fontId="35" fillId="4" borderId="15" xfId="0" applyFont="1" applyFill="1" applyBorder="1" applyAlignment="1" applyProtection="1">
      <alignment horizontal="center" vertical="top"/>
    </xf>
    <xf numFmtId="0" fontId="35" fillId="4" borderId="10" xfId="0" applyFont="1" applyFill="1" applyBorder="1" applyAlignment="1" applyProtection="1">
      <alignment horizontal="center" vertical="center"/>
    </xf>
    <xf numFmtId="0" fontId="35" fillId="4" borderId="15" xfId="0" applyFont="1" applyFill="1" applyBorder="1" applyAlignment="1" applyProtection="1">
      <alignment horizontal="center" vertical="center"/>
    </xf>
    <xf numFmtId="0" fontId="35" fillId="4" borderId="52" xfId="0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0" fontId="34" fillId="0" borderId="0" xfId="0" applyFont="1" applyFill="1" applyBorder="1" applyAlignment="1" applyProtection="1">
      <alignment horizontal="center" vertical="center"/>
    </xf>
    <xf numFmtId="0" fontId="25" fillId="0" borderId="0" xfId="0" applyFont="1" applyBorder="1" applyAlignment="1" applyProtection="1">
      <alignment horizontal="center"/>
    </xf>
    <xf numFmtId="0" fontId="13" fillId="0" borderId="12" xfId="0" applyFont="1" applyFill="1" applyBorder="1" applyAlignment="1" applyProtection="1">
      <alignment horizontal="center" vertical="center"/>
    </xf>
    <xf numFmtId="0" fontId="43" fillId="0" borderId="0" xfId="149" applyFont="1" applyBorder="1" applyAlignment="1" applyProtection="1">
      <alignment horizontal="center" wrapText="1"/>
    </xf>
    <xf numFmtId="0" fontId="36" fillId="3" borderId="0" xfId="150" applyFont="1" applyFill="1" applyBorder="1" applyAlignment="1" applyProtection="1">
      <alignment horizontal="center" vertical="center"/>
    </xf>
    <xf numFmtId="1" fontId="13" fillId="18" borderId="0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170" fontId="13" fillId="18" borderId="0" xfId="0" applyNumberFormat="1" applyFont="1" applyFill="1" applyBorder="1" applyAlignment="1" applyProtection="1">
      <alignment horizontal="center" vertical="center"/>
    </xf>
    <xf numFmtId="0" fontId="35" fillId="3" borderId="0" xfId="0" applyFont="1" applyFill="1" applyBorder="1" applyAlignment="1" applyProtection="1">
      <alignment horizontal="center" vertical="center"/>
    </xf>
    <xf numFmtId="190" fontId="13" fillId="0" borderId="0" xfId="0" applyNumberFormat="1" applyFont="1" applyBorder="1" applyAlignment="1" applyProtection="1">
      <alignment horizontal="left" vertical="center"/>
    </xf>
    <xf numFmtId="187" fontId="13" fillId="0" borderId="0" xfId="0" applyNumberFormat="1" applyFont="1" applyBorder="1" applyAlignment="1" applyProtection="1">
      <alignment horizontal="left"/>
    </xf>
    <xf numFmtId="0" fontId="45" fillId="0" borderId="0" xfId="0" applyFont="1" applyFill="1" applyBorder="1" applyAlignment="1" applyProtection="1">
      <alignment horizontal="left" vertical="center"/>
    </xf>
    <xf numFmtId="190" fontId="13" fillId="0" borderId="0" xfId="0" applyNumberFormat="1" applyFont="1" applyBorder="1" applyAlignment="1" applyProtection="1">
      <alignment horizontal="left" vertical="center"/>
    </xf>
    <xf numFmtId="0" fontId="58" fillId="4" borderId="0" xfId="197" applyFont="1" applyFill="1" applyBorder="1" applyAlignment="1" applyProtection="1">
      <alignment horizontal="center" vertical="center" wrapText="1"/>
    </xf>
    <xf numFmtId="0" fontId="14" fillId="3" borderId="0" xfId="197" applyFont="1" applyFill="1" applyBorder="1" applyAlignment="1" applyProtection="1">
      <alignment horizontal="center" vertical="center" wrapText="1"/>
    </xf>
    <xf numFmtId="0" fontId="37" fillId="0" borderId="5" xfId="150" applyFont="1" applyBorder="1" applyAlignment="1" applyProtection="1">
      <protection locked="0"/>
    </xf>
    <xf numFmtId="0" fontId="37" fillId="0" borderId="15" xfId="150" applyFont="1" applyBorder="1" applyAlignment="1" applyProtection="1">
      <protection locked="0"/>
    </xf>
    <xf numFmtId="0" fontId="37" fillId="0" borderId="11" xfId="150" applyFont="1" applyBorder="1" applyAlignment="1" applyProtection="1">
      <protection locked="0"/>
    </xf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11" fillId="0" borderId="0" xfId="82"/>
    <xf numFmtId="171" fontId="54" fillId="0" borderId="0" xfId="0" applyNumberFormat="1" applyFont="1" applyAlignment="1">
      <alignment horizontal="center" vertical="center" wrapText="1"/>
    </xf>
    <xf numFmtId="0" fontId="11" fillId="0" borderId="0" xfId="82" applyProtection="1">
      <protection locked="0"/>
    </xf>
    <xf numFmtId="0" fontId="11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27" fillId="4" borderId="0" xfId="0" applyFont="1" applyFill="1" applyBorder="1" applyAlignment="1" applyProtection="1">
      <alignment horizontal="center" vertical="center" wrapText="1"/>
    </xf>
    <xf numFmtId="0" fontId="43" fillId="0" borderId="0" xfId="151" applyFont="1" applyFill="1" applyBorder="1" applyAlignment="1" applyProtection="1">
      <alignment horizontal="center" vertical="top" wrapText="1"/>
    </xf>
    <xf numFmtId="0" fontId="34" fillId="0" borderId="11" xfId="0" applyFont="1" applyFill="1" applyBorder="1" applyAlignment="1" applyProtection="1">
      <alignment horizontal="center" vertical="center"/>
    </xf>
    <xf numFmtId="0" fontId="34" fillId="0" borderId="0" xfId="0" applyFont="1" applyFill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left" vertical="center" wrapText="1"/>
    </xf>
    <xf numFmtId="0" fontId="25" fillId="0" borderId="0" xfId="0" applyFont="1" applyBorder="1" applyAlignment="1" applyProtection="1">
      <alignment horizontal="center"/>
    </xf>
    <xf numFmtId="0" fontId="28" fillId="0" borderId="0" xfId="0" applyFont="1" applyBorder="1" applyAlignment="1" applyProtection="1">
      <alignment horizontal="center" vertical="center" wrapText="1"/>
    </xf>
    <xf numFmtId="0" fontId="23" fillId="0" borderId="0" xfId="0" applyFont="1" applyFill="1" applyBorder="1" applyAlignment="1" applyProtection="1">
      <alignment horizontal="center" vertical="center" wrapText="1"/>
    </xf>
    <xf numFmtId="0" fontId="0" fillId="14" borderId="0" xfId="0" applyFont="1" applyFill="1" applyBorder="1" applyAlignment="1" applyProtection="1">
      <alignment horizontal="center" vertical="center" wrapText="1"/>
    </xf>
    <xf numFmtId="0" fontId="43" fillId="0" borderId="0" xfId="149" applyFont="1" applyBorder="1" applyAlignment="1" applyProtection="1">
      <alignment horizontal="center" wrapText="1"/>
    </xf>
    <xf numFmtId="171" fontId="53" fillId="0" borderId="0" xfId="0" applyNumberFormat="1" applyFont="1" applyBorder="1" applyAlignment="1" applyProtection="1">
      <alignment horizontal="center" vertical="center" wrapText="1"/>
    </xf>
    <xf numFmtId="0" fontId="30" fillId="0" borderId="0" xfId="0" applyFont="1" applyFill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left" vertical="center" wrapText="1"/>
    </xf>
    <xf numFmtId="0" fontId="43" fillId="0" borderId="0" xfId="149" applyFont="1" applyBorder="1" applyAlignment="1" applyProtection="1">
      <alignment horizontal="center" wrapText="1"/>
    </xf>
    <xf numFmtId="173" fontId="62" fillId="4" borderId="0" xfId="0" applyNumberFormat="1" applyFont="1" applyFill="1" applyBorder="1" applyAlignment="1" applyProtection="1">
      <alignment horizontal="center" vertical="center"/>
    </xf>
    <xf numFmtId="173" fontId="13" fillId="4" borderId="0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1" fontId="13" fillId="4" borderId="0" xfId="0" applyNumberFormat="1" applyFont="1" applyFill="1" applyBorder="1" applyAlignment="1" applyProtection="1">
      <alignment horizontal="center" vertical="center" wrapText="1"/>
    </xf>
    <xf numFmtId="10" fontId="14" fillId="4" borderId="0" xfId="0" applyNumberFormat="1" applyFont="1" applyFill="1" applyBorder="1" applyAlignment="1" applyProtection="1">
      <alignment horizontal="center" vertical="center"/>
    </xf>
    <xf numFmtId="0" fontId="62" fillId="4" borderId="0" xfId="0" applyFont="1" applyFill="1" applyBorder="1" applyAlignment="1" applyProtection="1">
      <alignment horizontal="center" vertical="center"/>
    </xf>
    <xf numFmtId="173" fontId="13" fillId="4" borderId="0" xfId="0" applyNumberFormat="1" applyFont="1" applyFill="1" applyBorder="1" applyAlignment="1" applyProtection="1">
      <alignment horizontal="center" vertical="center" wrapText="1"/>
    </xf>
    <xf numFmtId="0" fontId="25" fillId="0" borderId="0" xfId="0" applyFont="1" applyBorder="1" applyProtection="1">
      <protection locked="0"/>
    </xf>
    <xf numFmtId="0" fontId="32" fillId="0" borderId="0" xfId="0" applyFont="1" applyFill="1" applyBorder="1" applyProtection="1"/>
    <xf numFmtId="0" fontId="82" fillId="0" borderId="0" xfId="75" applyNumberFormat="1" applyFont="1" applyFill="1" applyBorder="1" applyAlignment="1" applyProtection="1">
      <alignment horizontal="center" vertical="center"/>
    </xf>
    <xf numFmtId="0" fontId="86" fillId="0" borderId="11" xfId="0" applyFont="1" applyBorder="1" applyAlignment="1" applyProtection="1"/>
    <xf numFmtId="0" fontId="86" fillId="0" borderId="12" xfId="0" applyFont="1" applyBorder="1" applyAlignment="1" applyProtection="1"/>
    <xf numFmtId="0" fontId="57" fillId="0" borderId="11" xfId="0" applyFont="1" applyFill="1" applyBorder="1" applyAlignment="1" applyProtection="1">
      <alignment horizontal="center" vertical="center" wrapText="1"/>
    </xf>
    <xf numFmtId="0" fontId="56" fillId="0" borderId="11" xfId="149" applyFont="1" applyBorder="1" applyAlignment="1" applyProtection="1">
      <alignment horizontal="left" vertical="center" wrapText="1"/>
    </xf>
    <xf numFmtId="187" fontId="13" fillId="0" borderId="11" xfId="0" applyNumberFormat="1" applyFont="1" applyBorder="1" applyAlignment="1" applyProtection="1">
      <alignment horizontal="left" vertical="center"/>
    </xf>
    <xf numFmtId="190" fontId="13" fillId="0" borderId="11" xfId="0" applyNumberFormat="1" applyFont="1" applyBorder="1" applyAlignment="1" applyProtection="1">
      <alignment horizontal="left" vertical="center"/>
    </xf>
    <xf numFmtId="0" fontId="13" fillId="0" borderId="11" xfId="0" applyFont="1" applyBorder="1" applyAlignment="1" applyProtection="1">
      <alignment horizontal="left" vertical="center" wrapText="1"/>
    </xf>
    <xf numFmtId="0" fontId="63" fillId="3" borderId="11" xfId="195" applyFont="1" applyFill="1" applyBorder="1" applyAlignment="1" applyProtection="1">
      <alignment horizontal="center" vertical="center" wrapText="1"/>
    </xf>
    <xf numFmtId="0" fontId="59" fillId="2" borderId="11" xfId="195" applyFont="1" applyFill="1" applyBorder="1" applyAlignment="1" applyProtection="1">
      <alignment horizontal="center" vertical="center" wrapText="1"/>
    </xf>
    <xf numFmtId="0" fontId="86" fillId="0" borderId="0" xfId="0" applyFont="1" applyBorder="1" applyAlignment="1" applyProtection="1">
      <alignment horizontal="center"/>
    </xf>
    <xf numFmtId="171" fontId="25" fillId="0" borderId="0" xfId="0" applyNumberFormat="1" applyFont="1" applyBorder="1" applyAlignment="1" applyProtection="1">
      <alignment horizontal="center"/>
    </xf>
    <xf numFmtId="170" fontId="53" fillId="0" borderId="14" xfId="0" applyNumberFormat="1" applyFont="1" applyFill="1" applyBorder="1" applyAlignment="1" applyProtection="1">
      <alignment horizontal="center" vertical="center"/>
    </xf>
    <xf numFmtId="0" fontId="11" fillId="0" borderId="0" xfId="82" applyFont="1" applyFill="1" applyBorder="1" applyProtection="1"/>
    <xf numFmtId="2" fontId="86" fillId="0" borderId="0" xfId="0" applyNumberFormat="1" applyFont="1" applyBorder="1" applyAlignment="1" applyProtection="1">
      <alignment horizontal="center"/>
    </xf>
    <xf numFmtId="0" fontId="49" fillId="5" borderId="0" xfId="75" applyNumberFormat="1" applyFont="1" applyFill="1" applyBorder="1" applyAlignment="1" applyProtection="1">
      <alignment horizontal="left" vertical="top" wrapText="1"/>
    </xf>
    <xf numFmtId="0" fontId="47" fillId="12" borderId="0" xfId="75" applyNumberFormat="1" applyFont="1" applyFill="1" applyBorder="1" applyAlignment="1" applyProtection="1">
      <alignment horizontal="center"/>
    </xf>
    <xf numFmtId="0" fontId="47" fillId="13" borderId="0" xfId="75" applyNumberFormat="1" applyFont="1" applyFill="1" applyBorder="1" applyAlignment="1" applyProtection="1">
      <alignment horizontal="center"/>
    </xf>
    <xf numFmtId="0" fontId="88" fillId="12" borderId="0" xfId="75" applyNumberFormat="1" applyFont="1" applyFill="1" applyBorder="1" applyAlignment="1" applyProtection="1">
      <alignment horizontal="center"/>
    </xf>
    <xf numFmtId="0" fontId="88" fillId="13" borderId="0" xfId="75" applyNumberFormat="1" applyFont="1" applyFill="1" applyBorder="1" applyAlignment="1" applyProtection="1">
      <alignment horizontal="center"/>
    </xf>
    <xf numFmtId="0" fontId="88" fillId="0" borderId="0" xfId="75" applyNumberFormat="1" applyFont="1" applyBorder="1" applyAlignment="1" applyProtection="1">
      <alignment horizontal="center"/>
    </xf>
    <xf numFmtId="0" fontId="88" fillId="0" borderId="0" xfId="75" applyNumberFormat="1" applyFont="1" applyBorder="1" applyAlignment="1" applyProtection="1">
      <alignment horizontal="center" vertical="center"/>
    </xf>
    <xf numFmtId="0" fontId="86" fillId="0" borderId="13" xfId="0" applyFont="1" applyBorder="1" applyProtection="1"/>
    <xf numFmtId="0" fontId="62" fillId="4" borderId="0" xfId="0" applyFont="1" applyFill="1" applyBorder="1" applyAlignment="1" applyProtection="1">
      <alignment horizontal="center" vertical="center"/>
    </xf>
    <xf numFmtId="0" fontId="80" fillId="0" borderId="0" xfId="0" applyFont="1" applyBorder="1" applyAlignment="1" applyProtection="1">
      <alignment horizontal="center"/>
    </xf>
    <xf numFmtId="0" fontId="47" fillId="0" borderId="0" xfId="75" applyNumberFormat="1" applyFont="1" applyFill="1" applyBorder="1" applyProtection="1"/>
    <xf numFmtId="0" fontId="81" fillId="0" borderId="0" xfId="75" applyNumberFormat="1" applyFont="1" applyFill="1" applyBorder="1" applyAlignment="1" applyProtection="1">
      <alignment horizontal="center" vertical="center"/>
    </xf>
    <xf numFmtId="0" fontId="31" fillId="0" borderId="0" xfId="75" applyNumberFormat="1" applyFont="1" applyFill="1" applyBorder="1" applyProtection="1"/>
    <xf numFmtId="0" fontId="83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vertical="center"/>
    </xf>
    <xf numFmtId="0" fontId="25" fillId="0" borderId="0" xfId="0" applyFont="1" applyFill="1" applyBorder="1" applyAlignment="1" applyProtection="1">
      <alignment horizontal="center" vertical="center"/>
      <protection locked="0"/>
    </xf>
    <xf numFmtId="170" fontId="81" fillId="0" borderId="0" xfId="75" applyNumberFormat="1" applyFont="1" applyFill="1" applyBorder="1" applyAlignment="1" applyProtection="1">
      <alignment horizontal="center" vertical="center"/>
    </xf>
    <xf numFmtId="0" fontId="25" fillId="0" borderId="0" xfId="0" applyFont="1" applyFill="1" applyBorder="1" applyAlignment="1" applyProtection="1">
      <alignment horizontal="center"/>
      <protection locked="0"/>
    </xf>
    <xf numFmtId="1" fontId="14" fillId="0" borderId="0" xfId="0" applyNumberFormat="1" applyFont="1" applyFill="1" applyBorder="1" applyAlignment="1" applyProtection="1">
      <alignment horizontal="center" vertical="center"/>
    </xf>
    <xf numFmtId="170" fontId="13" fillId="0" borderId="0" xfId="0" applyNumberFormat="1" applyFont="1" applyFill="1" applyBorder="1" applyAlignment="1" applyProtection="1">
      <alignment horizontal="center" vertical="center"/>
    </xf>
    <xf numFmtId="173" fontId="38" fillId="0" borderId="0" xfId="0" applyNumberFormat="1" applyFont="1" applyFill="1" applyBorder="1" applyAlignment="1" applyProtection="1">
      <alignment horizontal="center" vertical="center"/>
    </xf>
    <xf numFmtId="0" fontId="86" fillId="0" borderId="16" xfId="0" applyFont="1" applyBorder="1" applyAlignment="1" applyProtection="1">
      <alignment horizontal="center"/>
    </xf>
    <xf numFmtId="170" fontId="39" fillId="0" borderId="0" xfId="0" applyNumberFormat="1" applyFont="1" applyFill="1" applyBorder="1" applyAlignment="1" applyProtection="1">
      <alignment horizontal="center" vertical="center"/>
    </xf>
    <xf numFmtId="173" fontId="39" fillId="0" borderId="0" xfId="0" applyNumberFormat="1" applyFont="1" applyFill="1" applyBorder="1" applyAlignment="1" applyProtection="1">
      <alignment horizontal="center" vertical="center"/>
    </xf>
    <xf numFmtId="170" fontId="40" fillId="0" borderId="0" xfId="0" applyNumberFormat="1" applyFont="1" applyFill="1" applyBorder="1" applyAlignment="1" applyProtection="1">
      <alignment horizontal="center" vertical="center"/>
    </xf>
    <xf numFmtId="173" fontId="40" fillId="0" borderId="0" xfId="0" applyNumberFormat="1" applyFont="1" applyFill="1" applyBorder="1" applyAlignment="1" applyProtection="1">
      <alignment horizontal="center" vertical="center"/>
    </xf>
    <xf numFmtId="170" fontId="38" fillId="0" borderId="0" xfId="0" applyNumberFormat="1" applyFont="1" applyFill="1" applyBorder="1" applyAlignment="1" applyProtection="1">
      <alignment horizontal="center" vertical="center"/>
    </xf>
    <xf numFmtId="173" fontId="13" fillId="0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170" fontId="45" fillId="0" borderId="0" xfId="0" applyNumberFormat="1" applyFont="1" applyFill="1" applyBorder="1" applyAlignment="1" applyProtection="1">
      <alignment horizontal="center" vertical="center"/>
    </xf>
    <xf numFmtId="170" fontId="70" fillId="0" borderId="0" xfId="0" applyNumberFormat="1" applyFont="1" applyFill="1" applyBorder="1" applyAlignment="1" applyProtection="1">
      <alignment horizontal="center" vertical="center"/>
    </xf>
    <xf numFmtId="173" fontId="70" fillId="0" borderId="0" xfId="0" applyNumberFormat="1" applyFont="1" applyFill="1" applyBorder="1" applyAlignment="1" applyProtection="1">
      <alignment horizontal="center" vertical="center"/>
    </xf>
    <xf numFmtId="170" fontId="11" fillId="0" borderId="0" xfId="0" applyNumberFormat="1" applyFont="1" applyFill="1" applyBorder="1" applyAlignment="1" applyProtection="1">
      <alignment vertical="center"/>
    </xf>
    <xf numFmtId="0" fontId="14" fillId="0" borderId="0" xfId="0" applyFont="1" applyBorder="1" applyAlignment="1">
      <alignment horizontal="center" vertical="center"/>
    </xf>
    <xf numFmtId="170" fontId="62" fillId="0" borderId="0" xfId="0" applyNumberFormat="1" applyFont="1" applyBorder="1" applyAlignment="1">
      <alignment horizontal="center" vertical="center" wrapText="1"/>
    </xf>
    <xf numFmtId="170" fontId="13" fillId="18" borderId="0" xfId="0" applyNumberFormat="1" applyFont="1" applyFill="1" applyBorder="1" applyAlignment="1">
      <alignment horizontal="center" vertical="center"/>
    </xf>
    <xf numFmtId="0" fontId="58" fillId="15" borderId="0" xfId="198" applyFont="1" applyFill="1" applyBorder="1" applyAlignment="1">
      <alignment horizontal="center" vertical="center" wrapText="1"/>
    </xf>
    <xf numFmtId="0" fontId="13" fillId="14" borderId="0" xfId="0" applyFont="1" applyFill="1" applyBorder="1" applyAlignment="1">
      <alignment vertical="center"/>
    </xf>
    <xf numFmtId="0" fontId="25" fillId="0" borderId="0" xfId="0" applyFont="1" applyBorder="1"/>
    <xf numFmtId="0" fontId="25" fillId="0" borderId="0" xfId="0" applyFont="1" applyBorder="1" applyAlignment="1">
      <alignment horizontal="center" vertical="center"/>
    </xf>
    <xf numFmtId="0" fontId="46" fillId="4" borderId="0" xfId="0" applyFont="1" applyFill="1" applyBorder="1" applyAlignment="1">
      <alignment horizontal="center" vertical="center"/>
    </xf>
    <xf numFmtId="1" fontId="46" fillId="4" borderId="0" xfId="0" applyNumberFormat="1" applyFont="1" applyFill="1" applyBorder="1" applyAlignment="1">
      <alignment horizontal="center" vertical="center"/>
    </xf>
    <xf numFmtId="0" fontId="46" fillId="4" borderId="0" xfId="198" applyFont="1" applyFill="1" applyBorder="1" applyAlignment="1">
      <alignment horizontal="center" vertical="center" wrapText="1"/>
    </xf>
    <xf numFmtId="170" fontId="46" fillId="4" borderId="0" xfId="0" applyNumberFormat="1" applyFont="1" applyFill="1" applyBorder="1" applyAlignment="1">
      <alignment horizontal="center" vertical="center"/>
    </xf>
    <xf numFmtId="0" fontId="36" fillId="2" borderId="0" xfId="198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0" fontId="0" fillId="2" borderId="0" xfId="0" applyFill="1" applyBorder="1" applyAlignment="1">
      <alignment horizontal="center" vertical="center"/>
    </xf>
    <xf numFmtId="2" fontId="54" fillId="0" borderId="0" xfId="125" applyNumberFormat="1" applyFont="1" applyBorder="1" applyAlignment="1" applyProtection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11" fillId="0" borderId="0" xfId="82" applyBorder="1"/>
    <xf numFmtId="0" fontId="28" fillId="0" borderId="0" xfId="0" applyFont="1" applyBorder="1" applyAlignment="1">
      <alignment horizontal="center" vertical="center"/>
    </xf>
    <xf numFmtId="1" fontId="53" fillId="0" borderId="0" xfId="0" applyNumberFormat="1" applyFont="1" applyBorder="1" applyAlignment="1">
      <alignment horizontal="center" vertical="center"/>
    </xf>
    <xf numFmtId="170" fontId="53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173" fontId="38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 applyProtection="1">
      <alignment horizontal="center" vertical="center"/>
      <protection locked="0"/>
    </xf>
    <xf numFmtId="173" fontId="92" fillId="16" borderId="11" xfId="0" applyNumberFormat="1" applyFont="1" applyFill="1" applyBorder="1" applyAlignment="1" applyProtection="1">
      <alignment vertical="center"/>
    </xf>
    <xf numFmtId="170" fontId="70" fillId="0" borderId="24" xfId="0" applyNumberFormat="1" applyFont="1" applyBorder="1" applyAlignment="1">
      <alignment horizontal="center" vertical="center"/>
    </xf>
    <xf numFmtId="173" fontId="70" fillId="0" borderId="128" xfId="0" applyNumberFormat="1" applyFont="1" applyBorder="1" applyAlignment="1">
      <alignment horizontal="center" vertical="center"/>
    </xf>
    <xf numFmtId="170" fontId="40" fillId="0" borderId="24" xfId="0" applyNumberFormat="1" applyFont="1" applyBorder="1" applyAlignment="1">
      <alignment horizontal="center" vertical="center"/>
    </xf>
    <xf numFmtId="173" fontId="40" fillId="0" borderId="128" xfId="0" applyNumberFormat="1" applyFont="1" applyBorder="1" applyAlignment="1">
      <alignment horizontal="center" vertical="center"/>
    </xf>
    <xf numFmtId="2" fontId="70" fillId="0" borderId="128" xfId="0" applyNumberFormat="1" applyFont="1" applyBorder="1" applyAlignment="1">
      <alignment horizontal="center" vertical="center"/>
    </xf>
    <xf numFmtId="170" fontId="70" fillId="19" borderId="25" xfId="0" applyNumberFormat="1" applyFont="1" applyFill="1" applyBorder="1" applyAlignment="1">
      <alignment horizontal="center" vertical="center"/>
    </xf>
    <xf numFmtId="173" fontId="70" fillId="0" borderId="129" xfId="0" applyNumberFormat="1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/>
    </xf>
    <xf numFmtId="0" fontId="38" fillId="0" borderId="128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62" fillId="4" borderId="24" xfId="198" applyFont="1" applyFill="1" applyBorder="1" applyAlignment="1">
      <alignment vertical="center" wrapText="1"/>
    </xf>
    <xf numFmtId="2" fontId="26" fillId="0" borderId="2" xfId="0" applyNumberFormat="1" applyFont="1" applyFill="1" applyBorder="1" applyAlignment="1" applyProtection="1">
      <alignment horizontal="center" vertical="center"/>
    </xf>
    <xf numFmtId="0" fontId="62" fillId="14" borderId="0" xfId="0" applyFont="1" applyFill="1" applyBorder="1" applyAlignment="1">
      <alignment vertical="center"/>
    </xf>
    <xf numFmtId="0" fontId="93" fillId="0" borderId="0" xfId="0" applyFont="1" applyProtection="1">
      <protection locked="0"/>
    </xf>
    <xf numFmtId="0" fontId="14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1" fontId="14" fillId="0" borderId="0" xfId="0" applyNumberFormat="1" applyFont="1" applyBorder="1" applyAlignment="1">
      <alignment horizontal="center" vertical="center"/>
    </xf>
    <xf numFmtId="1" fontId="13" fillId="0" borderId="0" xfId="0" applyNumberFormat="1" applyFont="1" applyBorder="1" applyAlignment="1">
      <alignment horizontal="center" vertical="center"/>
    </xf>
    <xf numFmtId="170" fontId="13" fillId="0" borderId="0" xfId="0" applyNumberFormat="1" applyFont="1" applyBorder="1" applyAlignment="1">
      <alignment horizontal="center" vertical="center"/>
    </xf>
    <xf numFmtId="2" fontId="11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43" fillId="0" borderId="0" xfId="149" applyFont="1" applyBorder="1" applyAlignment="1">
      <alignment horizontal="center" wrapText="1"/>
    </xf>
    <xf numFmtId="1" fontId="13" fillId="0" borderId="0" xfId="0" applyNumberFormat="1" applyFont="1" applyBorder="1" applyAlignment="1">
      <alignment horizontal="center" vertical="center" wrapText="1"/>
    </xf>
    <xf numFmtId="170" fontId="39" fillId="0" borderId="0" xfId="0" applyNumberFormat="1" applyFont="1" applyBorder="1" applyAlignment="1">
      <alignment horizontal="center" vertical="center"/>
    </xf>
    <xf numFmtId="173" fontId="39" fillId="0" borderId="0" xfId="0" applyNumberFormat="1" applyFont="1" applyBorder="1" applyAlignment="1">
      <alignment horizontal="center" vertical="center"/>
    </xf>
    <xf numFmtId="12" fontId="13" fillId="0" borderId="0" xfId="0" applyNumberFormat="1" applyFont="1" applyBorder="1" applyAlignment="1">
      <alignment horizontal="left" vertical="center"/>
    </xf>
    <xf numFmtId="12" fontId="13" fillId="0" borderId="0" xfId="0" applyNumberFormat="1" applyFont="1" applyBorder="1" applyAlignment="1">
      <alignment horizontal="center" vertical="center"/>
    </xf>
    <xf numFmtId="189" fontId="12" fillId="0" borderId="0" xfId="0" applyNumberFormat="1" applyFont="1" applyBorder="1" applyAlignment="1">
      <alignment horizontal="center" vertical="center"/>
    </xf>
    <xf numFmtId="12" fontId="14" fillId="0" borderId="0" xfId="0" applyNumberFormat="1" applyFont="1" applyBorder="1" applyAlignment="1">
      <alignment vertical="center"/>
    </xf>
    <xf numFmtId="0" fontId="47" fillId="6" borderId="0" xfId="75" applyNumberFormat="1" applyFont="1" applyFill="1" applyBorder="1" applyAlignment="1">
      <alignment horizontal="center"/>
    </xf>
    <xf numFmtId="0" fontId="11" fillId="0" borderId="0" xfId="0" applyFont="1" applyBorder="1" applyAlignment="1" applyProtection="1">
      <alignment vertical="center"/>
      <protection locked="0"/>
    </xf>
    <xf numFmtId="12" fontId="13" fillId="0" borderId="0" xfId="0" applyNumberFormat="1" applyFont="1" applyBorder="1" applyAlignment="1">
      <alignment vertical="center"/>
    </xf>
    <xf numFmtId="0" fontId="47" fillId="0" borderId="0" xfId="75" applyNumberFormat="1" applyFont="1" applyBorder="1"/>
    <xf numFmtId="1" fontId="13" fillId="0" borderId="0" xfId="0" applyNumberFormat="1" applyFont="1" applyBorder="1" applyAlignment="1">
      <alignment horizontal="left" vertical="center"/>
    </xf>
    <xf numFmtId="170" fontId="14" fillId="0" borderId="0" xfId="0" applyNumberFormat="1" applyFont="1" applyBorder="1" applyAlignment="1">
      <alignment horizontal="center" vertical="center"/>
    </xf>
    <xf numFmtId="0" fontId="49" fillId="6" borderId="0" xfId="75" applyNumberFormat="1" applyFont="1" applyFill="1" applyBorder="1"/>
    <xf numFmtId="170" fontId="38" fillId="0" borderId="0" xfId="0" applyNumberFormat="1" applyFont="1" applyBorder="1" applyAlignment="1">
      <alignment horizontal="center" vertical="center"/>
    </xf>
    <xf numFmtId="2" fontId="47" fillId="0" borderId="0" xfId="75" applyNumberFormat="1" applyFont="1" applyBorder="1" applyAlignment="1">
      <alignment horizontal="center"/>
    </xf>
    <xf numFmtId="188" fontId="13" fillId="0" borderId="0" xfId="0" applyNumberFormat="1" applyFont="1" applyBorder="1" applyAlignment="1">
      <alignment horizontal="left" vertical="center"/>
    </xf>
    <xf numFmtId="170" fontId="47" fillId="0" borderId="0" xfId="75" applyNumberFormat="1" applyFont="1" applyBorder="1" applyAlignment="1">
      <alignment horizontal="center"/>
    </xf>
    <xf numFmtId="0" fontId="48" fillId="0" borderId="0" xfId="75" applyNumberFormat="1" applyFont="1" applyBorder="1" applyAlignment="1">
      <alignment horizontal="center" wrapText="1"/>
    </xf>
    <xf numFmtId="0" fontId="47" fillId="0" borderId="0" xfId="75" applyNumberFormat="1" applyFont="1" applyBorder="1" applyAlignment="1">
      <alignment horizontal="left"/>
    </xf>
    <xf numFmtId="173" fontId="47" fillId="0" borderId="0" xfId="75" applyNumberFormat="1" applyFont="1" applyBorder="1" applyAlignment="1">
      <alignment horizontal="center"/>
    </xf>
    <xf numFmtId="0" fontId="51" fillId="6" borderId="0" xfId="75" applyNumberFormat="1" applyFont="1" applyFill="1" applyBorder="1" applyAlignment="1">
      <alignment horizontal="center"/>
    </xf>
    <xf numFmtId="0" fontId="47" fillId="0" borderId="0" xfId="75" applyNumberFormat="1" applyFont="1" applyBorder="1" applyAlignment="1">
      <alignment horizontal="center"/>
    </xf>
    <xf numFmtId="1" fontId="47" fillId="0" borderId="0" xfId="75" applyFont="1" applyBorder="1" applyAlignment="1">
      <alignment horizontal="center"/>
    </xf>
    <xf numFmtId="0" fontId="33" fillId="7" borderId="0" xfId="75" applyNumberFormat="1" applyFont="1" applyFill="1" applyBorder="1"/>
    <xf numFmtId="0" fontId="47" fillId="5" borderId="0" xfId="75" applyNumberFormat="1" applyFont="1" applyFill="1" applyBorder="1"/>
    <xf numFmtId="0" fontId="50" fillId="7" borderId="0" xfId="75" applyNumberFormat="1" applyFont="1" applyFill="1" applyBorder="1" applyAlignment="1">
      <alignment vertical="center" wrapText="1"/>
    </xf>
    <xf numFmtId="0" fontId="49" fillId="5" borderId="0" xfId="75" applyNumberFormat="1" applyFont="1" applyFill="1" applyBorder="1"/>
    <xf numFmtId="0" fontId="51" fillId="8" borderId="0" xfId="75" applyNumberFormat="1" applyFont="1" applyFill="1" applyBorder="1" applyAlignment="1">
      <alignment vertical="center" wrapText="1"/>
    </xf>
    <xf numFmtId="0" fontId="47" fillId="8" borderId="0" xfId="75" applyNumberFormat="1" applyFont="1" applyFill="1" applyBorder="1"/>
    <xf numFmtId="0" fontId="47" fillId="9" borderId="0" xfId="75" applyNumberFormat="1" applyFont="1" applyFill="1" applyBorder="1"/>
    <xf numFmtId="0" fontId="47" fillId="4" borderId="0" xfId="75" applyNumberFormat="1" applyFont="1" applyFill="1" applyBorder="1" applyAlignment="1">
      <alignment horizontal="center"/>
    </xf>
    <xf numFmtId="0" fontId="47" fillId="10" borderId="0" xfId="75" applyNumberFormat="1" applyFont="1" applyFill="1" applyBorder="1"/>
    <xf numFmtId="0" fontId="47" fillId="4" borderId="0" xfId="75" applyNumberFormat="1" applyFont="1" applyFill="1" applyBorder="1"/>
    <xf numFmtId="10" fontId="14" fillId="4" borderId="0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173" fontId="13" fillId="4" borderId="0" xfId="0" applyNumberFormat="1" applyFont="1" applyFill="1" applyBorder="1" applyAlignment="1">
      <alignment horizontal="center" vertical="center" wrapText="1"/>
    </xf>
    <xf numFmtId="1" fontId="13" fillId="4" borderId="0" xfId="0" applyNumberFormat="1" applyFont="1" applyFill="1" applyBorder="1" applyAlignment="1">
      <alignment horizontal="center" vertical="center" wrapText="1"/>
    </xf>
    <xf numFmtId="170" fontId="13" fillId="4" borderId="0" xfId="0" applyNumberFormat="1" applyFont="1" applyFill="1" applyBorder="1" applyAlignment="1">
      <alignment horizontal="center" vertical="center" wrapText="1"/>
    </xf>
    <xf numFmtId="0" fontId="64" fillId="4" borderId="0" xfId="0" applyFont="1" applyFill="1" applyBorder="1" applyAlignment="1">
      <alignment horizontal="center" vertical="center"/>
    </xf>
    <xf numFmtId="173" fontId="13" fillId="4" borderId="0" xfId="0" applyNumberFormat="1" applyFont="1" applyFill="1" applyBorder="1" applyAlignment="1">
      <alignment horizontal="center" vertical="center"/>
    </xf>
    <xf numFmtId="170" fontId="11" fillId="0" borderId="0" xfId="0" applyNumberFormat="1" applyFont="1" applyBorder="1" applyAlignment="1">
      <alignment vertical="center"/>
    </xf>
    <xf numFmtId="2" fontId="0" fillId="0" borderId="0" xfId="0" applyNumberFormat="1" applyBorder="1" applyAlignment="1">
      <alignment horizontal="center" vertical="center"/>
    </xf>
    <xf numFmtId="0" fontId="14" fillId="3" borderId="0" xfId="198" applyFont="1" applyFill="1" applyBorder="1" applyAlignment="1">
      <alignment horizontal="center" vertical="center" wrapText="1"/>
    </xf>
    <xf numFmtId="0" fontId="45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 applyProtection="1">
      <alignment vertical="center"/>
      <protection locked="0"/>
    </xf>
    <xf numFmtId="0" fontId="0" fillId="0" borderId="0" xfId="0" applyBorder="1" applyAlignment="1">
      <alignment vertical="center"/>
    </xf>
    <xf numFmtId="0" fontId="60" fillId="0" borderId="0" xfId="0" applyFont="1" applyBorder="1"/>
    <xf numFmtId="0" fontId="31" fillId="0" borderId="0" xfId="0" applyFont="1" applyBorder="1" applyAlignment="1">
      <alignment horizontal="center" vertical="center"/>
    </xf>
    <xf numFmtId="0" fontId="13" fillId="18" borderId="0" xfId="0" applyFont="1" applyFill="1" applyBorder="1" applyAlignment="1">
      <alignment horizontal="center" vertical="center"/>
    </xf>
    <xf numFmtId="1" fontId="13" fillId="18" borderId="0" xfId="0" applyNumberFormat="1" applyFont="1" applyFill="1" applyBorder="1" applyAlignment="1">
      <alignment horizontal="center" vertical="center"/>
    </xf>
    <xf numFmtId="0" fontId="61" fillId="4" borderId="0" xfId="0" applyFont="1" applyFill="1" applyBorder="1" applyAlignment="1">
      <alignment vertical="center" wrapText="1"/>
    </xf>
    <xf numFmtId="12" fontId="61" fillId="4" borderId="0" xfId="0" applyNumberFormat="1" applyFont="1" applyFill="1" applyBorder="1" applyAlignment="1">
      <alignment vertical="center"/>
    </xf>
    <xf numFmtId="1" fontId="61" fillId="4" borderId="0" xfId="0" applyNumberFormat="1" applyFont="1" applyFill="1" applyBorder="1" applyAlignment="1">
      <alignment vertical="center"/>
    </xf>
    <xf numFmtId="0" fontId="80" fillId="0" borderId="112" xfId="0" applyFont="1" applyBorder="1" applyAlignment="1">
      <alignment horizontal="center"/>
    </xf>
    <xf numFmtId="12" fontId="13" fillId="0" borderId="0" xfId="0" applyNumberFormat="1" applyFont="1" applyBorder="1" applyAlignment="1">
      <alignment horizontal="left" vertical="center" wrapText="1"/>
    </xf>
    <xf numFmtId="12" fontId="13" fillId="0" borderId="0" xfId="0" applyNumberFormat="1" applyFont="1" applyBorder="1" applyAlignment="1">
      <alignment horizontal="center" vertical="center" wrapText="1"/>
    </xf>
    <xf numFmtId="12" fontId="23" fillId="0" borderId="0" xfId="0" applyNumberFormat="1" applyFont="1" applyBorder="1" applyAlignment="1">
      <alignment horizontal="left" vertical="center"/>
    </xf>
    <xf numFmtId="0" fontId="60" fillId="0" borderId="0" xfId="0" applyFont="1" applyBorder="1" applyAlignment="1">
      <alignment horizontal="center" vertical="center" wrapText="1"/>
    </xf>
    <xf numFmtId="0" fontId="13" fillId="4" borderId="65" xfId="0" applyFont="1" applyFill="1" applyBorder="1" applyAlignment="1" applyProtection="1">
      <alignment vertical="center"/>
    </xf>
    <xf numFmtId="0" fontId="13" fillId="4" borderId="29" xfId="0" applyFont="1" applyFill="1" applyBorder="1" applyAlignment="1" applyProtection="1">
      <alignment vertical="center"/>
    </xf>
    <xf numFmtId="0" fontId="25" fillId="0" borderId="0" xfId="0" applyFont="1" applyProtection="1">
      <protection locked="0"/>
    </xf>
    <xf numFmtId="0" fontId="25" fillId="0" borderId="15" xfId="0" applyFont="1" applyBorder="1" applyProtection="1">
      <protection locked="0"/>
    </xf>
    <xf numFmtId="0" fontId="94" fillId="0" borderId="0" xfId="0" applyFont="1" applyFill="1" applyBorder="1" applyAlignment="1" applyProtection="1">
      <alignment horizontal="center" vertical="center" wrapText="1"/>
    </xf>
    <xf numFmtId="0" fontId="93" fillId="0" borderId="0" xfId="0" applyFont="1" applyProtection="1"/>
    <xf numFmtId="0" fontId="95" fillId="0" borderId="0" xfId="0" applyFont="1" applyFill="1" applyBorder="1" applyAlignment="1" applyProtection="1">
      <alignment horizontal="center" vertical="center"/>
    </xf>
    <xf numFmtId="0" fontId="64" fillId="0" borderId="0" xfId="149" applyFont="1" applyBorder="1" applyAlignment="1" applyProtection="1">
      <alignment horizontal="left" vertical="center" wrapText="1"/>
    </xf>
    <xf numFmtId="0" fontId="93" fillId="0" borderId="7" xfId="0" applyFont="1" applyBorder="1" applyAlignment="1" applyProtection="1">
      <alignment horizontal="center"/>
    </xf>
    <xf numFmtId="0" fontId="93" fillId="0" borderId="8" xfId="0" applyFont="1" applyBorder="1" applyAlignment="1" applyProtection="1">
      <alignment horizontal="center"/>
    </xf>
    <xf numFmtId="0" fontId="93" fillId="0" borderId="9" xfId="0" applyFont="1" applyBorder="1" applyAlignment="1" applyProtection="1">
      <alignment horizontal="center"/>
    </xf>
    <xf numFmtId="0" fontId="93" fillId="0" borderId="10" xfId="0" applyFont="1" applyBorder="1" applyAlignment="1" applyProtection="1">
      <alignment horizontal="center"/>
    </xf>
    <xf numFmtId="0" fontId="93" fillId="0" borderId="6" xfId="0" applyFont="1" applyBorder="1" applyProtection="1"/>
    <xf numFmtId="0" fontId="93" fillId="0" borderId="2" xfId="0" applyFont="1" applyBorder="1" applyProtection="1">
      <protection locked="0"/>
    </xf>
    <xf numFmtId="0" fontId="93" fillId="0" borderId="11" xfId="0" applyFont="1" applyBorder="1" applyProtection="1"/>
    <xf numFmtId="0" fontId="93" fillId="0" borderId="0" xfId="0" applyFont="1" applyBorder="1" applyProtection="1">
      <protection locked="0"/>
    </xf>
    <xf numFmtId="0" fontId="93" fillId="0" borderId="0" xfId="0" applyFont="1" applyBorder="1" applyProtection="1"/>
    <xf numFmtId="0" fontId="93" fillId="0" borderId="15" xfId="0" applyFont="1" applyBorder="1" applyProtection="1"/>
    <xf numFmtId="0" fontId="93" fillId="0" borderId="9" xfId="0" applyFont="1" applyBorder="1" applyAlignment="1" applyProtection="1"/>
    <xf numFmtId="0" fontId="93" fillId="0" borderId="10" xfId="0" applyFont="1" applyBorder="1" applyAlignment="1" applyProtection="1"/>
    <xf numFmtId="0" fontId="93" fillId="0" borderId="14" xfId="0" applyFont="1" applyBorder="1" applyAlignment="1" applyProtection="1"/>
    <xf numFmtId="0" fontId="93" fillId="0" borderId="11" xfId="0" applyFont="1" applyBorder="1" applyProtection="1"/>
    <xf numFmtId="0" fontId="93" fillId="0" borderId="15" xfId="0" applyFont="1" applyBorder="1" applyProtection="1"/>
    <xf numFmtId="187" fontId="62" fillId="0" borderId="1" xfId="0" applyNumberFormat="1" applyFont="1" applyBorder="1" applyAlignment="1" applyProtection="1">
      <alignment horizontal="left" vertical="center"/>
    </xf>
    <xf numFmtId="187" fontId="62" fillId="0" borderId="0" xfId="0" applyNumberFormat="1" applyFont="1" applyBorder="1" applyAlignment="1" applyProtection="1">
      <alignment horizontal="left" vertical="center"/>
    </xf>
    <xf numFmtId="0" fontId="93" fillId="0" borderId="11" xfId="0" applyFont="1" applyBorder="1" applyAlignment="1" applyProtection="1"/>
    <xf numFmtId="0" fontId="93" fillId="0" borderId="0" xfId="0" applyFont="1" applyBorder="1" applyAlignment="1" applyProtection="1"/>
    <xf numFmtId="0" fontId="93" fillId="0" borderId="15" xfId="0" applyFont="1" applyBorder="1" applyAlignment="1" applyProtection="1"/>
    <xf numFmtId="190" fontId="62" fillId="0" borderId="4" xfId="0" applyNumberFormat="1" applyFont="1" applyBorder="1" applyAlignment="1" applyProtection="1">
      <alignment horizontal="left" vertical="center"/>
    </xf>
    <xf numFmtId="0" fontId="93" fillId="0" borderId="12" xfId="0" applyFont="1" applyBorder="1" applyProtection="1"/>
    <xf numFmtId="0" fontId="93" fillId="0" borderId="5" xfId="0" applyFont="1" applyBorder="1" applyProtection="1">
      <protection locked="0"/>
    </xf>
    <xf numFmtId="0" fontId="93" fillId="0" borderId="5" xfId="0" applyFont="1" applyBorder="1" applyProtection="1"/>
    <xf numFmtId="0" fontId="93" fillId="0" borderId="13" xfId="0" applyFont="1" applyBorder="1" applyProtection="1"/>
    <xf numFmtId="190" fontId="62" fillId="0" borderId="0" xfId="0" applyNumberFormat="1" applyFont="1" applyBorder="1" applyAlignment="1" applyProtection="1">
      <alignment horizontal="left" vertical="center"/>
    </xf>
    <xf numFmtId="0" fontId="93" fillId="0" borderId="5" xfId="0" applyFont="1" applyBorder="1" applyAlignment="1" applyProtection="1"/>
    <xf numFmtId="0" fontId="93" fillId="0" borderId="13" xfId="0" applyFont="1" applyBorder="1" applyAlignment="1" applyProtection="1"/>
    <xf numFmtId="0" fontId="62" fillId="0" borderId="0" xfId="0" applyFont="1" applyBorder="1" applyAlignment="1" applyProtection="1">
      <alignment horizontal="left" vertical="center" wrapText="1"/>
    </xf>
    <xf numFmtId="0" fontId="93" fillId="0" borderId="35" xfId="0" applyFont="1" applyBorder="1" applyAlignment="1" applyProtection="1">
      <alignment horizontal="center" vertical="center" wrapText="1"/>
    </xf>
    <xf numFmtId="0" fontId="93" fillId="0" borderId="10" xfId="0" applyFont="1" applyBorder="1" applyAlignment="1" applyProtection="1">
      <alignment horizontal="center" vertical="center" wrapText="1"/>
    </xf>
    <xf numFmtId="0" fontId="93" fillId="0" borderId="0" xfId="0" applyFont="1" applyAlignment="1" applyProtection="1">
      <alignment horizontal="center" wrapText="1"/>
    </xf>
    <xf numFmtId="0" fontId="93" fillId="0" borderId="9" xfId="0" applyFont="1" applyBorder="1" applyAlignment="1" applyProtection="1">
      <alignment horizontal="center" vertical="center" wrapText="1"/>
    </xf>
    <xf numFmtId="0" fontId="93" fillId="0" borderId="0" xfId="0" applyFont="1" applyBorder="1" applyAlignment="1" applyProtection="1">
      <alignment horizontal="center" wrapText="1"/>
    </xf>
    <xf numFmtId="0" fontId="93" fillId="0" borderId="10" xfId="0" applyFont="1" applyBorder="1" applyAlignment="1" applyProtection="1">
      <alignment horizontal="center" wrapText="1"/>
    </xf>
    <xf numFmtId="0" fontId="93" fillId="0" borderId="0" xfId="0" applyFont="1" applyBorder="1" applyAlignment="1" applyProtection="1">
      <alignment horizontal="center" vertical="center"/>
    </xf>
    <xf numFmtId="0" fontId="93" fillId="0" borderId="11" xfId="0" applyFont="1" applyBorder="1" applyAlignment="1" applyProtection="1">
      <alignment horizontal="center" vertical="center"/>
    </xf>
    <xf numFmtId="0" fontId="62" fillId="4" borderId="11" xfId="0" applyFont="1" applyFill="1" applyBorder="1" applyAlignment="1" applyProtection="1">
      <alignment horizontal="center" vertical="center"/>
    </xf>
    <xf numFmtId="0" fontId="66" fillId="4" borderId="11" xfId="195" applyFont="1" applyFill="1" applyBorder="1" applyAlignment="1" applyProtection="1">
      <alignment horizontal="center" vertical="center" wrapText="1"/>
    </xf>
    <xf numFmtId="0" fontId="66" fillId="4" borderId="0" xfId="195" applyFont="1" applyFill="1" applyBorder="1" applyAlignment="1" applyProtection="1">
      <alignment horizontal="center" vertical="center" wrapText="1"/>
    </xf>
    <xf numFmtId="0" fontId="62" fillId="4" borderId="11" xfId="195" applyFont="1" applyFill="1" applyBorder="1" applyAlignment="1" applyProtection="1">
      <alignment horizontal="center" vertical="center" wrapText="1"/>
    </xf>
    <xf numFmtId="0" fontId="62" fillId="4" borderId="0" xfId="195" applyFont="1" applyFill="1" applyBorder="1" applyAlignment="1" applyProtection="1">
      <alignment horizontal="center" vertical="center" wrapText="1"/>
    </xf>
    <xf numFmtId="0" fontId="66" fillId="15" borderId="11" xfId="195" applyFont="1" applyFill="1" applyBorder="1" applyAlignment="1" applyProtection="1">
      <alignment horizontal="center" vertical="center" wrapText="1"/>
    </xf>
    <xf numFmtId="0" fontId="66" fillId="15" borderId="0" xfId="195" applyFont="1" applyFill="1" applyBorder="1" applyAlignment="1" applyProtection="1">
      <alignment horizontal="center" vertical="center" wrapText="1"/>
    </xf>
    <xf numFmtId="170" fontId="62" fillId="4" borderId="11" xfId="195" applyNumberFormat="1" applyFont="1" applyFill="1" applyBorder="1" applyAlignment="1" applyProtection="1">
      <alignment horizontal="center" vertical="center" wrapText="1"/>
    </xf>
    <xf numFmtId="170" fontId="62" fillId="4" borderId="0" xfId="195" applyNumberFormat="1" applyFont="1" applyFill="1" applyBorder="1" applyAlignment="1" applyProtection="1">
      <alignment horizontal="center" vertical="center" wrapText="1"/>
    </xf>
    <xf numFmtId="1" fontId="62" fillId="4" borderId="11" xfId="195" applyNumberFormat="1" applyFont="1" applyFill="1" applyBorder="1" applyAlignment="1" applyProtection="1">
      <alignment horizontal="center" vertical="center" wrapText="1"/>
    </xf>
    <xf numFmtId="1" fontId="62" fillId="4" borderId="0" xfId="195" applyNumberFormat="1" applyFont="1" applyFill="1" applyBorder="1" applyAlignment="1" applyProtection="1">
      <alignment horizontal="center" vertical="center" wrapText="1"/>
    </xf>
    <xf numFmtId="0" fontId="66" fillId="15" borderId="12" xfId="195" applyFont="1" applyFill="1" applyBorder="1" applyAlignment="1" applyProtection="1">
      <alignment horizontal="center" vertical="center" wrapText="1"/>
    </xf>
    <xf numFmtId="0" fontId="66" fillId="15" borderId="5" xfId="195" applyFont="1" applyFill="1" applyBorder="1" applyAlignment="1" applyProtection="1">
      <alignment horizontal="center" vertical="center" wrapText="1"/>
    </xf>
    <xf numFmtId="0" fontId="97" fillId="0" borderId="0" xfId="0" applyFont="1" applyBorder="1" applyAlignment="1" applyProtection="1">
      <alignment horizontal="center" vertical="top"/>
    </xf>
    <xf numFmtId="0" fontId="93" fillId="0" borderId="2" xfId="0" applyFont="1" applyBorder="1" applyProtection="1"/>
    <xf numFmtId="0" fontId="93" fillId="0" borderId="7" xfId="0" applyFont="1" applyBorder="1" applyAlignment="1" applyProtection="1">
      <alignment horizontal="center"/>
      <protection locked="0"/>
    </xf>
    <xf numFmtId="0" fontId="93" fillId="0" borderId="6" xfId="0" applyFont="1" applyBorder="1" applyAlignment="1" applyProtection="1">
      <alignment horizontal="center"/>
      <protection locked="0"/>
    </xf>
    <xf numFmtId="0" fontId="93" fillId="0" borderId="9" xfId="0" applyFont="1" applyBorder="1" applyAlignment="1" applyProtection="1">
      <alignment horizontal="center"/>
      <protection locked="0"/>
    </xf>
    <xf numFmtId="0" fontId="93" fillId="0" borderId="14" xfId="0" applyFont="1" applyBorder="1" applyAlignment="1" applyProtection="1">
      <alignment horizontal="center"/>
    </xf>
    <xf numFmtId="0" fontId="93" fillId="0" borderId="11" xfId="0" applyFont="1" applyBorder="1" applyAlignment="1" applyProtection="1">
      <alignment horizontal="center"/>
      <protection locked="0"/>
    </xf>
    <xf numFmtId="0" fontId="93" fillId="0" borderId="15" xfId="0" applyFont="1" applyBorder="1" applyAlignment="1" applyProtection="1">
      <alignment horizontal="center"/>
    </xf>
    <xf numFmtId="0" fontId="93" fillId="0" borderId="12" xfId="0" applyFont="1" applyBorder="1" applyAlignment="1" applyProtection="1">
      <alignment horizontal="center"/>
      <protection locked="0"/>
    </xf>
    <xf numFmtId="0" fontId="93" fillId="0" borderId="13" xfId="0" applyFont="1" applyBorder="1" applyAlignment="1" applyProtection="1">
      <alignment horizontal="center"/>
    </xf>
    <xf numFmtId="171" fontId="55" fillId="0" borderId="10" xfId="0" applyNumberFormat="1" applyFont="1" applyBorder="1" applyAlignment="1" applyProtection="1">
      <alignment horizontal="center" vertical="center"/>
    </xf>
    <xf numFmtId="0" fontId="91" fillId="0" borderId="0" xfId="82" applyFont="1" applyFill="1" applyProtection="1"/>
    <xf numFmtId="0" fontId="54" fillId="0" borderId="0" xfId="0" applyFont="1" applyBorder="1" applyAlignment="1" applyProtection="1">
      <alignment horizontal="center" vertical="center"/>
    </xf>
    <xf numFmtId="0" fontId="54" fillId="0" borderId="145" xfId="0" applyFont="1" applyBorder="1" applyAlignment="1" applyProtection="1">
      <alignment horizontal="center" vertical="center" wrapText="1"/>
    </xf>
    <xf numFmtId="171" fontId="93" fillId="0" borderId="146" xfId="0" applyNumberFormat="1" applyFont="1" applyBorder="1" applyAlignment="1" applyProtection="1">
      <alignment horizontal="center"/>
    </xf>
    <xf numFmtId="170" fontId="93" fillId="0" borderId="136" xfId="0" applyNumberFormat="1" applyFont="1" applyBorder="1" applyAlignment="1" applyProtection="1">
      <alignment horizontal="center"/>
    </xf>
    <xf numFmtId="170" fontId="93" fillId="0" borderId="11" xfId="0" applyNumberFormat="1" applyFont="1" applyBorder="1" applyAlignment="1" applyProtection="1">
      <alignment horizontal="center"/>
    </xf>
    <xf numFmtId="170" fontId="93" fillId="0" borderId="137" xfId="0" applyNumberFormat="1" applyFont="1" applyBorder="1" applyAlignment="1" applyProtection="1">
      <alignment horizontal="center"/>
    </xf>
    <xf numFmtId="170" fontId="93" fillId="0" borderId="149" xfId="0" applyNumberFormat="1" applyFont="1" applyBorder="1" applyAlignment="1" applyProtection="1">
      <alignment horizontal="center"/>
    </xf>
    <xf numFmtId="0" fontId="91" fillId="0" borderId="0" xfId="0" applyFont="1" applyFill="1" applyAlignment="1" applyProtection="1">
      <alignment vertical="center"/>
    </xf>
    <xf numFmtId="0" fontId="93" fillId="0" borderId="7" xfId="0" applyFont="1" applyBorder="1" applyAlignment="1" applyProtection="1">
      <alignment horizontal="center" vertical="center"/>
    </xf>
    <xf numFmtId="0" fontId="93" fillId="0" borderId="2" xfId="0" applyFont="1" applyBorder="1" applyAlignment="1" applyProtection="1">
      <alignment horizontal="center" vertical="center"/>
      <protection locked="0"/>
    </xf>
    <xf numFmtId="0" fontId="93" fillId="0" borderId="135" xfId="0" applyFont="1" applyBorder="1" applyAlignment="1" applyProtection="1">
      <alignment horizontal="center" vertical="center"/>
      <protection locked="0"/>
    </xf>
    <xf numFmtId="0" fontId="93" fillId="0" borderId="141" xfId="0" applyFont="1" applyBorder="1" applyAlignment="1" applyProtection="1">
      <alignment horizontal="center" vertical="center"/>
      <protection locked="0"/>
    </xf>
    <xf numFmtId="0" fontId="93" fillId="0" borderId="142" xfId="0" applyFont="1" applyBorder="1" applyAlignment="1" applyProtection="1">
      <alignment horizontal="center" vertical="center"/>
      <protection locked="0"/>
    </xf>
    <xf numFmtId="0" fontId="62" fillId="3" borderId="143" xfId="198" applyFont="1" applyFill="1" applyBorder="1" applyAlignment="1">
      <alignment horizontal="center" vertical="center" wrapText="1"/>
    </xf>
    <xf numFmtId="0" fontId="93" fillId="0" borderId="144" xfId="0" applyFont="1" applyBorder="1" applyAlignment="1">
      <alignment horizontal="center" wrapText="1"/>
    </xf>
    <xf numFmtId="0" fontId="93" fillId="0" borderId="140" xfId="0" applyFont="1" applyBorder="1" applyAlignment="1">
      <alignment horizontal="center"/>
    </xf>
    <xf numFmtId="0" fontId="93" fillId="0" borderId="135" xfId="0" applyFont="1" applyBorder="1" applyAlignment="1" applyProtection="1">
      <alignment horizontal="center"/>
      <protection locked="0"/>
    </xf>
    <xf numFmtId="0" fontId="91" fillId="14" borderId="0" xfId="0" applyFont="1" applyFill="1" applyBorder="1" applyAlignment="1">
      <alignment horizontal="center" vertical="center"/>
    </xf>
    <xf numFmtId="173" fontId="62" fillId="0" borderId="0" xfId="0" applyNumberFormat="1" applyFont="1" applyBorder="1" applyAlignment="1">
      <alignment horizontal="center" vertical="center"/>
    </xf>
    <xf numFmtId="0" fontId="93" fillId="0" borderId="0" xfId="0" applyFont="1"/>
    <xf numFmtId="173" fontId="66" fillId="0" borderId="0" xfId="0" applyNumberFormat="1" applyFont="1" applyFill="1" applyAlignment="1" applyProtection="1">
      <alignment horizontal="center" vertical="center"/>
    </xf>
    <xf numFmtId="170" fontId="62" fillId="0" borderId="0" xfId="0" applyNumberFormat="1" applyFont="1" applyFill="1" applyAlignment="1" applyProtection="1">
      <alignment horizontal="center" vertical="center"/>
    </xf>
    <xf numFmtId="173" fontId="62" fillId="0" borderId="0" xfId="0" applyNumberFormat="1" applyFont="1" applyFill="1" applyAlignment="1" applyProtection="1">
      <alignment horizontal="center" vertical="center"/>
    </xf>
    <xf numFmtId="170" fontId="66" fillId="0" borderId="0" xfId="0" applyNumberFormat="1" applyFont="1" applyFill="1" applyAlignment="1" applyProtection="1">
      <alignment horizontal="center" vertical="center"/>
    </xf>
    <xf numFmtId="170" fontId="91" fillId="0" borderId="0" xfId="0" applyNumberFormat="1" applyFont="1" applyFill="1" applyAlignment="1" applyProtection="1">
      <alignment vertical="center"/>
    </xf>
    <xf numFmtId="0" fontId="66" fillId="3" borderId="0" xfId="197" applyFont="1" applyFill="1" applyBorder="1" applyAlignment="1" applyProtection="1">
      <alignment horizontal="center" vertical="center" wrapText="1"/>
    </xf>
    <xf numFmtId="0" fontId="98" fillId="0" borderId="0" xfId="0" applyFont="1" applyFill="1" applyBorder="1" applyAlignment="1" applyProtection="1">
      <alignment vertical="center"/>
    </xf>
    <xf numFmtId="0" fontId="62" fillId="0" borderId="0" xfId="0" applyFont="1" applyFill="1" applyBorder="1" applyAlignment="1" applyProtection="1">
      <alignment horizontal="left" vertical="center"/>
    </xf>
    <xf numFmtId="0" fontId="98" fillId="0" borderId="0" xfId="0" applyFont="1" applyFill="1" applyBorder="1" applyAlignment="1" applyProtection="1">
      <alignment horizontal="center" vertical="center"/>
    </xf>
    <xf numFmtId="0" fontId="62" fillId="14" borderId="0" xfId="0" applyFont="1" applyFill="1" applyBorder="1" applyAlignment="1" applyProtection="1">
      <alignment vertical="center"/>
    </xf>
    <xf numFmtId="0" fontId="91" fillId="0" borderId="0" xfId="0" applyFont="1" applyFill="1" applyBorder="1" applyAlignment="1" applyProtection="1">
      <alignment vertical="center"/>
    </xf>
    <xf numFmtId="170" fontId="91" fillId="14" borderId="0" xfId="0" applyNumberFormat="1" applyFont="1" applyFill="1" applyBorder="1" applyAlignment="1" applyProtection="1">
      <alignment horizontal="center" vertical="center"/>
    </xf>
    <xf numFmtId="170" fontId="91" fillId="0" borderId="0" xfId="0" applyNumberFormat="1" applyFont="1" applyFill="1" applyBorder="1" applyAlignment="1" applyProtection="1">
      <alignment horizontal="center" vertical="center"/>
    </xf>
    <xf numFmtId="170" fontId="91" fillId="14" borderId="0" xfId="0" applyNumberFormat="1" applyFont="1" applyFill="1" applyBorder="1" applyAlignment="1" applyProtection="1">
      <alignment horizontal="center" vertical="center"/>
      <protection locked="0"/>
    </xf>
    <xf numFmtId="170" fontId="91" fillId="0" borderId="0" xfId="0" applyNumberFormat="1" applyFont="1" applyFill="1" applyBorder="1" applyAlignment="1" applyProtection="1">
      <alignment horizontal="center" vertical="center"/>
      <protection locked="0"/>
    </xf>
    <xf numFmtId="2" fontId="91" fillId="14" borderId="0" xfId="0" applyNumberFormat="1" applyFont="1" applyFill="1" applyBorder="1" applyAlignment="1" applyProtection="1">
      <alignment horizontal="center" vertical="center"/>
    </xf>
    <xf numFmtId="2" fontId="91" fillId="0" borderId="0" xfId="0" applyNumberFormat="1" applyFont="1" applyFill="1" applyBorder="1" applyAlignment="1" applyProtection="1">
      <alignment horizontal="center" vertical="center"/>
    </xf>
    <xf numFmtId="0" fontId="91" fillId="0" borderId="0" xfId="0" applyFont="1" applyFill="1" applyBorder="1" applyAlignment="1" applyProtection="1">
      <alignment horizontal="center" vertical="center"/>
    </xf>
    <xf numFmtId="10" fontId="66" fillId="4" borderId="0" xfId="0" applyNumberFormat="1" applyFont="1" applyFill="1" applyBorder="1" applyAlignment="1" applyProtection="1">
      <alignment horizontal="center" vertical="center"/>
    </xf>
    <xf numFmtId="0" fontId="62" fillId="18" borderId="0" xfId="0" applyFont="1" applyFill="1" applyBorder="1" applyAlignment="1" applyProtection="1">
      <alignment horizontal="center" vertical="center"/>
    </xf>
    <xf numFmtId="0" fontId="94" fillId="0" borderId="0" xfId="0" applyFont="1" applyAlignment="1">
      <alignment horizontal="center" vertical="center" wrapText="1"/>
    </xf>
    <xf numFmtId="0" fontId="95" fillId="0" borderId="0" xfId="0" applyFont="1" applyAlignment="1">
      <alignment horizontal="center" vertical="center"/>
    </xf>
    <xf numFmtId="170" fontId="62" fillId="0" borderId="134" xfId="0" applyNumberFormat="1" applyFont="1" applyFill="1" applyBorder="1" applyAlignment="1" applyProtection="1">
      <alignment horizontal="center" vertical="center"/>
    </xf>
    <xf numFmtId="0" fontId="93" fillId="0" borderId="3" xfId="0" applyFont="1" applyBorder="1" applyAlignment="1" applyProtection="1">
      <alignment horizontal="center"/>
    </xf>
    <xf numFmtId="0" fontId="93" fillId="0" borderId="6" xfId="0" applyFont="1" applyBorder="1" applyAlignment="1" applyProtection="1">
      <alignment horizontal="center" vertical="center"/>
    </xf>
    <xf numFmtId="0" fontId="93" fillId="0" borderId="2" xfId="0" applyFont="1" applyBorder="1" applyAlignment="1" applyProtection="1">
      <alignment horizontal="center" vertical="center"/>
    </xf>
    <xf numFmtId="0" fontId="93" fillId="0" borderId="135" xfId="0" applyFont="1" applyBorder="1" applyAlignment="1" applyProtection="1">
      <alignment horizontal="center" vertical="center"/>
    </xf>
    <xf numFmtId="0" fontId="64" fillId="0" borderId="0" xfId="149" applyFont="1" applyAlignment="1">
      <alignment horizontal="left" vertical="center" wrapText="1"/>
    </xf>
    <xf numFmtId="170" fontId="62" fillId="0" borderId="136" xfId="0" applyNumberFormat="1" applyFont="1" applyFill="1" applyBorder="1" applyAlignment="1" applyProtection="1">
      <alignment horizontal="center" vertical="center"/>
    </xf>
    <xf numFmtId="0" fontId="93" fillId="0" borderId="1" xfId="0" applyFont="1" applyBorder="1" applyAlignment="1" applyProtection="1">
      <alignment horizontal="center"/>
    </xf>
    <xf numFmtId="0" fontId="99" fillId="0" borderId="136" xfId="0" applyFont="1" applyBorder="1" applyProtection="1"/>
    <xf numFmtId="187" fontId="62" fillId="0" borderId="0" xfId="0" applyNumberFormat="1" applyFont="1" applyAlignment="1">
      <alignment horizontal="left" vertical="center"/>
    </xf>
    <xf numFmtId="190" fontId="62" fillId="0" borderId="0" xfId="0" applyNumberFormat="1" applyFont="1" applyAlignment="1">
      <alignment horizontal="left" vertical="center"/>
    </xf>
    <xf numFmtId="0" fontId="98" fillId="0" borderId="137" xfId="0" applyFont="1" applyFill="1" applyBorder="1" applyAlignment="1" applyProtection="1">
      <alignment horizontal="center" vertical="center"/>
    </xf>
    <xf numFmtId="0" fontId="93" fillId="0" borderId="138" xfId="0" applyFont="1" applyBorder="1" applyAlignment="1" applyProtection="1">
      <alignment horizontal="center"/>
    </xf>
    <xf numFmtId="0" fontId="62" fillId="0" borderId="0" xfId="0" applyFont="1" applyAlignment="1">
      <alignment horizontal="left" vertical="center" wrapText="1"/>
    </xf>
    <xf numFmtId="0" fontId="93" fillId="0" borderId="0" xfId="0" applyFont="1" applyBorder="1"/>
    <xf numFmtId="0" fontId="66" fillId="15" borderId="0" xfId="198" applyFont="1" applyFill="1" applyBorder="1" applyAlignment="1">
      <alignment vertical="center" wrapText="1"/>
    </xf>
    <xf numFmtId="0" fontId="66" fillId="15" borderId="0" xfId="198" applyFont="1" applyFill="1" applyBorder="1" applyAlignment="1">
      <alignment horizontal="center" vertical="center" wrapText="1"/>
    </xf>
    <xf numFmtId="170" fontId="62" fillId="4" borderId="0" xfId="0" applyNumberFormat="1" applyFont="1" applyFill="1" applyBorder="1" applyAlignment="1">
      <alignment horizontal="center" vertical="center"/>
    </xf>
    <xf numFmtId="0" fontId="62" fillId="4" borderId="0" xfId="0" applyFont="1" applyFill="1" applyBorder="1" applyAlignment="1">
      <alignment horizontal="center" vertical="center"/>
    </xf>
    <xf numFmtId="0" fontId="66" fillId="4" borderId="0" xfId="198" applyFont="1" applyFill="1" applyBorder="1" applyAlignment="1">
      <alignment horizontal="center" vertical="center" wrapText="1"/>
    </xf>
    <xf numFmtId="0" fontId="93" fillId="0" borderId="0" xfId="0" applyFont="1" applyBorder="1" applyAlignment="1" applyProtection="1">
      <alignment horizontal="center"/>
      <protection locked="0"/>
    </xf>
    <xf numFmtId="0" fontId="93" fillId="0" borderId="128" xfId="0" applyFont="1" applyBorder="1" applyAlignment="1" applyProtection="1">
      <alignment horizontal="center"/>
      <protection locked="0"/>
    </xf>
    <xf numFmtId="0" fontId="62" fillId="4" borderId="0" xfId="198" applyFont="1" applyFill="1" applyBorder="1" applyAlignment="1">
      <alignment horizontal="center" vertical="center" wrapText="1"/>
    </xf>
    <xf numFmtId="0" fontId="62" fillId="0" borderId="24" xfId="0" applyFont="1" applyBorder="1" applyAlignment="1">
      <alignment vertical="center"/>
    </xf>
    <xf numFmtId="0" fontId="62" fillId="0" borderId="25" xfId="0" applyFont="1" applyBorder="1" applyAlignment="1">
      <alignment vertical="center"/>
    </xf>
    <xf numFmtId="0" fontId="93" fillId="0" borderId="16" xfId="0" applyFont="1" applyBorder="1" applyAlignment="1" applyProtection="1">
      <alignment horizontal="center"/>
      <protection locked="0"/>
    </xf>
    <xf numFmtId="0" fontId="93" fillId="0" borderId="129" xfId="0" applyFont="1" applyBorder="1" applyAlignment="1" applyProtection="1">
      <alignment horizontal="center"/>
      <protection locked="0"/>
    </xf>
    <xf numFmtId="0" fontId="66" fillId="4" borderId="0" xfId="197" applyFont="1" applyFill="1" applyBorder="1" applyAlignment="1" applyProtection="1">
      <alignment horizontal="center" vertical="center" wrapText="1"/>
    </xf>
    <xf numFmtId="0" fontId="93" fillId="0" borderId="130" xfId="0" applyFont="1" applyBorder="1" applyAlignment="1" applyProtection="1">
      <alignment horizontal="center" vertical="center"/>
      <protection locked="0"/>
    </xf>
    <xf numFmtId="170" fontId="62" fillId="4" borderId="106" xfId="0" applyNumberFormat="1" applyFont="1" applyFill="1" applyBorder="1" applyAlignment="1">
      <alignment horizontal="center" vertical="center" wrapText="1"/>
    </xf>
    <xf numFmtId="1" fontId="62" fillId="4" borderId="0" xfId="0" applyNumberFormat="1" applyFont="1" applyFill="1" applyBorder="1" applyAlignment="1">
      <alignment horizontal="center" vertical="center"/>
    </xf>
    <xf numFmtId="0" fontId="64" fillId="0" borderId="24" xfId="0" applyFont="1" applyFill="1" applyBorder="1" applyAlignment="1" applyProtection="1">
      <alignment horizontal="left" vertical="center" wrapText="1"/>
    </xf>
    <xf numFmtId="2" fontId="91" fillId="0" borderId="128" xfId="0" applyNumberFormat="1" applyFont="1" applyFill="1" applyBorder="1" applyAlignment="1" applyProtection="1">
      <alignment horizontal="center" vertical="center"/>
    </xf>
    <xf numFmtId="12" fontId="62" fillId="0" borderId="25" xfId="0" applyNumberFormat="1" applyFont="1" applyFill="1" applyBorder="1" applyAlignment="1" applyProtection="1">
      <alignment horizontal="left" vertical="center"/>
    </xf>
    <xf numFmtId="4" fontId="91" fillId="0" borderId="129" xfId="0" applyNumberFormat="1" applyFont="1" applyFill="1" applyBorder="1" applyAlignment="1" applyProtection="1">
      <alignment horizontal="center" vertical="center"/>
    </xf>
    <xf numFmtId="12" fontId="62" fillId="0" borderId="0" xfId="0" applyNumberFormat="1" applyFont="1" applyFill="1" applyBorder="1" applyAlignment="1" applyProtection="1">
      <alignment horizontal="left" vertical="center"/>
    </xf>
    <xf numFmtId="12" fontId="62" fillId="0" borderId="0" xfId="0" applyNumberFormat="1" applyFont="1" applyFill="1" applyBorder="1" applyAlignment="1" applyProtection="1">
      <alignment horizontal="center" vertical="center"/>
    </xf>
    <xf numFmtId="188" fontId="91" fillId="0" borderId="0" xfId="0" applyNumberFormat="1" applyFont="1" applyFill="1" applyBorder="1" applyAlignment="1" applyProtection="1">
      <alignment horizontal="center" vertical="center"/>
    </xf>
    <xf numFmtId="0" fontId="91" fillId="0" borderId="23" xfId="75" applyNumberFormat="1" applyFont="1" applyBorder="1" applyAlignment="1" applyProtection="1">
      <alignment horizontal="center" vertical="center"/>
    </xf>
    <xf numFmtId="0" fontId="91" fillId="0" borderId="17" xfId="75" applyNumberFormat="1" applyFont="1" applyBorder="1" applyAlignment="1" applyProtection="1">
      <alignment horizontal="center" vertical="center" wrapText="1"/>
    </xf>
    <xf numFmtId="170" fontId="91" fillId="0" borderId="127" xfId="75" applyNumberFormat="1" applyFont="1" applyBorder="1" applyAlignment="1" applyProtection="1">
      <alignment horizontal="center" vertical="center" wrapText="1"/>
    </xf>
    <xf numFmtId="0" fontId="91" fillId="0" borderId="24" xfId="75" applyNumberFormat="1" applyFont="1" applyBorder="1" applyAlignment="1" applyProtection="1">
      <alignment horizontal="center"/>
    </xf>
    <xf numFmtId="0" fontId="91" fillId="7" borderId="0" xfId="75" applyNumberFormat="1" applyFont="1" applyFill="1" applyBorder="1" applyAlignment="1" applyProtection="1">
      <alignment horizontal="center"/>
    </xf>
    <xf numFmtId="0" fontId="91" fillId="0" borderId="0" xfId="75" applyNumberFormat="1" applyFont="1" applyBorder="1" applyAlignment="1" applyProtection="1">
      <alignment horizontal="center" vertical="center"/>
    </xf>
    <xf numFmtId="170" fontId="91" fillId="0" borderId="0" xfId="75" applyNumberFormat="1" applyFont="1" applyBorder="1" applyAlignment="1" applyProtection="1">
      <alignment horizontal="center" vertical="center"/>
    </xf>
    <xf numFmtId="0" fontId="93" fillId="0" borderId="0" xfId="75" applyNumberFormat="1" applyFont="1" applyBorder="1" applyAlignment="1" applyProtection="1">
      <alignment horizontal="left"/>
    </xf>
    <xf numFmtId="170" fontId="91" fillId="0" borderId="128" xfId="75" applyNumberFormat="1" applyFont="1" applyBorder="1" applyAlignment="1" applyProtection="1">
      <alignment horizontal="center" vertical="center"/>
    </xf>
    <xf numFmtId="0" fontId="91" fillId="0" borderId="24" xfId="75" applyNumberFormat="1" applyFont="1" applyBorder="1" applyAlignment="1" applyProtection="1">
      <alignment horizontal="center" vertical="center"/>
    </xf>
    <xf numFmtId="0" fontId="84" fillId="7" borderId="0" xfId="75" applyNumberFormat="1" applyFont="1" applyFill="1" applyBorder="1" applyAlignment="1" applyProtection="1">
      <alignment horizontal="center" vertical="center" wrapText="1"/>
    </xf>
    <xf numFmtId="1" fontId="91" fillId="0" borderId="0" xfId="75" applyNumberFormat="1" applyFont="1" applyBorder="1" applyAlignment="1" applyProtection="1">
      <alignment horizontal="center" vertical="center"/>
    </xf>
    <xf numFmtId="0" fontId="93" fillId="0" borderId="0" xfId="0" applyFont="1" applyBorder="1" applyAlignment="1" applyProtection="1">
      <alignment horizontal="left"/>
      <protection locked="0"/>
    </xf>
    <xf numFmtId="173" fontId="91" fillId="0" borderId="128" xfId="75" applyNumberFormat="1" applyFont="1" applyBorder="1" applyAlignment="1" applyProtection="1">
      <alignment horizontal="center"/>
    </xf>
    <xf numFmtId="1" fontId="66" fillId="4" borderId="0" xfId="198" applyNumberFormat="1" applyFont="1" applyFill="1" applyAlignment="1">
      <alignment horizontal="center" vertical="center" wrapText="1"/>
    </xf>
    <xf numFmtId="0" fontId="91" fillId="8" borderId="0" xfId="75" applyNumberFormat="1" applyFont="1" applyFill="1" applyBorder="1" applyAlignment="1" applyProtection="1">
      <alignment horizontal="center" vertical="center"/>
    </xf>
    <xf numFmtId="2" fontId="91" fillId="0" borderId="128" xfId="75" applyNumberFormat="1" applyFont="1" applyBorder="1" applyAlignment="1" applyProtection="1">
      <alignment horizontal="center"/>
    </xf>
    <xf numFmtId="0" fontId="91" fillId="9" borderId="0" xfId="75" applyNumberFormat="1" applyFont="1" applyFill="1" applyBorder="1" applyAlignment="1" applyProtection="1">
      <alignment horizontal="center" vertical="center"/>
    </xf>
    <xf numFmtId="0" fontId="91" fillId="10" borderId="0" xfId="75" applyNumberFormat="1" applyFont="1" applyFill="1" applyBorder="1" applyAlignment="1" applyProtection="1">
      <alignment horizontal="center" vertical="center"/>
    </xf>
    <xf numFmtId="0" fontId="91" fillId="11" borderId="0" xfId="75" applyNumberFormat="1" applyFont="1" applyFill="1" applyBorder="1" applyAlignment="1" applyProtection="1">
      <alignment horizontal="center" vertical="center"/>
    </xf>
    <xf numFmtId="0" fontId="91" fillId="12" borderId="0" xfId="75" applyNumberFormat="1" applyFont="1" applyFill="1" applyBorder="1" applyAlignment="1" applyProtection="1">
      <alignment horizontal="center" vertical="center"/>
    </xf>
    <xf numFmtId="173" fontId="66" fillId="4" borderId="0" xfId="197" applyNumberFormat="1" applyFont="1" applyFill="1" applyBorder="1" applyAlignment="1" applyProtection="1">
      <alignment horizontal="center" vertical="center" wrapText="1"/>
    </xf>
    <xf numFmtId="0" fontId="91" fillId="13" borderId="0" xfId="75" applyNumberFormat="1" applyFont="1" applyFill="1" applyBorder="1" applyAlignment="1" applyProtection="1">
      <alignment horizontal="center" vertical="center"/>
    </xf>
    <xf numFmtId="0" fontId="91" fillId="0" borderId="0" xfId="75" applyNumberFormat="1" applyFont="1" applyBorder="1" applyAlignment="1" applyProtection="1">
      <alignment horizontal="center"/>
    </xf>
    <xf numFmtId="0" fontId="91" fillId="0" borderId="129" xfId="75" applyNumberFormat="1" applyFont="1" applyBorder="1" applyAlignment="1" applyProtection="1">
      <alignment horizontal="left"/>
    </xf>
    <xf numFmtId="0" fontId="64" fillId="0" borderId="0" xfId="149" applyFont="1" applyAlignment="1">
      <alignment horizontal="center" wrapText="1"/>
    </xf>
    <xf numFmtId="0" fontId="64" fillId="0" borderId="0" xfId="151" applyFont="1" applyAlignment="1">
      <alignment horizontal="center" vertical="top" wrapText="1"/>
    </xf>
    <xf numFmtId="0" fontId="97" fillId="0" borderId="0" xfId="0" applyFont="1" applyAlignment="1">
      <alignment horizontal="center" vertical="center"/>
    </xf>
    <xf numFmtId="187" fontId="62" fillId="0" borderId="0" xfId="0" applyNumberFormat="1" applyFont="1" applyAlignment="1">
      <alignment horizontal="left"/>
    </xf>
    <xf numFmtId="0" fontId="55" fillId="3" borderId="0" xfId="0" applyFont="1" applyFill="1" applyAlignment="1">
      <alignment horizontal="center" vertical="center"/>
    </xf>
    <xf numFmtId="0" fontId="102" fillId="0" borderId="0" xfId="0" applyFont="1" applyAlignment="1">
      <alignment horizontal="center" vertical="center" wrapText="1"/>
    </xf>
    <xf numFmtId="0" fontId="93" fillId="0" borderId="0" xfId="0" applyFont="1" applyAlignment="1">
      <alignment horizontal="center"/>
    </xf>
    <xf numFmtId="0" fontId="93" fillId="16" borderId="0" xfId="0" applyFont="1" applyFill="1" applyAlignment="1">
      <alignment horizontal="center"/>
    </xf>
    <xf numFmtId="171" fontId="55" fillId="0" borderId="0" xfId="0" applyNumberFormat="1" applyFont="1" applyBorder="1" applyAlignment="1">
      <alignment vertical="center"/>
    </xf>
    <xf numFmtId="0" fontId="54" fillId="0" borderId="0" xfId="0" applyFont="1" applyBorder="1" applyAlignment="1">
      <alignment horizontal="center" vertical="center" wrapText="1"/>
    </xf>
    <xf numFmtId="171" fontId="93" fillId="0" borderId="0" xfId="0" applyNumberFormat="1" applyFont="1" applyBorder="1" applyAlignment="1">
      <alignment horizontal="center"/>
    </xf>
    <xf numFmtId="0" fontId="91" fillId="0" borderId="0" xfId="82" applyFont="1" applyBorder="1"/>
    <xf numFmtId="0" fontId="93" fillId="0" borderId="0" xfId="0" applyFont="1" applyBorder="1" applyAlignment="1">
      <alignment horizontal="center"/>
    </xf>
    <xf numFmtId="0" fontId="99" fillId="0" borderId="0" xfId="0" applyFont="1" applyAlignment="1">
      <alignment horizontal="center" vertical="center" wrapText="1"/>
    </xf>
    <xf numFmtId="0" fontId="55" fillId="0" borderId="0" xfId="0" applyFont="1" applyBorder="1" applyAlignment="1">
      <alignment vertical="center"/>
    </xf>
    <xf numFmtId="16" fontId="54" fillId="0" borderId="0" xfId="0" applyNumberFormat="1" applyFont="1" applyBorder="1" applyAlignment="1">
      <alignment horizontal="center" vertical="center"/>
    </xf>
    <xf numFmtId="0" fontId="54" fillId="0" borderId="0" xfId="0" applyFont="1" applyBorder="1" applyAlignment="1">
      <alignment horizontal="center" vertical="center"/>
    </xf>
    <xf numFmtId="0" fontId="55" fillId="0" borderId="0" xfId="0" applyFont="1" applyBorder="1" applyAlignment="1">
      <alignment vertical="top"/>
    </xf>
    <xf numFmtId="0" fontId="54" fillId="0" borderId="0" xfId="104" applyFont="1" applyBorder="1" applyAlignment="1">
      <alignment horizontal="center" vertical="center"/>
    </xf>
    <xf numFmtId="170" fontId="54" fillId="4" borderId="0" xfId="0" applyNumberFormat="1" applyFont="1" applyFill="1" applyAlignment="1">
      <alignment horizontal="center" vertical="center"/>
    </xf>
    <xf numFmtId="170" fontId="93" fillId="0" borderId="0" xfId="0" applyNumberFormat="1" applyFont="1" applyBorder="1"/>
    <xf numFmtId="1" fontId="54" fillId="0" borderId="0" xfId="0" applyNumberFormat="1" applyFont="1" applyBorder="1" applyAlignment="1">
      <alignment horizontal="center" vertical="center"/>
    </xf>
    <xf numFmtId="170" fontId="54" fillId="0" borderId="0" xfId="0" applyNumberFormat="1" applyFont="1" applyAlignment="1">
      <alignment horizontal="center" vertical="center"/>
    </xf>
    <xf numFmtId="171" fontId="54" fillId="17" borderId="0" xfId="0" applyNumberFormat="1" applyFont="1" applyFill="1" applyAlignment="1">
      <alignment horizontal="center" vertical="center"/>
    </xf>
    <xf numFmtId="171" fontId="54" fillId="17" borderId="0" xfId="0" applyNumberFormat="1" applyFont="1" applyFill="1" applyBorder="1" applyAlignment="1">
      <alignment horizontal="center" vertical="center"/>
    </xf>
    <xf numFmtId="0" fontId="91" fillId="0" borderId="0" xfId="0" applyFont="1" applyBorder="1" applyAlignment="1">
      <alignment vertical="center"/>
    </xf>
    <xf numFmtId="0" fontId="62" fillId="0" borderId="0" xfId="0" applyFont="1" applyBorder="1" applyAlignment="1">
      <alignment horizontal="center" vertical="center"/>
    </xf>
    <xf numFmtId="170" fontId="62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horizontal="left"/>
    </xf>
    <xf numFmtId="0" fontId="62" fillId="0" borderId="0" xfId="0" applyFont="1" applyBorder="1" applyAlignment="1">
      <alignment vertical="center"/>
    </xf>
    <xf numFmtId="0" fontId="64" fillId="0" borderId="0" xfId="149" applyFont="1" applyBorder="1" applyAlignment="1">
      <alignment horizontal="center" wrapText="1"/>
    </xf>
    <xf numFmtId="0" fontId="103" fillId="0" borderId="0" xfId="150" applyFont="1" applyBorder="1" applyAlignment="1">
      <alignment wrapText="1"/>
    </xf>
    <xf numFmtId="0" fontId="103" fillId="0" borderId="0" xfId="150" applyFont="1" applyBorder="1" applyAlignment="1">
      <alignment horizontal="center" wrapText="1"/>
    </xf>
    <xf numFmtId="0" fontId="64" fillId="0" borderId="0" xfId="151" applyFont="1" applyBorder="1" applyAlignment="1">
      <alignment horizontal="center" vertical="top" wrapText="1"/>
    </xf>
    <xf numFmtId="0" fontId="94" fillId="0" borderId="0" xfId="0" applyFont="1" applyBorder="1" applyAlignment="1">
      <alignment horizontal="center" vertical="center" wrapText="1"/>
    </xf>
    <xf numFmtId="0" fontId="91" fillId="0" borderId="0" xfId="0" applyFont="1" applyBorder="1" applyAlignment="1" applyProtection="1">
      <alignment vertical="center"/>
      <protection locked="0"/>
    </xf>
    <xf numFmtId="0" fontId="95" fillId="0" borderId="0" xfId="0" applyFont="1" applyBorder="1" applyAlignment="1">
      <alignment horizontal="center" vertical="center"/>
    </xf>
    <xf numFmtId="0" fontId="64" fillId="0" borderId="0" xfId="149" applyFont="1" applyBorder="1" applyAlignment="1">
      <alignment horizontal="left" vertical="center" wrapText="1"/>
    </xf>
    <xf numFmtId="187" fontId="62" fillId="0" borderId="0" xfId="0" applyNumberFormat="1" applyFont="1" applyBorder="1" applyAlignment="1">
      <alignment horizontal="left"/>
    </xf>
    <xf numFmtId="190" fontId="62" fillId="0" borderId="0" xfId="0" applyNumberFormat="1" applyFont="1" applyBorder="1" applyAlignment="1">
      <alignment horizontal="left" vertical="center"/>
    </xf>
    <xf numFmtId="0" fontId="62" fillId="0" borderId="0" xfId="0" applyFont="1" applyBorder="1" applyAlignment="1">
      <alignment horizontal="left" vertical="center" wrapText="1"/>
    </xf>
    <xf numFmtId="0" fontId="66" fillId="3" borderId="0" xfId="0" applyFont="1" applyFill="1" applyBorder="1" applyAlignment="1">
      <alignment horizontal="center" vertical="center" wrapText="1"/>
    </xf>
    <xf numFmtId="0" fontId="105" fillId="3" borderId="1" xfId="195" applyFont="1" applyFill="1" applyBorder="1" applyAlignment="1" applyProtection="1">
      <alignment horizontal="center" vertical="center" wrapText="1"/>
    </xf>
    <xf numFmtId="0" fontId="92" fillId="4" borderId="1" xfId="195" applyFont="1" applyFill="1" applyBorder="1" applyAlignment="1" applyProtection="1">
      <alignment horizontal="center" vertical="center" wrapText="1"/>
    </xf>
    <xf numFmtId="0" fontId="92" fillId="4" borderId="4" xfId="195" applyFont="1" applyFill="1" applyBorder="1" applyAlignment="1" applyProtection="1">
      <alignment horizontal="center" vertical="center" wrapText="1"/>
    </xf>
    <xf numFmtId="0" fontId="34" fillId="2" borderId="8" xfId="0" applyFont="1" applyFill="1" applyBorder="1" applyAlignment="1" applyProtection="1">
      <alignment vertical="center"/>
      <protection locked="0"/>
    </xf>
    <xf numFmtId="0" fontId="25" fillId="0" borderId="11" xfId="0" applyFont="1" applyBorder="1" applyProtection="1">
      <protection locked="0"/>
    </xf>
    <xf numFmtId="0" fontId="93" fillId="0" borderId="11" xfId="0" applyFont="1" applyBorder="1" applyProtection="1">
      <protection locked="0"/>
    </xf>
    <xf numFmtId="0" fontId="93" fillId="0" borderId="12" xfId="0" applyFont="1" applyBorder="1" applyProtection="1">
      <protection locked="0"/>
    </xf>
    <xf numFmtId="0" fontId="93" fillId="0" borderId="0" xfId="0" applyFont="1" applyBorder="1" applyAlignment="1" applyProtection="1">
      <alignment horizontal="center" vertical="center" wrapText="1"/>
    </xf>
    <xf numFmtId="0" fontId="93" fillId="0" borderId="8" xfId="0" applyFont="1" applyBorder="1" applyProtection="1"/>
    <xf numFmtId="0" fontId="86" fillId="0" borderId="5" xfId="0" applyFont="1" applyBorder="1" applyProtection="1"/>
    <xf numFmtId="0" fontId="93" fillId="0" borderId="8" xfId="0" applyFont="1" applyBorder="1" applyAlignment="1" applyProtection="1">
      <alignment horizontal="center"/>
      <protection locked="0"/>
    </xf>
    <xf numFmtId="0" fontId="25" fillId="0" borderId="10" xfId="0" applyFont="1" applyBorder="1" applyAlignment="1">
      <alignment horizontal="center" vertical="center"/>
    </xf>
    <xf numFmtId="0" fontId="86" fillId="19" borderId="19" xfId="0" applyFont="1" applyFill="1" applyBorder="1" applyAlignment="1" applyProtection="1">
      <alignment horizontal="center" vertical="center"/>
    </xf>
    <xf numFmtId="0" fontId="86" fillId="19" borderId="0" xfId="0" applyFont="1" applyFill="1" applyAlignment="1" applyProtection="1">
      <alignment horizontal="center" vertical="center"/>
    </xf>
    <xf numFmtId="0" fontId="86" fillId="19" borderId="0" xfId="0" applyFont="1" applyFill="1" applyBorder="1" applyAlignment="1" applyProtection="1">
      <alignment horizontal="center" vertical="center"/>
    </xf>
    <xf numFmtId="0" fontId="86" fillId="19" borderId="11" xfId="0" applyFont="1" applyFill="1" applyBorder="1" applyProtection="1"/>
    <xf numFmtId="0" fontId="86" fillId="19" borderId="0" xfId="0" applyFont="1" applyFill="1" applyBorder="1" applyProtection="1"/>
    <xf numFmtId="0" fontId="25" fillId="19" borderId="0" xfId="0" applyFont="1" applyFill="1"/>
    <xf numFmtId="0" fontId="86" fillId="19" borderId="0" xfId="0" applyFont="1" applyFill="1" applyProtection="1"/>
    <xf numFmtId="0" fontId="86" fillId="19" borderId="19" xfId="0" applyFont="1" applyFill="1" applyBorder="1" applyProtection="1"/>
    <xf numFmtId="0" fontId="86" fillId="19" borderId="11" xfId="0" applyFont="1" applyFill="1" applyBorder="1" applyAlignment="1" applyProtection="1">
      <alignment horizontal="center" vertical="center"/>
    </xf>
    <xf numFmtId="0" fontId="87" fillId="19" borderId="11" xfId="0" applyFont="1" applyFill="1" applyBorder="1" applyAlignment="1" applyProtection="1">
      <alignment horizontal="center" vertical="center"/>
    </xf>
    <xf numFmtId="0" fontId="87" fillId="19" borderId="0" xfId="0" applyFont="1" applyFill="1" applyBorder="1" applyAlignment="1" applyProtection="1">
      <alignment horizontal="center" vertical="center"/>
    </xf>
    <xf numFmtId="1" fontId="87" fillId="19" borderId="11" xfId="0" applyNumberFormat="1" applyFont="1" applyFill="1" applyBorder="1" applyAlignment="1" applyProtection="1">
      <alignment horizontal="center" vertical="center"/>
    </xf>
    <xf numFmtId="1" fontId="87" fillId="19" borderId="0" xfId="0" applyNumberFormat="1" applyFont="1" applyFill="1" applyBorder="1" applyAlignment="1" applyProtection="1">
      <alignment horizontal="center" vertical="center"/>
    </xf>
    <xf numFmtId="0" fontId="70" fillId="22" borderId="11" xfId="195" applyFont="1" applyFill="1" applyBorder="1" applyAlignment="1" applyProtection="1">
      <alignment vertical="center" wrapText="1"/>
    </xf>
    <xf numFmtId="0" fontId="70" fillId="22" borderId="0" xfId="195" applyFont="1" applyFill="1" applyBorder="1" applyAlignment="1" applyProtection="1">
      <alignment vertical="center" wrapText="1"/>
    </xf>
    <xf numFmtId="0" fontId="70" fillId="22" borderId="11" xfId="195" applyFont="1" applyFill="1" applyBorder="1" applyAlignment="1" applyProtection="1">
      <alignment horizontal="center" vertical="center" wrapText="1"/>
    </xf>
    <xf numFmtId="0" fontId="70" fillId="22" borderId="0" xfId="195" applyFont="1" applyFill="1" applyBorder="1" applyAlignment="1" applyProtection="1">
      <alignment horizontal="center" vertical="center" wrapText="1"/>
    </xf>
    <xf numFmtId="170" fontId="87" fillId="19" borderId="11" xfId="0" applyNumberFormat="1" applyFont="1" applyFill="1" applyBorder="1" applyAlignment="1" applyProtection="1">
      <alignment horizontal="center" vertical="center"/>
    </xf>
    <xf numFmtId="170" fontId="87" fillId="19" borderId="0" xfId="0" applyNumberFormat="1" applyFont="1" applyFill="1" applyBorder="1" applyAlignment="1" applyProtection="1">
      <alignment horizontal="center" vertical="center"/>
    </xf>
    <xf numFmtId="170" fontId="87" fillId="19" borderId="11" xfId="195" applyNumberFormat="1" applyFont="1" applyFill="1" applyBorder="1" applyAlignment="1" applyProtection="1">
      <alignment horizontal="center" vertical="center" wrapText="1"/>
    </xf>
    <xf numFmtId="170" fontId="87" fillId="19" borderId="0" xfId="195" applyNumberFormat="1" applyFont="1" applyFill="1" applyBorder="1" applyAlignment="1" applyProtection="1">
      <alignment horizontal="center" vertical="center" wrapText="1"/>
    </xf>
    <xf numFmtId="0" fontId="87" fillId="19" borderId="11" xfId="195" applyFont="1" applyFill="1" applyBorder="1" applyAlignment="1" applyProtection="1">
      <alignment horizontal="center" vertical="center" wrapText="1"/>
    </xf>
    <xf numFmtId="0" fontId="87" fillId="19" borderId="0" xfId="195" applyFont="1" applyFill="1" applyBorder="1" applyAlignment="1" applyProtection="1">
      <alignment horizontal="center" vertical="center" wrapText="1"/>
    </xf>
    <xf numFmtId="0" fontId="70" fillId="22" borderId="12" xfId="195" applyFont="1" applyFill="1" applyBorder="1" applyAlignment="1" applyProtection="1">
      <alignment horizontal="center" vertical="center" wrapText="1"/>
    </xf>
    <xf numFmtId="0" fontId="70" fillId="22" borderId="5" xfId="195" applyFont="1" applyFill="1" applyBorder="1" applyAlignment="1" applyProtection="1">
      <alignment horizontal="center" vertical="center" wrapText="1"/>
    </xf>
    <xf numFmtId="0" fontId="25" fillId="19" borderId="14" xfId="0" applyFont="1" applyFill="1" applyBorder="1" applyAlignment="1">
      <alignment horizontal="center" vertical="center"/>
    </xf>
    <xf numFmtId="0" fontId="86" fillId="19" borderId="15" xfId="0" applyFont="1" applyFill="1" applyBorder="1" applyAlignment="1">
      <alignment horizontal="center" vertical="center"/>
    </xf>
    <xf numFmtId="0" fontId="87" fillId="19" borderId="15" xfId="0" applyFont="1" applyFill="1" applyBorder="1" applyAlignment="1">
      <alignment horizontal="center" vertical="center"/>
    </xf>
    <xf numFmtId="0" fontId="70" fillId="22" borderId="15" xfId="90" applyFont="1" applyFill="1" applyBorder="1" applyAlignment="1">
      <alignment vertical="center" wrapText="1"/>
    </xf>
    <xf numFmtId="170" fontId="87" fillId="19" borderId="15" xfId="0" applyNumberFormat="1" applyFont="1" applyFill="1" applyBorder="1" applyAlignment="1">
      <alignment horizontal="center" vertical="center"/>
    </xf>
    <xf numFmtId="1" fontId="87" fillId="19" borderId="15" xfId="0" applyNumberFormat="1" applyFont="1" applyFill="1" applyBorder="1" applyAlignment="1">
      <alignment horizontal="center" vertical="center"/>
    </xf>
    <xf numFmtId="170" fontId="87" fillId="19" borderId="15" xfId="90" applyNumberFormat="1" applyFont="1" applyFill="1" applyBorder="1" applyAlignment="1">
      <alignment horizontal="center" vertical="center" wrapText="1"/>
    </xf>
    <xf numFmtId="0" fontId="87" fillId="19" borderId="15" xfId="90" applyFont="1" applyFill="1" applyBorder="1" applyAlignment="1">
      <alignment horizontal="center" vertical="center" wrapText="1"/>
    </xf>
    <xf numFmtId="0" fontId="87" fillId="19" borderId="15" xfId="0" quotePrefix="1" applyFont="1" applyFill="1" applyBorder="1" applyAlignment="1">
      <alignment horizontal="center" vertical="center"/>
    </xf>
    <xf numFmtId="0" fontId="70" fillId="22" borderId="13" xfId="90" applyFont="1" applyFill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/>
    </xf>
    <xf numFmtId="0" fontId="86" fillId="19" borderId="15" xfId="0" applyFont="1" applyFill="1" applyBorder="1"/>
    <xf numFmtId="0" fontId="70" fillId="22" borderId="15" xfId="90" applyFont="1" applyFill="1" applyBorder="1" applyAlignment="1">
      <alignment horizontal="center" vertical="center" wrapText="1"/>
    </xf>
    <xf numFmtId="0" fontId="93" fillId="0" borderId="15" xfId="0" applyFont="1" applyBorder="1"/>
    <xf numFmtId="0" fontId="93" fillId="0" borderId="15" xfId="0" applyFont="1" applyBorder="1" applyAlignment="1">
      <alignment horizontal="center" vertical="center"/>
    </xf>
    <xf numFmtId="0" fontId="66" fillId="4" borderId="15" xfId="90" applyFont="1" applyFill="1" applyBorder="1" applyAlignment="1">
      <alignment horizontal="center" vertical="center" wrapText="1"/>
    </xf>
    <xf numFmtId="0" fontId="66" fillId="15" borderId="15" xfId="90" applyFont="1" applyFill="1" applyBorder="1" applyAlignment="1">
      <alignment horizontal="center" vertical="center" wrapText="1"/>
    </xf>
    <xf numFmtId="0" fontId="66" fillId="15" borderId="13" xfId="90" applyFont="1" applyFill="1" applyBorder="1" applyAlignment="1">
      <alignment horizontal="center" vertical="center" wrapText="1"/>
    </xf>
    <xf numFmtId="0" fontId="93" fillId="0" borderId="14" xfId="0" applyFont="1" applyBorder="1" applyAlignment="1">
      <alignment horizontal="center" vertical="center"/>
    </xf>
    <xf numFmtId="1" fontId="53" fillId="0" borderId="0" xfId="0" applyNumberFormat="1" applyFont="1" applyAlignment="1">
      <alignment horizontal="center" vertical="center"/>
    </xf>
    <xf numFmtId="1" fontId="54" fillId="0" borderId="16" xfId="0" applyNumberFormat="1" applyFont="1" applyBorder="1" applyAlignment="1">
      <alignment horizontal="center" vertical="center"/>
    </xf>
    <xf numFmtId="1" fontId="54" fillId="0" borderId="129" xfId="0" applyNumberFormat="1" applyFont="1" applyBorder="1" applyAlignment="1">
      <alignment horizontal="center" vertical="center"/>
    </xf>
    <xf numFmtId="0" fontId="35" fillId="0" borderId="0" xfId="0" applyFont="1" applyBorder="1" applyAlignment="1">
      <alignment vertical="top"/>
    </xf>
    <xf numFmtId="0" fontId="28" fillId="3" borderId="5" xfId="0" applyNumberFormat="1" applyFont="1" applyFill="1" applyBorder="1" applyAlignment="1" applyProtection="1">
      <alignment horizontal="center" vertical="center"/>
    </xf>
    <xf numFmtId="0" fontId="11" fillId="0" borderId="128" xfId="0" applyFont="1" applyFill="1" applyBorder="1" applyAlignment="1" applyProtection="1">
      <alignment horizontal="center" vertical="center" wrapText="1"/>
    </xf>
    <xf numFmtId="0" fontId="54" fillId="0" borderId="25" xfId="104" applyFont="1" applyBorder="1" applyAlignment="1" applyProtection="1">
      <alignment horizontal="center" vertical="center"/>
    </xf>
    <xf numFmtId="0" fontId="54" fillId="0" borderId="16" xfId="0" applyFont="1" applyBorder="1" applyAlignment="1" applyProtection="1">
      <alignment horizontal="center" vertical="center"/>
    </xf>
    <xf numFmtId="0" fontId="35" fillId="0" borderId="0" xfId="0" applyFont="1" applyBorder="1" applyAlignment="1">
      <alignment vertical="center"/>
    </xf>
    <xf numFmtId="16" fontId="54" fillId="0" borderId="24" xfId="0" applyNumberFormat="1" applyFont="1" applyBorder="1" applyAlignment="1" applyProtection="1">
      <alignment horizontal="center" vertical="center"/>
    </xf>
    <xf numFmtId="16" fontId="54" fillId="0" borderId="0" xfId="0" applyNumberFormat="1" applyFont="1" applyBorder="1" applyAlignment="1" applyProtection="1">
      <alignment horizontal="center" vertical="center"/>
    </xf>
    <xf numFmtId="1" fontId="54" fillId="0" borderId="128" xfId="0" applyNumberFormat="1" applyFont="1" applyBorder="1" applyAlignment="1">
      <alignment horizontal="center" vertical="center"/>
    </xf>
    <xf numFmtId="16" fontId="28" fillId="0" borderId="0" xfId="0" applyNumberFormat="1" applyFont="1" applyBorder="1" applyAlignment="1">
      <alignment horizontal="center" vertical="center"/>
    </xf>
    <xf numFmtId="0" fontId="28" fillId="0" borderId="0" xfId="0" applyFont="1" applyBorder="1" applyAlignment="1" applyProtection="1">
      <alignment horizontal="center"/>
      <protection locked="0"/>
    </xf>
    <xf numFmtId="0" fontId="28" fillId="0" borderId="0" xfId="104" applyFont="1" applyBorder="1" applyAlignment="1">
      <alignment horizontal="center" vertical="center"/>
    </xf>
    <xf numFmtId="16" fontId="54" fillId="0" borderId="17" xfId="0" applyNumberFormat="1" applyFont="1" applyBorder="1" applyAlignment="1" applyProtection="1">
      <alignment horizontal="center" vertical="center" wrapText="1"/>
    </xf>
    <xf numFmtId="0" fontId="54" fillId="0" borderId="17" xfId="0" applyFont="1" applyBorder="1" applyAlignment="1" applyProtection="1">
      <alignment horizontal="center" vertical="center" wrapText="1"/>
    </xf>
    <xf numFmtId="0" fontId="54" fillId="0" borderId="127" xfId="0" applyFont="1" applyBorder="1" applyAlignment="1" applyProtection="1">
      <alignment horizontal="center" vertical="center" wrapText="1"/>
    </xf>
    <xf numFmtId="0" fontId="54" fillId="0" borderId="5" xfId="104" applyFont="1" applyBorder="1" applyAlignment="1" applyProtection="1">
      <alignment horizontal="center" vertical="center" wrapText="1"/>
    </xf>
    <xf numFmtId="0" fontId="54" fillId="0" borderId="5" xfId="0" applyFont="1" applyBorder="1" applyAlignment="1" applyProtection="1">
      <alignment horizontal="center" vertical="center" wrapText="1"/>
    </xf>
    <xf numFmtId="0" fontId="54" fillId="0" borderId="151" xfId="0" applyFont="1" applyBorder="1" applyAlignment="1" applyProtection="1">
      <alignment horizontal="center" vertical="center" wrapText="1"/>
    </xf>
    <xf numFmtId="16" fontId="28" fillId="0" borderId="0" xfId="0" applyNumberFormat="1" applyFont="1" applyBorder="1" applyAlignment="1">
      <alignment horizontal="center" vertical="center" wrapText="1"/>
    </xf>
    <xf numFmtId="173" fontId="38" fillId="0" borderId="0" xfId="0" applyNumberFormat="1" applyFont="1" applyFill="1" applyBorder="1" applyAlignment="1" applyProtection="1">
      <alignment horizontal="center" vertical="center" wrapText="1"/>
    </xf>
    <xf numFmtId="0" fontId="28" fillId="0" borderId="5" xfId="104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93" fillId="0" borderId="17" xfId="0" applyFont="1" applyBorder="1" applyAlignment="1" applyProtection="1">
      <alignment horizontal="center" vertical="center" wrapText="1"/>
    </xf>
    <xf numFmtId="0" fontId="93" fillId="0" borderId="127" xfId="0" applyFont="1" applyBorder="1" applyAlignment="1" applyProtection="1">
      <alignment horizontal="center" vertical="center" wrapText="1"/>
    </xf>
    <xf numFmtId="1" fontId="54" fillId="0" borderId="10" xfId="0" applyNumberFormat="1" applyFont="1" applyFill="1" applyBorder="1" applyAlignment="1" applyProtection="1">
      <alignment horizontal="center" vertical="center" wrapText="1"/>
    </xf>
    <xf numFmtId="1" fontId="54" fillId="0" borderId="150" xfId="0" applyNumberFormat="1" applyFont="1" applyFill="1" applyBorder="1" applyAlignment="1" applyProtection="1">
      <alignment horizontal="center" vertical="center" wrapText="1"/>
    </xf>
    <xf numFmtId="1" fontId="54" fillId="0" borderId="0" xfId="0" applyNumberFormat="1" applyFont="1" applyFill="1" applyBorder="1" applyAlignment="1" applyProtection="1">
      <alignment horizontal="center" vertical="center" wrapText="1"/>
    </xf>
    <xf numFmtId="1" fontId="54" fillId="0" borderId="128" xfId="0" applyNumberFormat="1" applyFont="1" applyFill="1" applyBorder="1" applyAlignment="1" applyProtection="1">
      <alignment horizontal="center" vertical="center" wrapText="1"/>
    </xf>
    <xf numFmtId="1" fontId="54" fillId="0" borderId="0" xfId="0" applyNumberFormat="1" applyFont="1" applyBorder="1" applyAlignment="1">
      <alignment horizontal="center" vertical="center" wrapText="1"/>
    </xf>
    <xf numFmtId="1" fontId="54" fillId="0" borderId="10" xfId="0" applyNumberFormat="1" applyFont="1" applyBorder="1" applyAlignment="1" applyProtection="1">
      <alignment horizontal="center" vertical="center" wrapText="1"/>
    </xf>
    <xf numFmtId="1" fontId="54" fillId="0" borderId="150" xfId="0" applyNumberFormat="1" applyFont="1" applyBorder="1" applyAlignment="1" applyProtection="1">
      <alignment horizontal="center" vertical="center" wrapText="1"/>
    </xf>
    <xf numFmtId="1" fontId="54" fillId="0" borderId="0" xfId="0" applyNumberFormat="1" applyFont="1" applyBorder="1" applyAlignment="1" applyProtection="1">
      <alignment horizontal="center" vertical="center" wrapText="1"/>
    </xf>
    <xf numFmtId="1" fontId="54" fillId="0" borderId="128" xfId="0" applyNumberFormat="1" applyFont="1" applyBorder="1" applyAlignment="1" applyProtection="1">
      <alignment horizontal="center" vertical="center" wrapText="1"/>
    </xf>
    <xf numFmtId="1" fontId="54" fillId="0" borderId="5" xfId="0" applyNumberFormat="1" applyFont="1" applyBorder="1" applyAlignment="1">
      <alignment horizontal="center" vertical="center" wrapText="1"/>
    </xf>
    <xf numFmtId="1" fontId="89" fillId="0" borderId="0" xfId="0" applyNumberFormat="1" applyFont="1" applyFill="1" applyBorder="1" applyAlignment="1" applyProtection="1">
      <alignment horizontal="center" vertical="center" wrapText="1"/>
    </xf>
    <xf numFmtId="1" fontId="89" fillId="0" borderId="0" xfId="0" applyNumberFormat="1" applyFont="1" applyBorder="1" applyAlignment="1" applyProtection="1">
      <alignment horizontal="center" vertical="center" wrapText="1"/>
    </xf>
    <xf numFmtId="170" fontId="89" fillId="0" borderId="128" xfId="0" applyNumberFormat="1" applyFont="1" applyBorder="1" applyAlignment="1" applyProtection="1">
      <alignment horizontal="center" vertical="center" wrapText="1"/>
    </xf>
    <xf numFmtId="1" fontId="89" fillId="19" borderId="16" xfId="0" applyNumberFormat="1" applyFont="1" applyFill="1" applyBorder="1" applyAlignment="1">
      <alignment horizontal="center" vertical="center" wrapText="1"/>
    </xf>
    <xf numFmtId="0" fontId="25" fillId="0" borderId="51" xfId="0" applyFont="1" applyBorder="1" applyAlignment="1" applyProtection="1">
      <alignment horizontal="left" vertical="center"/>
      <protection locked="0"/>
    </xf>
    <xf numFmtId="0" fontId="25" fillId="0" borderId="12" xfId="0" applyFont="1" applyBorder="1" applyAlignment="1" applyProtection="1">
      <alignment horizontal="left" vertical="center"/>
      <protection locked="0"/>
    </xf>
    <xf numFmtId="0" fontId="25" fillId="0" borderId="11" xfId="0" applyFont="1" applyBorder="1" applyAlignment="1" applyProtection="1">
      <alignment horizontal="left" vertical="center"/>
      <protection locked="0"/>
    </xf>
    <xf numFmtId="0" fontId="93" fillId="0" borderId="51" xfId="0" applyFont="1" applyBorder="1" applyAlignment="1" applyProtection="1">
      <alignment horizontal="left" vertical="center"/>
    </xf>
    <xf numFmtId="0" fontId="55" fillId="0" borderId="9" xfId="0" applyFont="1" applyBorder="1" applyAlignment="1" applyProtection="1">
      <alignment horizontal="left" vertical="center"/>
    </xf>
    <xf numFmtId="0" fontId="93" fillId="0" borderId="11" xfId="0" applyFont="1" applyBorder="1" applyAlignment="1" applyProtection="1">
      <alignment horizontal="left" vertical="center"/>
    </xf>
    <xf numFmtId="0" fontId="86" fillId="0" borderId="11" xfId="0" applyFont="1" applyBorder="1" applyAlignment="1" applyProtection="1">
      <alignment horizontal="left" vertical="center"/>
    </xf>
    <xf numFmtId="0" fontId="90" fillId="0" borderId="11" xfId="0" applyFont="1" applyBorder="1" applyAlignment="1" applyProtection="1">
      <alignment horizontal="left" vertical="center"/>
    </xf>
    <xf numFmtId="0" fontId="86" fillId="19" borderId="16" xfId="0" applyFont="1" applyFill="1" applyBorder="1" applyAlignment="1" applyProtection="1">
      <alignment horizontal="left" vertical="center" wrapText="1"/>
      <protection locked="0"/>
    </xf>
    <xf numFmtId="0" fontId="86" fillId="19" borderId="128" xfId="0" applyFont="1" applyFill="1" applyBorder="1" applyAlignment="1" applyProtection="1">
      <alignment horizontal="center" vertical="center"/>
    </xf>
    <xf numFmtId="0" fontId="86" fillId="19" borderId="128" xfId="0" applyFont="1" applyFill="1" applyBorder="1" applyAlignment="1">
      <alignment horizontal="center"/>
    </xf>
    <xf numFmtId="173" fontId="86" fillId="19" borderId="129" xfId="0" applyNumberFormat="1" applyFont="1" applyFill="1" applyBorder="1" applyAlignment="1">
      <alignment horizontal="center"/>
    </xf>
    <xf numFmtId="0" fontId="25" fillId="0" borderId="0" xfId="0" quotePrefix="1" applyFont="1" applyBorder="1" applyAlignment="1" applyProtection="1">
      <alignment horizontal="center" vertical="center" wrapText="1"/>
      <protection locked="0"/>
    </xf>
    <xf numFmtId="0" fontId="25" fillId="0" borderId="5" xfId="0" quotePrefix="1" applyFont="1" applyBorder="1" applyAlignment="1" applyProtection="1">
      <alignment horizontal="center" vertical="center" wrapText="1"/>
      <protection locked="0"/>
    </xf>
    <xf numFmtId="0" fontId="88" fillId="19" borderId="16" xfId="0" quotePrefix="1" applyFont="1" applyFill="1" applyBorder="1" applyAlignment="1" applyProtection="1">
      <alignment horizontal="center" vertical="center" wrapText="1"/>
    </xf>
    <xf numFmtId="0" fontId="25" fillId="0" borderId="10" xfId="0" applyFont="1" applyBorder="1" applyProtection="1">
      <protection locked="0"/>
    </xf>
    <xf numFmtId="0" fontId="25" fillId="0" borderId="14" xfId="0" applyFont="1" applyBorder="1" applyProtection="1">
      <protection locked="0"/>
    </xf>
    <xf numFmtId="0" fontId="25" fillId="0" borderId="13" xfId="0" applyFont="1" applyBorder="1" applyProtection="1">
      <protection locked="0"/>
    </xf>
    <xf numFmtId="0" fontId="25" fillId="0" borderId="0" xfId="0" applyFont="1" applyProtection="1">
      <protection locked="0"/>
    </xf>
    <xf numFmtId="1" fontId="93" fillId="0" borderId="2" xfId="0" applyNumberFormat="1" applyFont="1" applyBorder="1" applyAlignment="1" applyProtection="1">
      <alignment horizontal="center" vertical="center"/>
      <protection locked="0"/>
    </xf>
    <xf numFmtId="0" fontId="25" fillId="0" borderId="2" xfId="0" applyFont="1" applyBorder="1" applyAlignment="1" applyProtection="1">
      <alignment horizontal="center" vertical="center"/>
      <protection locked="0"/>
    </xf>
    <xf numFmtId="16" fontId="93" fillId="0" borderId="2" xfId="0" applyNumberFormat="1" applyFont="1" applyBorder="1" applyAlignment="1" applyProtection="1">
      <alignment horizontal="center" vertical="center"/>
      <protection locked="0"/>
    </xf>
    <xf numFmtId="1" fontId="25" fillId="0" borderId="2" xfId="0" applyNumberFormat="1" applyFont="1" applyBorder="1" applyAlignment="1" applyProtection="1">
      <alignment horizontal="center" vertical="center"/>
      <protection locked="0"/>
    </xf>
    <xf numFmtId="0" fontId="25" fillId="0" borderId="2" xfId="0" applyFont="1" applyBorder="1" applyAlignment="1" applyProtection="1">
      <alignment horizontal="center" vertical="center" wrapText="1"/>
      <protection locked="0"/>
    </xf>
    <xf numFmtId="0" fontId="62" fillId="3" borderId="2" xfId="198" applyFont="1" applyFill="1" applyBorder="1" applyAlignment="1">
      <alignment horizontal="center" vertical="center" wrapText="1"/>
    </xf>
    <xf numFmtId="170" fontId="93" fillId="0" borderId="0" xfId="0" applyNumberFormat="1" applyFont="1" applyProtection="1"/>
    <xf numFmtId="10" fontId="93" fillId="0" borderId="0" xfId="0" applyNumberFormat="1" applyFont="1" applyProtection="1"/>
    <xf numFmtId="10" fontId="93" fillId="0" borderId="0" xfId="0" applyNumberFormat="1" applyFont="1" applyProtection="1">
      <protection locked="0"/>
    </xf>
    <xf numFmtId="173" fontId="25" fillId="0" borderId="0" xfId="0" applyNumberFormat="1" applyFont="1" applyProtection="1">
      <protection locked="0"/>
    </xf>
    <xf numFmtId="10" fontId="25" fillId="0" borderId="0" xfId="0" applyNumberFormat="1" applyFont="1" applyProtection="1">
      <protection locked="0"/>
    </xf>
    <xf numFmtId="0" fontId="32" fillId="0" borderId="0" xfId="0" applyFont="1" applyBorder="1" applyAlignment="1" applyProtection="1">
      <alignment horizontal="center"/>
    </xf>
    <xf numFmtId="173" fontId="86" fillId="0" borderId="16" xfId="0" applyNumberFormat="1" applyFont="1" applyBorder="1" applyAlignment="1" applyProtection="1">
      <alignment horizontal="center"/>
    </xf>
    <xf numFmtId="0" fontId="98" fillId="14" borderId="128" xfId="0" applyFont="1" applyFill="1" applyBorder="1" applyAlignment="1">
      <alignment horizontal="center" vertical="center"/>
    </xf>
    <xf numFmtId="0" fontId="98" fillId="14" borderId="129" xfId="0" applyFont="1" applyFill="1" applyBorder="1" applyAlignment="1">
      <alignment horizontal="center" vertical="center"/>
    </xf>
    <xf numFmtId="0" fontId="86" fillId="0" borderId="0" xfId="0" applyFont="1" applyProtection="1">
      <protection locked="0"/>
    </xf>
    <xf numFmtId="170" fontId="37" fillId="0" borderId="12" xfId="82" applyNumberFormat="1" applyFont="1" applyBorder="1" applyAlignment="1" applyProtection="1">
      <alignment horizontal="right" vertical="center"/>
      <protection locked="0"/>
    </xf>
    <xf numFmtId="0" fontId="37" fillId="0" borderId="5" xfId="82" applyFont="1" applyBorder="1" applyAlignment="1" applyProtection="1">
      <alignment horizontal="left" vertical="center"/>
      <protection locked="0"/>
    </xf>
    <xf numFmtId="0" fontId="37" fillId="0" borderId="5" xfId="82" applyFont="1" applyBorder="1" applyAlignment="1" applyProtection="1">
      <alignment horizontal="right" vertical="center"/>
      <protection locked="0"/>
    </xf>
    <xf numFmtId="173" fontId="37" fillId="0" borderId="5" xfId="82" applyNumberFormat="1" applyFont="1" applyBorder="1" applyAlignment="1" applyProtection="1">
      <alignment horizontal="left" vertical="center"/>
      <protection locked="0"/>
    </xf>
    <xf numFmtId="173" fontId="91" fillId="0" borderId="0" xfId="75" applyNumberFormat="1" applyFont="1" applyBorder="1" applyAlignment="1" applyProtection="1">
      <alignment horizontal="center" vertical="center"/>
    </xf>
    <xf numFmtId="173" fontId="91" fillId="0" borderId="0" xfId="75" applyNumberFormat="1" applyFont="1" applyBorder="1" applyAlignment="1" applyProtection="1">
      <alignment horizontal="center"/>
    </xf>
    <xf numFmtId="0" fontId="87" fillId="19" borderId="0" xfId="0" quotePrefix="1" applyFont="1" applyFill="1" applyBorder="1" applyAlignment="1" applyProtection="1">
      <alignment horizontal="center" vertical="center"/>
    </xf>
    <xf numFmtId="1" fontId="93" fillId="0" borderId="0" xfId="0" applyNumberFormat="1" applyFont="1" applyBorder="1" applyAlignment="1" applyProtection="1">
      <alignment horizontal="center" vertical="center" wrapText="1"/>
    </xf>
    <xf numFmtId="0" fontId="28" fillId="3" borderId="5" xfId="0" applyFont="1" applyFill="1" applyBorder="1" applyAlignment="1" applyProtection="1">
      <alignment horizontal="center" vertical="center" wrapText="1"/>
    </xf>
    <xf numFmtId="170" fontId="52" fillId="0" borderId="0" xfId="0" applyNumberFormat="1" applyFont="1" applyBorder="1" applyAlignment="1" applyProtection="1">
      <alignment horizontal="center" vertical="center" wrapText="1"/>
      <protection locked="0"/>
    </xf>
    <xf numFmtId="0" fontId="0" fillId="14" borderId="0" xfId="0" applyFont="1" applyFill="1" applyBorder="1" applyAlignment="1" applyProtection="1">
      <alignment horizontal="center" vertical="center"/>
    </xf>
    <xf numFmtId="0" fontId="25" fillId="0" borderId="0" xfId="0" applyFont="1" applyProtection="1">
      <protection locked="0"/>
    </xf>
    <xf numFmtId="0" fontId="25" fillId="0" borderId="15" xfId="0" applyFont="1" applyBorder="1" applyProtection="1">
      <protection locked="0"/>
    </xf>
    <xf numFmtId="0" fontId="91" fillId="14" borderId="0" xfId="0" applyFont="1" applyFill="1" applyBorder="1" applyAlignment="1">
      <alignment horizontal="center" vertical="center" wrapText="1"/>
    </xf>
    <xf numFmtId="170" fontId="62" fillId="0" borderId="0" xfId="0" applyNumberFormat="1" applyFont="1" applyBorder="1" applyAlignment="1" applyProtection="1">
      <alignment horizontal="center" vertical="center" wrapText="1"/>
      <protection locked="0"/>
    </xf>
    <xf numFmtId="0" fontId="62" fillId="14" borderId="15" xfId="0" applyFont="1" applyFill="1" applyBorder="1" applyAlignment="1">
      <alignment vertical="center"/>
    </xf>
    <xf numFmtId="170" fontId="62" fillId="20" borderId="0" xfId="0" applyNumberFormat="1" applyFont="1" applyFill="1" applyBorder="1" applyAlignment="1">
      <alignment horizontal="center" vertical="center" wrapText="1"/>
    </xf>
    <xf numFmtId="1" fontId="62" fillId="20" borderId="0" xfId="0" applyNumberFormat="1" applyFont="1" applyFill="1" applyBorder="1" applyAlignment="1">
      <alignment horizontal="center" vertical="center" wrapText="1"/>
    </xf>
    <xf numFmtId="0" fontId="93" fillId="0" borderId="0" xfId="0" applyFont="1" applyBorder="1" applyAlignment="1" applyProtection="1">
      <alignment horizontal="center" vertical="center"/>
      <protection locked="0"/>
    </xf>
    <xf numFmtId="0" fontId="93" fillId="0" borderId="16" xfId="0" applyFont="1" applyBorder="1" applyAlignment="1" applyProtection="1">
      <alignment horizontal="center" vertical="center"/>
      <protection locked="0"/>
    </xf>
    <xf numFmtId="0" fontId="27" fillId="23" borderId="2" xfId="132" applyFont="1" applyFill="1" applyBorder="1" applyAlignment="1">
      <alignment horizontal="center" vertical="center" wrapText="1"/>
    </xf>
    <xf numFmtId="0" fontId="77" fillId="0" borderId="0" xfId="132" applyFont="1" applyAlignment="1">
      <alignment horizontal="center" vertical="center"/>
    </xf>
    <xf numFmtId="0" fontId="78" fillId="0" borderId="0" xfId="132" applyFont="1"/>
    <xf numFmtId="0" fontId="9" fillId="0" borderId="0" xfId="132"/>
    <xf numFmtId="0" fontId="27" fillId="8" borderId="2" xfId="132" applyFont="1" applyFill="1" applyBorder="1" applyAlignment="1">
      <alignment horizontal="center" vertical="center" wrapText="1"/>
    </xf>
    <xf numFmtId="0" fontId="25" fillId="19" borderId="15" xfId="0" quotePrefix="1" applyFont="1" applyFill="1" applyBorder="1" applyAlignment="1">
      <alignment horizontal="center" vertical="center"/>
    </xf>
    <xf numFmtId="0" fontId="66" fillId="4" borderId="29" xfId="195" applyFont="1" applyFill="1" applyBorder="1" applyAlignment="1" applyProtection="1">
      <alignment horizontal="right" vertical="center" wrapText="1" indent="1"/>
    </xf>
    <xf numFmtId="0" fontId="93" fillId="0" borderId="7" xfId="0" applyFont="1" applyBorder="1" applyAlignment="1" applyProtection="1">
      <alignment horizontal="center"/>
    </xf>
    <xf numFmtId="0" fontId="93" fillId="0" borderId="6" xfId="0" applyFont="1" applyBorder="1" applyAlignment="1" applyProtection="1">
      <alignment horizontal="center"/>
      <protection locked="0"/>
    </xf>
    <xf numFmtId="0" fontId="85" fillId="3" borderId="7" xfId="150" applyFont="1" applyFill="1" applyBorder="1" applyAlignment="1" applyProtection="1">
      <alignment horizontal="center" vertical="center"/>
    </xf>
    <xf numFmtId="0" fontId="93" fillId="0" borderId="6" xfId="0" applyFont="1" applyBorder="1" applyProtection="1">
      <protection locked="0"/>
    </xf>
    <xf numFmtId="0" fontId="25" fillId="0" borderId="11" xfId="0" applyFont="1" applyBorder="1" applyAlignment="1" applyProtection="1">
      <protection locked="0"/>
    </xf>
    <xf numFmtId="0" fontId="25" fillId="0" borderId="0" xfId="0" applyFont="1" applyBorder="1" applyAlignment="1" applyProtection="1">
      <protection locked="0"/>
    </xf>
    <xf numFmtId="0" fontId="93" fillId="0" borderId="6" xfId="0" applyFont="1" applyBorder="1" applyAlignment="1" applyProtection="1">
      <alignment horizontal="center" vertical="center"/>
      <protection locked="0"/>
    </xf>
    <xf numFmtId="0" fontId="93" fillId="0" borderId="158" xfId="0" applyFont="1" applyBorder="1" applyAlignment="1" applyProtection="1">
      <alignment horizontal="center" vertical="center"/>
      <protection locked="0"/>
    </xf>
    <xf numFmtId="0" fontId="93" fillId="0" borderId="6" xfId="0" applyFont="1" applyBorder="1" applyAlignment="1">
      <alignment horizontal="center"/>
    </xf>
    <xf numFmtId="0" fontId="32" fillId="0" borderId="135" xfId="0" applyFont="1" applyBorder="1" applyProtection="1">
      <protection locked="0"/>
    </xf>
    <xf numFmtId="0" fontId="106" fillId="0" borderId="149" xfId="0" applyFont="1" applyBorder="1" applyAlignment="1" applyProtection="1">
      <alignment wrapText="1"/>
      <protection locked="0"/>
    </xf>
    <xf numFmtId="0" fontId="93" fillId="0" borderId="14" xfId="0" applyFont="1" applyBorder="1" applyAlignment="1">
      <alignment horizontal="center"/>
    </xf>
    <xf numFmtId="0" fontId="93" fillId="0" borderId="161" xfId="0" applyFont="1" applyBorder="1" applyAlignment="1" applyProtection="1">
      <alignment horizontal="center"/>
      <protection locked="0"/>
    </xf>
    <xf numFmtId="0" fontId="25" fillId="0" borderId="162" xfId="0" applyFont="1" applyBorder="1" applyProtection="1">
      <protection locked="0"/>
    </xf>
    <xf numFmtId="0" fontId="25" fillId="0" borderId="163" xfId="0" applyFont="1" applyBorder="1" applyProtection="1">
      <protection locked="0"/>
    </xf>
    <xf numFmtId="0" fontId="93" fillId="0" borderId="17" xfId="0" applyFont="1" applyBorder="1" applyAlignment="1">
      <alignment horizontal="center" vertical="center"/>
    </xf>
    <xf numFmtId="0" fontId="93" fillId="0" borderId="127" xfId="0" applyFont="1" applyBorder="1" applyAlignment="1">
      <alignment horizontal="center" vertical="center"/>
    </xf>
    <xf numFmtId="0" fontId="88" fillId="0" borderId="0" xfId="82" applyFont="1" applyFill="1" applyProtection="1"/>
    <xf numFmtId="0" fontId="87" fillId="19" borderId="11" xfId="195" quotePrefix="1" applyFont="1" applyFill="1" applyBorder="1" applyAlignment="1" applyProtection="1">
      <alignment horizontal="center" vertical="center" wrapText="1"/>
    </xf>
    <xf numFmtId="1" fontId="93" fillId="0" borderId="0" xfId="0" applyNumberFormat="1" applyFont="1" applyBorder="1" applyAlignment="1" applyProtection="1">
      <alignment horizontal="center"/>
      <protection locked="0"/>
    </xf>
    <xf numFmtId="0" fontId="93" fillId="0" borderId="23" xfId="0" applyFont="1" applyBorder="1" applyAlignment="1">
      <alignment vertical="center"/>
    </xf>
    <xf numFmtId="0" fontId="87" fillId="19" borderId="0" xfId="195" quotePrefix="1" applyFont="1" applyFill="1" applyBorder="1" applyAlignment="1" applyProtection="1">
      <alignment horizontal="center" vertical="center" wrapText="1"/>
    </xf>
    <xf numFmtId="0" fontId="87" fillId="19" borderId="15" xfId="90" quotePrefix="1" applyFont="1" applyFill="1" applyBorder="1" applyAlignment="1">
      <alignment horizontal="center" vertical="center" wrapText="1"/>
    </xf>
    <xf numFmtId="2" fontId="86" fillId="19" borderId="128" xfId="0" applyNumberFormat="1" applyFont="1" applyFill="1" applyBorder="1" applyAlignment="1">
      <alignment horizontal="center"/>
    </xf>
    <xf numFmtId="0" fontId="32" fillId="19" borderId="128" xfId="0" applyFont="1" applyFill="1" applyBorder="1" applyAlignment="1">
      <alignment horizontal="center"/>
    </xf>
    <xf numFmtId="0" fontId="27" fillId="4" borderId="2" xfId="132" applyFont="1" applyFill="1" applyBorder="1" applyAlignment="1" applyProtection="1">
      <alignment horizontal="center" vertical="center" wrapText="1"/>
    </xf>
    <xf numFmtId="49" fontId="27" fillId="4" borderId="2" xfId="132" applyNumberFormat="1" applyFont="1" applyFill="1" applyBorder="1" applyAlignment="1">
      <alignment horizontal="center" vertical="center" wrapText="1"/>
    </xf>
    <xf numFmtId="0" fontId="9" fillId="0" borderId="0" xfId="132" applyBorder="1"/>
    <xf numFmtId="0" fontId="27" fillId="4" borderId="2" xfId="132" applyFont="1" applyFill="1" applyBorder="1" applyAlignment="1">
      <alignment horizontal="center" vertical="center" wrapText="1"/>
    </xf>
    <xf numFmtId="0" fontId="77" fillId="0" borderId="0" xfId="132" applyFont="1" applyBorder="1" applyAlignment="1">
      <alignment horizontal="center" vertical="center"/>
    </xf>
    <xf numFmtId="0" fontId="79" fillId="4" borderId="2" xfId="132" quotePrefix="1" applyFont="1" applyFill="1" applyBorder="1" applyAlignment="1" applyProtection="1">
      <alignment horizontal="center" vertical="center" wrapText="1"/>
    </xf>
    <xf numFmtId="0" fontId="29" fillId="0" borderId="7" xfId="132" quotePrefix="1" applyFont="1" applyBorder="1" applyAlignment="1" applyProtection="1">
      <alignment horizontal="center" vertical="center"/>
    </xf>
    <xf numFmtId="170" fontId="25" fillId="0" borderId="0" xfId="0" applyNumberFormat="1" applyFont="1" applyAlignment="1">
      <alignment horizontal="center" vertical="center"/>
    </xf>
    <xf numFmtId="0" fontId="93" fillId="0" borderId="11" xfId="0" applyFont="1" applyBorder="1" applyAlignment="1" applyProtection="1">
      <alignment vertical="center"/>
    </xf>
    <xf numFmtId="0" fontId="93" fillId="0" borderId="0" xfId="0" applyFont="1" applyBorder="1" applyAlignment="1" applyProtection="1">
      <alignment vertical="center"/>
    </xf>
    <xf numFmtId="170" fontId="25" fillId="0" borderId="15" xfId="0" applyNumberFormat="1" applyFont="1" applyBorder="1" applyAlignment="1">
      <alignment horizontal="center" vertical="center"/>
    </xf>
    <xf numFmtId="0" fontId="62" fillId="4" borderId="15" xfId="90" applyFont="1" applyFill="1" applyBorder="1" applyAlignment="1">
      <alignment horizontal="center" vertical="center" wrapText="1"/>
    </xf>
    <xf numFmtId="0" fontId="62" fillId="15" borderId="15" xfId="90" applyFont="1" applyFill="1" applyBorder="1" applyAlignment="1">
      <alignment horizontal="center" vertical="center" wrapText="1"/>
    </xf>
    <xf numFmtId="0" fontId="93" fillId="0" borderId="0" xfId="0" applyFont="1" applyAlignment="1" applyProtection="1">
      <alignment wrapText="1"/>
      <protection locked="0"/>
    </xf>
    <xf numFmtId="0" fontId="28" fillId="0" borderId="5" xfId="0" applyFont="1" applyBorder="1" applyAlignment="1">
      <alignment vertical="center"/>
    </xf>
    <xf numFmtId="0" fontId="60" fillId="3" borderId="7" xfId="0" applyFont="1" applyFill="1" applyBorder="1" applyAlignment="1" applyProtection="1">
      <alignment horizontal="center" vertical="center" textRotation="90" wrapText="1"/>
    </xf>
    <xf numFmtId="0" fontId="25" fillId="0" borderId="0" xfId="0" applyFont="1" applyBorder="1" applyAlignment="1" applyProtection="1">
      <alignment horizontal="center"/>
    </xf>
    <xf numFmtId="0" fontId="62" fillId="4" borderId="65" xfId="0" applyFont="1" applyFill="1" applyBorder="1" applyAlignment="1" applyProtection="1">
      <alignment horizontal="left" vertical="center"/>
    </xf>
    <xf numFmtId="0" fontId="62" fillId="4" borderId="29" xfId="0" applyFont="1" applyFill="1" applyBorder="1" applyAlignment="1" applyProtection="1">
      <alignment horizontal="left" vertical="center"/>
    </xf>
    <xf numFmtId="0" fontId="46" fillId="4" borderId="29" xfId="195" applyFont="1" applyFill="1" applyBorder="1" applyAlignment="1" applyProtection="1">
      <alignment horizontal="center" vertical="center" wrapText="1"/>
    </xf>
    <xf numFmtId="170" fontId="52" fillId="0" borderId="5" xfId="0" applyNumberFormat="1" applyFont="1" applyBorder="1" applyAlignment="1" applyProtection="1">
      <alignment horizontal="center" vertical="center"/>
    </xf>
    <xf numFmtId="170" fontId="53" fillId="0" borderId="0" xfId="0" applyNumberFormat="1" applyFont="1" applyBorder="1" applyAlignment="1" applyProtection="1">
      <alignment horizontal="center" vertical="center" wrapText="1"/>
    </xf>
    <xf numFmtId="173" fontId="62" fillId="4" borderId="0" xfId="0" applyNumberFormat="1" applyFont="1" applyFill="1" applyBorder="1" applyAlignment="1" applyProtection="1">
      <alignment horizontal="center" vertical="center" wrapText="1"/>
    </xf>
    <xf numFmtId="1" fontId="62" fillId="0" borderId="0" xfId="0" applyNumberFormat="1" applyFont="1" applyBorder="1" applyAlignment="1">
      <alignment horizontal="center" vertical="center" wrapText="1"/>
    </xf>
    <xf numFmtId="0" fontId="14" fillId="4" borderId="0" xfId="0" applyFont="1" applyFill="1" applyBorder="1" applyAlignment="1" applyProtection="1">
      <alignment horizontal="center" vertical="center"/>
    </xf>
    <xf numFmtId="0" fontId="14" fillId="4" borderId="10" xfId="198" applyFont="1" applyFill="1" applyBorder="1" applyAlignment="1" applyProtection="1">
      <alignment horizontal="center" vertical="center" wrapText="1"/>
    </xf>
    <xf numFmtId="0" fontId="13" fillId="14" borderId="10" xfId="0" applyFont="1" applyFill="1" applyBorder="1" applyAlignment="1" applyProtection="1">
      <alignment vertical="center"/>
    </xf>
    <xf numFmtId="0" fontId="13" fillId="14" borderId="14" xfId="0" applyFont="1" applyFill="1" applyBorder="1" applyAlignment="1" applyProtection="1">
      <alignment vertical="center"/>
    </xf>
    <xf numFmtId="170" fontId="62" fillId="0" borderId="0" xfId="0" applyNumberFormat="1" applyFont="1" applyBorder="1" applyAlignment="1" applyProtection="1">
      <alignment horizontal="center" vertical="center" wrapText="1"/>
    </xf>
    <xf numFmtId="0" fontId="62" fillId="14" borderId="15" xfId="0" applyFont="1" applyFill="1" applyBorder="1" applyAlignment="1" applyProtection="1">
      <alignment vertical="center"/>
    </xf>
    <xf numFmtId="2" fontId="62" fillId="0" borderId="0" xfId="0" applyNumberFormat="1" applyFont="1" applyBorder="1" applyAlignment="1" applyProtection="1">
      <alignment horizontal="center" vertical="center" wrapText="1"/>
    </xf>
    <xf numFmtId="173" fontId="62" fillId="0" borderId="0" xfId="0" applyNumberFormat="1" applyFont="1" applyBorder="1" applyAlignment="1" applyProtection="1">
      <alignment horizontal="center" vertical="center" wrapText="1"/>
    </xf>
    <xf numFmtId="0" fontId="9" fillId="0" borderId="0" xfId="132" applyBorder="1" applyAlignment="1">
      <alignment horizontal="center" vertical="center"/>
    </xf>
    <xf numFmtId="0" fontId="36" fillId="0" borderId="10" xfId="0" applyFont="1" applyBorder="1" applyAlignment="1" applyProtection="1">
      <alignment vertical="center"/>
    </xf>
    <xf numFmtId="0" fontId="36" fillId="0" borderId="10" xfId="0" applyFont="1" applyBorder="1" applyAlignment="1" applyProtection="1">
      <alignment vertical="center"/>
      <protection locked="0"/>
    </xf>
    <xf numFmtId="0" fontId="36" fillId="0" borderId="0" xfId="0" applyFont="1" applyBorder="1" applyAlignment="1" applyProtection="1">
      <alignment vertical="center"/>
    </xf>
    <xf numFmtId="0" fontId="36" fillId="0" borderId="0" xfId="0" applyFont="1" applyBorder="1" applyAlignment="1" applyProtection="1">
      <alignment vertical="center"/>
      <protection locked="0"/>
    </xf>
    <xf numFmtId="0" fontId="36" fillId="0" borderId="0" xfId="0" applyFont="1" applyBorder="1" applyAlignment="1" applyProtection="1">
      <alignment vertical="center" wrapText="1"/>
    </xf>
    <xf numFmtId="0" fontId="37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</xf>
    <xf numFmtId="0" fontId="36" fillId="0" borderId="9" xfId="0" applyFont="1" applyBorder="1" applyAlignment="1" applyProtection="1">
      <alignment vertical="center"/>
    </xf>
    <xf numFmtId="0" fontId="36" fillId="0" borderId="11" xfId="103" applyFont="1" applyBorder="1" applyAlignment="1" applyProtection="1">
      <alignment vertical="center"/>
    </xf>
    <xf numFmtId="0" fontId="36" fillId="0" borderId="0" xfId="103" applyFont="1" applyBorder="1" applyAlignment="1" applyProtection="1">
      <alignment vertical="center"/>
    </xf>
    <xf numFmtId="0" fontId="36" fillId="0" borderId="11" xfId="0" applyFont="1" applyBorder="1" applyAlignment="1" applyProtection="1">
      <alignment vertical="center"/>
    </xf>
    <xf numFmtId="0" fontId="36" fillId="0" borderId="12" xfId="0" applyFont="1" applyBorder="1" applyAlignment="1" applyProtection="1">
      <alignment vertical="center"/>
    </xf>
    <xf numFmtId="0" fontId="36" fillId="0" borderId="5" xfId="0" applyFont="1" applyBorder="1" applyAlignment="1" applyProtection="1">
      <alignment vertical="center"/>
    </xf>
    <xf numFmtId="0" fontId="108" fillId="4" borderId="86" xfId="193" applyFont="1" applyFill="1" applyBorder="1" applyAlignment="1" applyProtection="1">
      <alignment horizontal="left"/>
    </xf>
    <xf numFmtId="0" fontId="108" fillId="4" borderId="87" xfId="193" applyFont="1" applyFill="1" applyBorder="1" applyAlignment="1" applyProtection="1">
      <alignment horizontal="left"/>
    </xf>
    <xf numFmtId="0" fontId="108" fillId="4" borderId="88" xfId="193" applyFont="1" applyFill="1" applyBorder="1" applyAlignment="1" applyProtection="1">
      <alignment horizontal="left"/>
    </xf>
    <xf numFmtId="0" fontId="108" fillId="4" borderId="103" xfId="193" applyFont="1" applyFill="1" applyBorder="1" applyAlignment="1" applyProtection="1">
      <alignment horizontal="left"/>
    </xf>
    <xf numFmtId="0" fontId="108" fillId="4" borderId="104" xfId="193" applyFont="1" applyFill="1" applyBorder="1" applyAlignment="1" applyProtection="1">
      <alignment horizontal="left"/>
    </xf>
    <xf numFmtId="0" fontId="108" fillId="4" borderId="0" xfId="193" applyFont="1" applyFill="1" applyBorder="1" applyAlignment="1" applyProtection="1">
      <alignment horizontal="left"/>
    </xf>
    <xf numFmtId="0" fontId="13" fillId="3" borderId="78" xfId="193" applyFont="1" applyFill="1" applyBorder="1" applyAlignment="1" applyProtection="1">
      <alignment horizontal="left"/>
    </xf>
    <xf numFmtId="0" fontId="13" fillId="3" borderId="79" xfId="193" applyFont="1" applyFill="1" applyBorder="1" applyAlignment="1" applyProtection="1">
      <alignment horizontal="left"/>
    </xf>
    <xf numFmtId="0" fontId="13" fillId="3" borderId="80" xfId="193" applyFont="1" applyFill="1" applyBorder="1" applyAlignment="1" applyProtection="1">
      <alignment horizontal="left"/>
    </xf>
    <xf numFmtId="0" fontId="108" fillId="4" borderId="78" xfId="193" applyFont="1" applyFill="1" applyBorder="1" applyProtection="1"/>
    <xf numFmtId="0" fontId="108" fillId="4" borderId="79" xfId="193" applyFont="1" applyFill="1" applyBorder="1" applyProtection="1"/>
    <xf numFmtId="0" fontId="108" fillId="4" borderId="80" xfId="193" applyFont="1" applyFill="1" applyBorder="1" applyAlignment="1" applyProtection="1">
      <alignment horizontal="center"/>
    </xf>
    <xf numFmtId="0" fontId="108" fillId="4" borderId="86" xfId="193" applyFont="1" applyFill="1" applyBorder="1" applyProtection="1"/>
    <xf numFmtId="0" fontId="108" fillId="4" borderId="87" xfId="193" applyFont="1" applyFill="1" applyBorder="1" applyProtection="1"/>
    <xf numFmtId="0" fontId="108" fillId="4" borderId="88" xfId="193" applyFont="1" applyFill="1" applyBorder="1" applyAlignment="1" applyProtection="1">
      <alignment horizontal="center"/>
    </xf>
    <xf numFmtId="0" fontId="109" fillId="4" borderId="88" xfId="193" applyFont="1" applyFill="1" applyBorder="1" applyAlignment="1" applyProtection="1">
      <alignment horizontal="center"/>
    </xf>
    <xf numFmtId="0" fontId="108" fillId="4" borderId="103" xfId="193" applyFont="1" applyFill="1" applyBorder="1" applyProtection="1"/>
    <xf numFmtId="0" fontId="108" fillId="4" borderId="104" xfId="193" applyFont="1" applyFill="1" applyBorder="1" applyProtection="1"/>
    <xf numFmtId="0" fontId="108" fillId="4" borderId="95" xfId="193" applyFont="1" applyFill="1" applyBorder="1" applyProtection="1"/>
    <xf numFmtId="0" fontId="109" fillId="4" borderId="96" xfId="193" applyFont="1" applyFill="1" applyBorder="1" applyProtection="1"/>
    <xf numFmtId="0" fontId="108" fillId="4" borderId="96" xfId="193" applyFont="1" applyFill="1" applyBorder="1" applyProtection="1"/>
    <xf numFmtId="0" fontId="108" fillId="4" borderId="97" xfId="193" applyFont="1" applyFill="1" applyBorder="1" applyAlignment="1" applyProtection="1">
      <alignment horizontal="center"/>
    </xf>
    <xf numFmtId="0" fontId="37" fillId="4" borderId="79" xfId="193" applyFont="1" applyFill="1" applyBorder="1" applyProtection="1"/>
    <xf numFmtId="0" fontId="37" fillId="4" borderId="78" xfId="193" applyFont="1" applyFill="1" applyBorder="1" applyProtection="1"/>
    <xf numFmtId="0" fontId="36" fillId="4" borderId="79" xfId="193" applyFont="1" applyFill="1" applyBorder="1" applyProtection="1"/>
    <xf numFmtId="0" fontId="37" fillId="4" borderId="80" xfId="193" applyFont="1" applyFill="1" applyBorder="1" applyAlignment="1" applyProtection="1">
      <alignment horizontal="center"/>
    </xf>
    <xf numFmtId="0" fontId="36" fillId="4" borderId="78" xfId="193" applyFont="1" applyFill="1" applyBorder="1" applyProtection="1"/>
    <xf numFmtId="0" fontId="36" fillId="4" borderId="96" xfId="193" applyFont="1" applyFill="1" applyBorder="1" applyProtection="1"/>
    <xf numFmtId="0" fontId="0" fillId="0" borderId="0" xfId="193" applyFont="1" applyProtection="1"/>
    <xf numFmtId="0" fontId="0" fillId="0" borderId="0" xfId="78" applyFont="1" applyFill="1" applyAlignment="1" applyProtection="1">
      <alignment vertical="center"/>
    </xf>
    <xf numFmtId="0" fontId="25" fillId="0" borderId="2" xfId="0" applyFont="1" applyBorder="1" applyAlignment="1" applyProtection="1">
      <alignment horizontal="center" vertical="center"/>
    </xf>
    <xf numFmtId="0" fontId="110" fillId="4" borderId="11" xfId="195" applyFont="1" applyFill="1" applyBorder="1" applyAlignment="1" applyProtection="1">
      <alignment horizontal="center" vertical="center" wrapText="1"/>
    </xf>
    <xf numFmtId="0" fontId="110" fillId="4" borderId="0" xfId="195" applyFont="1" applyFill="1" applyBorder="1" applyAlignment="1" applyProtection="1">
      <alignment horizontal="center" vertical="center" wrapText="1"/>
    </xf>
    <xf numFmtId="170" fontId="53" fillId="0" borderId="0" xfId="0" applyNumberFormat="1" applyFont="1" applyBorder="1" applyAlignment="1" applyProtection="1">
      <alignment horizontal="center" vertical="center"/>
    </xf>
    <xf numFmtId="0" fontId="36" fillId="0" borderId="11" xfId="103" applyFont="1" applyBorder="1" applyAlignment="1" applyProtection="1">
      <alignment vertical="center"/>
    </xf>
    <xf numFmtId="0" fontId="36" fillId="0" borderId="0" xfId="103" applyFont="1" applyBorder="1" applyAlignment="1" applyProtection="1">
      <alignment vertical="center"/>
    </xf>
    <xf numFmtId="173" fontId="54" fillId="0" borderId="16" xfId="0" applyNumberFormat="1" applyFont="1" applyBorder="1" applyAlignment="1">
      <alignment horizontal="center" vertical="center"/>
    </xf>
    <xf numFmtId="170" fontId="93" fillId="0" borderId="0" xfId="0" applyNumberFormat="1" applyFont="1" applyBorder="1" applyAlignment="1" applyProtection="1">
      <alignment horizontal="center" vertical="center" wrapText="1"/>
    </xf>
    <xf numFmtId="170" fontId="25" fillId="0" borderId="0" xfId="0" applyNumberFormat="1" applyFont="1" applyBorder="1" applyProtection="1">
      <protection locked="0"/>
    </xf>
    <xf numFmtId="0" fontId="25" fillId="0" borderId="128" xfId="0" quotePrefix="1" applyFont="1" applyBorder="1" applyAlignment="1" applyProtection="1">
      <alignment horizontal="center" vertical="center" wrapText="1"/>
      <protection locked="0"/>
    </xf>
    <xf numFmtId="0" fontId="25" fillId="0" borderId="151" xfId="0" quotePrefix="1" applyFont="1" applyBorder="1" applyAlignment="1" applyProtection="1">
      <alignment horizontal="center" vertical="center" wrapText="1"/>
      <protection locked="0"/>
    </xf>
    <xf numFmtId="170" fontId="87" fillId="19" borderId="16" xfId="0" quotePrefix="1" applyNumberFormat="1" applyFont="1" applyFill="1" applyBorder="1" applyAlignment="1" applyProtection="1">
      <alignment horizontal="center" vertical="center" wrapText="1"/>
    </xf>
    <xf numFmtId="170" fontId="89" fillId="0" borderId="129" xfId="0" quotePrefix="1" applyNumberFormat="1" applyFont="1" applyBorder="1" applyAlignment="1">
      <alignment horizontal="center" vertical="center"/>
    </xf>
    <xf numFmtId="170" fontId="55" fillId="4" borderId="5" xfId="0" applyNumberFormat="1" applyFont="1" applyFill="1" applyBorder="1" applyAlignment="1" applyProtection="1">
      <alignment horizontal="center" vertical="center"/>
    </xf>
    <xf numFmtId="170" fontId="53" fillId="0" borderId="10" xfId="0" applyNumberFormat="1" applyFont="1" applyFill="1" applyBorder="1" applyAlignment="1" applyProtection="1">
      <alignment horizontal="center" vertical="center"/>
    </xf>
    <xf numFmtId="170" fontId="53" fillId="0" borderId="5" xfId="0" applyNumberFormat="1" applyFont="1" applyFill="1" applyBorder="1" applyAlignment="1" applyProtection="1">
      <alignment horizontal="center" vertical="center"/>
    </xf>
    <xf numFmtId="170" fontId="53" fillId="0" borderId="13" xfId="0" applyNumberFormat="1" applyFont="1" applyFill="1" applyBorder="1" applyAlignment="1" applyProtection="1">
      <alignment horizontal="center" vertical="center"/>
    </xf>
    <xf numFmtId="0" fontId="62" fillId="0" borderId="17" xfId="75" applyNumberFormat="1" applyFont="1" applyBorder="1" applyAlignment="1" applyProtection="1">
      <alignment horizontal="center" vertical="center" wrapText="1"/>
    </xf>
    <xf numFmtId="1" fontId="23" fillId="0" borderId="6" xfId="193" applyNumberFormat="1" applyFont="1" applyBorder="1" applyAlignment="1" applyProtection="1">
      <alignment horizontal="center" vertical="center"/>
      <protection locked="0"/>
    </xf>
    <xf numFmtId="1" fontId="23" fillId="0" borderId="8" xfId="193" applyNumberFormat="1" applyFont="1" applyBorder="1" applyAlignment="1" applyProtection="1">
      <alignment horizontal="center" vertical="center"/>
      <protection locked="0"/>
    </xf>
    <xf numFmtId="1" fontId="23" fillId="0" borderId="0" xfId="193" applyNumberFormat="1" applyFont="1" applyBorder="1" applyAlignment="1" applyProtection="1">
      <alignment horizontal="center" vertical="center"/>
      <protection locked="0"/>
    </xf>
    <xf numFmtId="1" fontId="23" fillId="0" borderId="2" xfId="193" applyNumberFormat="1" applyFont="1" applyBorder="1" applyAlignment="1" applyProtection="1">
      <alignment horizontal="center" vertical="center"/>
      <protection locked="0"/>
    </xf>
    <xf numFmtId="0" fontId="11" fillId="0" borderId="2" xfId="193" applyBorder="1" applyAlignment="1" applyProtection="1">
      <alignment horizontal="center"/>
    </xf>
    <xf numFmtId="0" fontId="109" fillId="4" borderId="97" xfId="193" applyFont="1" applyFill="1" applyBorder="1" applyAlignment="1" applyProtection="1">
      <alignment horizontal="center"/>
    </xf>
    <xf numFmtId="0" fontId="11" fillId="0" borderId="0" xfId="193" applyBorder="1" applyAlignment="1" applyProtection="1">
      <alignment horizontal="center"/>
    </xf>
    <xf numFmtId="0" fontId="37" fillId="4" borderId="95" xfId="193" applyFont="1" applyFill="1" applyBorder="1" applyProtection="1"/>
    <xf numFmtId="0" fontId="37" fillId="4" borderId="96" xfId="193" applyFont="1" applyFill="1" applyBorder="1" applyProtection="1"/>
    <xf numFmtId="0" fontId="37" fillId="4" borderId="97" xfId="193" applyFont="1" applyFill="1" applyBorder="1" applyAlignment="1" applyProtection="1">
      <alignment horizontal="center"/>
    </xf>
    <xf numFmtId="0" fontId="109" fillId="4" borderId="104" xfId="193" applyFont="1" applyFill="1" applyBorder="1" applyProtection="1"/>
    <xf numFmtId="0" fontId="108" fillId="4" borderId="105" xfId="193" applyFont="1" applyFill="1" applyBorder="1" applyAlignment="1" applyProtection="1">
      <alignment horizontal="center"/>
    </xf>
    <xf numFmtId="0" fontId="37" fillId="0" borderId="10" xfId="0" applyFont="1" applyBorder="1" applyAlignment="1" applyProtection="1">
      <alignment vertical="center"/>
    </xf>
    <xf numFmtId="0" fontId="36" fillId="0" borderId="0" xfId="0" applyFont="1" applyBorder="1" applyAlignment="1" applyProtection="1">
      <alignment vertical="center"/>
    </xf>
    <xf numFmtId="0" fontId="36" fillId="0" borderId="11" xfId="0" applyFont="1" applyBorder="1" applyAlignment="1" applyProtection="1">
      <alignment vertical="center"/>
    </xf>
    <xf numFmtId="0" fontId="36" fillId="0" borderId="11" xfId="103" applyFont="1" applyBorder="1" applyAlignment="1" applyProtection="1">
      <alignment vertical="center"/>
    </xf>
    <xf numFmtId="0" fontId="36" fillId="0" borderId="0" xfId="103" applyFont="1" applyBorder="1" applyAlignment="1" applyProtection="1">
      <alignment vertical="center"/>
    </xf>
    <xf numFmtId="0" fontId="36" fillId="0" borderId="9" xfId="0" applyFont="1" applyBorder="1" applyAlignment="1" applyProtection="1">
      <alignment vertical="center"/>
    </xf>
    <xf numFmtId="0" fontId="36" fillId="0" borderId="10" xfId="0" applyFont="1" applyBorder="1" applyAlignment="1" applyProtection="1">
      <alignment vertical="center"/>
    </xf>
    <xf numFmtId="0" fontId="14" fillId="4" borderId="11" xfId="82" applyFont="1" applyFill="1" applyBorder="1" applyAlignment="1" applyProtection="1">
      <alignment horizontal="left" vertical="top" wrapText="1"/>
      <protection locked="0"/>
    </xf>
    <xf numFmtId="0" fontId="14" fillId="4" borderId="15" xfId="82" applyFont="1" applyFill="1" applyBorder="1" applyAlignment="1" applyProtection="1">
      <alignment horizontal="left" vertical="top" wrapText="1"/>
      <protection locked="0"/>
    </xf>
    <xf numFmtId="0" fontId="36" fillId="0" borderId="3" xfId="89" applyFont="1" applyFill="1" applyBorder="1" applyAlignment="1" applyProtection="1">
      <protection locked="0"/>
    </xf>
    <xf numFmtId="0" fontId="37" fillId="0" borderId="1" xfId="89" applyFont="1" applyFill="1" applyBorder="1" applyAlignment="1" applyProtection="1">
      <protection locked="0"/>
    </xf>
    <xf numFmtId="0" fontId="11" fillId="4" borderId="1" xfId="89" applyFont="1" applyFill="1" applyBorder="1" applyAlignment="1" applyProtection="1">
      <protection locked="0"/>
    </xf>
    <xf numFmtId="0" fontId="11" fillId="0" borderId="1" xfId="89" applyFont="1" applyFill="1" applyBorder="1" applyAlignment="1" applyProtection="1">
      <protection locked="0"/>
    </xf>
    <xf numFmtId="0" fontId="111" fillId="0" borderId="4" xfId="89" applyFont="1" applyFill="1" applyBorder="1" applyAlignment="1" applyProtection="1">
      <protection locked="0"/>
    </xf>
    <xf numFmtId="0" fontId="37" fillId="4" borderId="10" xfId="78" applyFont="1" applyFill="1" applyBorder="1" applyAlignment="1" applyProtection="1">
      <alignment vertical="center"/>
    </xf>
    <xf numFmtId="0" fontId="37" fillId="0" borderId="14" xfId="0" applyFont="1" applyBorder="1" applyAlignment="1" applyProtection="1">
      <alignment vertical="center"/>
    </xf>
    <xf numFmtId="0" fontId="37" fillId="4" borderId="0" xfId="78" applyFont="1" applyFill="1" applyBorder="1" applyAlignment="1" applyProtection="1">
      <alignment vertical="center"/>
    </xf>
    <xf numFmtId="190" fontId="37" fillId="4" borderId="0" xfId="78" applyNumberFormat="1" applyFont="1" applyFill="1" applyBorder="1" applyAlignment="1" applyProtection="1">
      <alignment vertical="center"/>
    </xf>
    <xf numFmtId="190" fontId="37" fillId="4" borderId="15" xfId="78" applyNumberFormat="1" applyFont="1" applyFill="1" applyBorder="1" applyAlignment="1" applyProtection="1">
      <alignment vertical="center"/>
    </xf>
    <xf numFmtId="0" fontId="13" fillId="24" borderId="0" xfId="90" applyFont="1" applyFill="1" applyBorder="1" applyAlignment="1" applyProtection="1">
      <alignment horizontal="left" vertical="center"/>
      <protection locked="0"/>
    </xf>
    <xf numFmtId="0" fontId="13" fillId="24" borderId="0" xfId="90" applyFont="1" applyFill="1" applyBorder="1" applyAlignment="1" applyProtection="1">
      <alignment vertical="center"/>
    </xf>
    <xf numFmtId="0" fontId="14" fillId="4" borderId="0" xfId="82" applyFont="1" applyFill="1" applyBorder="1" applyAlignment="1" applyProtection="1">
      <alignment vertical="center" wrapText="1"/>
    </xf>
    <xf numFmtId="190" fontId="13" fillId="24" borderId="0" xfId="90" applyNumberFormat="1" applyFont="1" applyFill="1" applyBorder="1" applyAlignment="1" applyProtection="1">
      <alignment vertical="center"/>
    </xf>
    <xf numFmtId="0" fontId="36" fillId="4" borderId="11" xfId="193" applyFont="1" applyFill="1" applyBorder="1" applyProtection="1"/>
    <xf numFmtId="0" fontId="36" fillId="4" borderId="0" xfId="193" applyFont="1" applyFill="1" applyBorder="1" applyProtection="1"/>
    <xf numFmtId="0" fontId="36" fillId="4" borderId="0" xfId="193" applyFont="1" applyFill="1" applyBorder="1" applyAlignment="1" applyProtection="1">
      <alignment horizontal="center"/>
    </xf>
    <xf numFmtId="0" fontId="12" fillId="4" borderId="11" xfId="82" applyFont="1" applyFill="1" applyBorder="1" applyAlignment="1" applyProtection="1">
      <alignment vertical="top" wrapText="1"/>
      <protection locked="0"/>
    </xf>
    <xf numFmtId="0" fontId="12" fillId="4" borderId="15" xfId="82" applyFont="1" applyFill="1" applyBorder="1" applyAlignment="1" applyProtection="1">
      <alignment vertical="top" wrapText="1"/>
      <protection locked="0"/>
    </xf>
    <xf numFmtId="170" fontId="85" fillId="4" borderId="0" xfId="107" applyNumberFormat="1" applyFont="1" applyFill="1" applyBorder="1" applyAlignment="1" applyProtection="1"/>
    <xf numFmtId="0" fontId="36" fillId="4" borderId="12" xfId="193" applyFont="1" applyFill="1" applyBorder="1" applyProtection="1"/>
    <xf numFmtId="0" fontId="36" fillId="4" borderId="5" xfId="193" applyFont="1" applyFill="1" applyBorder="1" applyProtection="1"/>
    <xf numFmtId="0" fontId="36" fillId="4" borderId="5" xfId="193" applyFont="1" applyFill="1" applyBorder="1" applyAlignment="1" applyProtection="1">
      <alignment horizontal="center"/>
    </xf>
    <xf numFmtId="170" fontId="85" fillId="4" borderId="5" xfId="107" applyNumberFormat="1" applyFont="1" applyFill="1" applyBorder="1" applyAlignment="1" applyProtection="1"/>
    <xf numFmtId="170" fontId="85" fillId="4" borderId="13" xfId="107" applyNumberFormat="1" applyFont="1" applyFill="1" applyBorder="1" applyAlignment="1" applyProtection="1"/>
    <xf numFmtId="170" fontId="85" fillId="4" borderId="15" xfId="107" applyNumberFormat="1" applyFont="1" applyFill="1" applyBorder="1" applyAlignment="1" applyProtection="1"/>
    <xf numFmtId="0" fontId="11" fillId="0" borderId="5" xfId="193" applyBorder="1" applyProtection="1"/>
    <xf numFmtId="0" fontId="36" fillId="4" borderId="103" xfId="193" applyFont="1" applyFill="1" applyBorder="1" applyProtection="1"/>
    <xf numFmtId="0" fontId="36" fillId="4" borderId="104" xfId="193" applyFont="1" applyFill="1" applyBorder="1" applyProtection="1"/>
    <xf numFmtId="0" fontId="36" fillId="4" borderId="105" xfId="193" applyFont="1" applyFill="1" applyBorder="1" applyAlignment="1" applyProtection="1">
      <alignment horizontal="center"/>
    </xf>
    <xf numFmtId="170" fontId="84" fillId="4" borderId="0" xfId="107" applyNumberFormat="1" applyFont="1" applyFill="1" applyBorder="1" applyAlignment="1" applyProtection="1"/>
    <xf numFmtId="190" fontId="37" fillId="4" borderId="0" xfId="193" applyNumberFormat="1" applyFont="1" applyFill="1" applyBorder="1" applyAlignment="1" applyProtection="1">
      <alignment horizontal="center"/>
      <protection locked="0"/>
    </xf>
    <xf numFmtId="0" fontId="36" fillId="2" borderId="78" xfId="193" applyFont="1" applyFill="1" applyBorder="1" applyAlignment="1" applyProtection="1">
      <alignment horizontal="left"/>
    </xf>
    <xf numFmtId="0" fontId="36" fillId="2" borderId="79" xfId="193" applyFont="1" applyFill="1" applyBorder="1" applyAlignment="1" applyProtection="1">
      <alignment horizontal="left"/>
    </xf>
    <xf numFmtId="0" fontId="36" fillId="2" borderId="80" xfId="193" applyFont="1" applyFill="1" applyBorder="1" applyAlignment="1" applyProtection="1">
      <alignment horizontal="left"/>
    </xf>
    <xf numFmtId="0" fontId="37" fillId="0" borderId="5" xfId="0" applyFont="1" applyBorder="1" applyAlignment="1" applyProtection="1">
      <alignment horizontal="left" vertical="center" wrapText="1"/>
      <protection locked="0"/>
    </xf>
    <xf numFmtId="0" fontId="37" fillId="0" borderId="13" xfId="0" applyFont="1" applyBorder="1" applyAlignment="1" applyProtection="1">
      <alignment horizontal="left" vertical="center" wrapText="1"/>
      <protection locked="0"/>
    </xf>
    <xf numFmtId="0" fontId="25" fillId="0" borderId="9" xfId="0" applyFont="1" applyFill="1" applyBorder="1" applyAlignment="1" applyProtection="1">
      <alignment horizontal="center"/>
    </xf>
    <xf numFmtId="0" fontId="25" fillId="0" borderId="10" xfId="0" applyFont="1" applyFill="1" applyBorder="1" applyAlignment="1" applyProtection="1">
      <alignment horizontal="center"/>
    </xf>
    <xf numFmtId="0" fontId="25" fillId="0" borderId="14" xfId="0" applyFont="1" applyFill="1" applyBorder="1" applyAlignment="1" applyProtection="1">
      <alignment horizontal="center"/>
    </xf>
    <xf numFmtId="0" fontId="25" fillId="0" borderId="11" xfId="0" applyFont="1" applyFill="1" applyBorder="1" applyAlignment="1" applyProtection="1">
      <alignment horizontal="center"/>
    </xf>
    <xf numFmtId="0" fontId="25" fillId="0" borderId="0" xfId="0" applyFont="1" applyFill="1" applyBorder="1" applyAlignment="1" applyProtection="1">
      <alignment horizontal="center"/>
    </xf>
    <xf numFmtId="0" fontId="25" fillId="0" borderId="15" xfId="0" applyFont="1" applyFill="1" applyBorder="1" applyAlignment="1" applyProtection="1">
      <alignment horizontal="center"/>
    </xf>
    <xf numFmtId="0" fontId="25" fillId="0" borderId="12" xfId="0" applyFont="1" applyFill="1" applyBorder="1" applyAlignment="1" applyProtection="1">
      <alignment horizontal="center"/>
    </xf>
    <xf numFmtId="0" fontId="25" fillId="0" borderId="5" xfId="0" applyFont="1" applyFill="1" applyBorder="1" applyAlignment="1" applyProtection="1">
      <alignment horizontal="center"/>
    </xf>
    <xf numFmtId="0" fontId="25" fillId="0" borderId="13" xfId="0" applyFont="1" applyFill="1" applyBorder="1" applyAlignment="1" applyProtection="1">
      <alignment horizontal="center"/>
    </xf>
    <xf numFmtId="0" fontId="56" fillId="0" borderId="7" xfId="149" applyFont="1" applyBorder="1" applyAlignment="1" applyProtection="1">
      <alignment horizontal="left" vertical="center" wrapText="1"/>
    </xf>
    <xf numFmtId="0" fontId="56" fillId="0" borderId="8" xfId="149" applyFont="1" applyBorder="1" applyAlignment="1" applyProtection="1">
      <alignment horizontal="left" vertical="center" wrapText="1"/>
    </xf>
    <xf numFmtId="0" fontId="56" fillId="0" borderId="6" xfId="149" applyFont="1" applyBorder="1" applyAlignment="1" applyProtection="1">
      <alignment horizontal="left" vertical="center" wrapText="1"/>
    </xf>
    <xf numFmtId="0" fontId="36" fillId="0" borderId="11" xfId="103" applyFont="1" applyBorder="1" applyAlignment="1" applyProtection="1">
      <alignment horizontal="left" vertical="center"/>
    </xf>
    <xf numFmtId="0" fontId="36" fillId="0" borderId="0" xfId="103" applyFont="1" applyBorder="1" applyAlignment="1" applyProtection="1">
      <alignment horizontal="left" vertical="center"/>
    </xf>
    <xf numFmtId="0" fontId="37" fillId="0" borderId="0" xfId="0" applyFont="1" applyBorder="1" applyAlignment="1" applyProtection="1">
      <alignment horizontal="left" vertical="center"/>
      <protection locked="0"/>
    </xf>
    <xf numFmtId="190" fontId="37" fillId="0" borderId="0" xfId="0" applyNumberFormat="1" applyFont="1" applyBorder="1" applyAlignment="1" applyProtection="1">
      <alignment horizontal="left" vertical="center"/>
      <protection locked="0"/>
    </xf>
    <xf numFmtId="190" fontId="37" fillId="0" borderId="15" xfId="0" applyNumberFormat="1" applyFont="1" applyBorder="1" applyAlignment="1" applyProtection="1">
      <alignment horizontal="left" vertical="center"/>
      <protection locked="0"/>
    </xf>
    <xf numFmtId="0" fontId="36" fillId="0" borderId="11" xfId="0" applyFont="1" applyBorder="1" applyAlignment="1" applyProtection="1">
      <alignment horizontal="left" vertical="center"/>
    </xf>
    <xf numFmtId="0" fontId="36" fillId="0" borderId="0" xfId="0" applyFont="1" applyBorder="1" applyAlignment="1" applyProtection="1">
      <alignment horizontal="left" vertical="center"/>
    </xf>
    <xf numFmtId="0" fontId="36" fillId="0" borderId="9" xfId="0" applyFont="1" applyBorder="1" applyAlignment="1" applyProtection="1">
      <alignment horizontal="left" vertical="center"/>
    </xf>
    <xf numFmtId="0" fontId="36" fillId="0" borderId="10" xfId="0" applyFont="1" applyBorder="1" applyAlignment="1" applyProtection="1">
      <alignment horizontal="left" vertical="center"/>
    </xf>
    <xf numFmtId="0" fontId="37" fillId="0" borderId="10" xfId="0" applyFont="1" applyBorder="1" applyAlignment="1" applyProtection="1">
      <alignment horizontal="left" vertical="center"/>
    </xf>
    <xf numFmtId="0" fontId="37" fillId="0" borderId="10" xfId="0" applyFont="1" applyBorder="1" applyAlignment="1" applyProtection="1">
      <alignment horizontal="left" vertical="center"/>
      <protection locked="0"/>
    </xf>
    <xf numFmtId="0" fontId="37" fillId="0" borderId="14" xfId="0" applyFont="1" applyBorder="1" applyAlignment="1" applyProtection="1">
      <alignment horizontal="left" vertical="center"/>
      <protection locked="0"/>
    </xf>
    <xf numFmtId="0" fontId="37" fillId="0" borderId="15" xfId="0" applyFont="1" applyBorder="1" applyAlignment="1" applyProtection="1">
      <alignment horizontal="left" vertical="center"/>
      <protection locked="0"/>
    </xf>
    <xf numFmtId="0" fontId="34" fillId="0" borderId="9" xfId="0" applyFont="1" applyFill="1" applyBorder="1" applyAlignment="1" applyProtection="1">
      <alignment horizontal="center" vertical="center" wrapText="1"/>
    </xf>
    <xf numFmtId="0" fontId="34" fillId="0" borderId="10" xfId="0" applyFont="1" applyFill="1" applyBorder="1" applyAlignment="1" applyProtection="1">
      <alignment horizontal="center" vertical="center" wrapText="1"/>
    </xf>
    <xf numFmtId="0" fontId="34" fillId="0" borderId="14" xfId="0" applyFont="1" applyFill="1" applyBorder="1" applyAlignment="1" applyProtection="1">
      <alignment horizontal="center" vertical="center" wrapText="1"/>
    </xf>
    <xf numFmtId="0" fontId="34" fillId="0" borderId="11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15" xfId="0" applyFont="1" applyFill="1" applyBorder="1" applyAlignment="1" applyProtection="1">
      <alignment horizontal="center" vertical="center" wrapText="1"/>
    </xf>
    <xf numFmtId="0" fontId="34" fillId="0" borderId="12" xfId="0" applyFont="1" applyFill="1" applyBorder="1" applyAlignment="1" applyProtection="1">
      <alignment horizontal="center" vertical="center" wrapText="1"/>
    </xf>
    <xf numFmtId="0" fontId="34" fillId="0" borderId="5" xfId="0" applyFont="1" applyFill="1" applyBorder="1" applyAlignment="1" applyProtection="1">
      <alignment horizontal="center" vertical="center" wrapText="1"/>
    </xf>
    <xf numFmtId="0" fontId="34" fillId="0" borderId="13" xfId="0" applyFont="1" applyFill="1" applyBorder="1" applyAlignment="1" applyProtection="1">
      <alignment horizontal="center" vertical="center" wrapText="1"/>
    </xf>
    <xf numFmtId="0" fontId="12" fillId="2" borderId="9" xfId="0" applyFont="1" applyFill="1" applyBorder="1" applyAlignment="1" applyProtection="1">
      <alignment horizontal="center" vertical="center"/>
    </xf>
    <xf numFmtId="0" fontId="12" fillId="2" borderId="10" xfId="0" applyFont="1" applyFill="1" applyBorder="1" applyAlignment="1" applyProtection="1">
      <alignment horizontal="center" vertical="center"/>
    </xf>
    <xf numFmtId="0" fontId="12" fillId="2" borderId="12" xfId="0" applyFont="1" applyFill="1" applyBorder="1" applyAlignment="1" applyProtection="1">
      <alignment horizontal="center" vertical="center"/>
    </xf>
    <xf numFmtId="0" fontId="12" fillId="2" borderId="5" xfId="0" applyFont="1" applyFill="1" applyBorder="1" applyAlignment="1" applyProtection="1">
      <alignment horizontal="center" vertical="center"/>
    </xf>
    <xf numFmtId="0" fontId="14" fillId="2" borderId="10" xfId="195" applyFont="1" applyFill="1" applyBorder="1" applyAlignment="1" applyProtection="1">
      <alignment horizontal="center" vertical="center" wrapText="1"/>
    </xf>
    <xf numFmtId="0" fontId="14" fillId="2" borderId="5" xfId="195" applyFont="1" applyFill="1" applyBorder="1" applyAlignment="1" applyProtection="1">
      <alignment horizontal="center" vertical="center" wrapText="1"/>
    </xf>
    <xf numFmtId="0" fontId="63" fillId="2" borderId="3" xfId="195" applyFont="1" applyFill="1" applyBorder="1" applyAlignment="1" applyProtection="1">
      <alignment horizontal="center" vertical="center" textRotation="90" wrapText="1"/>
    </xf>
    <xf numFmtId="0" fontId="63" fillId="2" borderId="4" xfId="195" applyFont="1" applyFill="1" applyBorder="1" applyAlignment="1" applyProtection="1">
      <alignment horizontal="center" vertical="center" textRotation="90" wrapText="1"/>
    </xf>
    <xf numFmtId="0" fontId="36" fillId="2" borderId="9" xfId="195" applyFont="1" applyFill="1" applyBorder="1" applyAlignment="1" applyProtection="1">
      <alignment horizontal="center" vertical="center" wrapText="1"/>
    </xf>
    <xf numFmtId="0" fontId="36" fillId="2" borderId="14" xfId="195" applyFont="1" applyFill="1" applyBorder="1" applyAlignment="1" applyProtection="1">
      <alignment horizontal="center" vertical="center" wrapText="1"/>
    </xf>
    <xf numFmtId="0" fontId="36" fillId="2" borderId="12" xfId="195" applyFont="1" applyFill="1" applyBorder="1" applyAlignment="1" applyProtection="1">
      <alignment horizontal="center" vertical="center" wrapText="1"/>
    </xf>
    <xf numFmtId="0" fontId="36" fillId="2" borderId="13" xfId="195" applyFont="1" applyFill="1" applyBorder="1" applyAlignment="1" applyProtection="1">
      <alignment horizontal="center" vertical="center" wrapText="1"/>
    </xf>
    <xf numFmtId="0" fontId="36" fillId="2" borderId="10" xfId="195" applyFont="1" applyFill="1" applyBorder="1" applyAlignment="1" applyProtection="1">
      <alignment horizontal="center" vertical="center" wrapText="1"/>
    </xf>
    <xf numFmtId="0" fontId="85" fillId="2" borderId="7" xfId="195" applyFont="1" applyFill="1" applyBorder="1" applyAlignment="1" applyProtection="1">
      <alignment horizontal="center" vertical="center" wrapText="1"/>
    </xf>
    <xf numFmtId="0" fontId="85" fillId="2" borderId="8" xfId="195" applyFont="1" applyFill="1" applyBorder="1" applyAlignment="1" applyProtection="1">
      <alignment horizontal="center" vertical="center" wrapText="1"/>
    </xf>
    <xf numFmtId="0" fontId="85" fillId="2" borderId="6" xfId="195" applyFont="1" applyFill="1" applyBorder="1" applyAlignment="1" applyProtection="1">
      <alignment horizontal="center" vertical="center" wrapText="1"/>
    </xf>
    <xf numFmtId="0" fontId="36" fillId="3" borderId="9" xfId="0" applyFont="1" applyFill="1" applyBorder="1" applyAlignment="1" applyProtection="1">
      <alignment horizontal="left" vertical="center"/>
    </xf>
    <xf numFmtId="0" fontId="36" fillId="3" borderId="10" xfId="0" applyFont="1" applyFill="1" applyBorder="1" applyAlignment="1" applyProtection="1">
      <alignment horizontal="left" vertical="center"/>
    </xf>
    <xf numFmtId="0" fontId="63" fillId="3" borderId="10" xfId="195" applyFont="1" applyFill="1" applyBorder="1" applyAlignment="1" applyProtection="1">
      <alignment horizontal="center" vertical="center" wrapText="1"/>
    </xf>
    <xf numFmtId="0" fontId="63" fillId="3" borderId="14" xfId="195" applyFont="1" applyFill="1" applyBorder="1" applyAlignment="1" applyProtection="1">
      <alignment horizontal="center" vertical="center" wrapText="1"/>
    </xf>
    <xf numFmtId="0" fontId="59" fillId="2" borderId="9" xfId="195" applyFont="1" applyFill="1" applyBorder="1" applyAlignment="1" applyProtection="1">
      <alignment horizontal="center" vertical="center" wrapText="1"/>
    </xf>
    <xf numFmtId="0" fontId="59" fillId="2" borderId="14" xfId="195" applyFont="1" applyFill="1" applyBorder="1" applyAlignment="1" applyProtection="1">
      <alignment horizontal="center" vertical="center" wrapText="1"/>
    </xf>
    <xf numFmtId="0" fontId="104" fillId="2" borderId="3" xfId="195" applyFont="1" applyFill="1" applyBorder="1" applyAlignment="1" applyProtection="1">
      <alignment horizontal="center" vertical="center" wrapText="1"/>
    </xf>
    <xf numFmtId="0" fontId="104" fillId="2" borderId="4" xfId="195" applyFont="1" applyFill="1" applyBorder="1" applyAlignment="1" applyProtection="1">
      <alignment horizontal="center" vertical="center" wrapText="1"/>
    </xf>
    <xf numFmtId="0" fontId="84" fillId="2" borderId="7" xfId="0" applyFont="1" applyFill="1" applyBorder="1" applyAlignment="1" applyProtection="1">
      <alignment horizontal="center" vertical="center"/>
    </xf>
    <xf numFmtId="0" fontId="84" fillId="2" borderId="8" xfId="0" applyFont="1" applyFill="1" applyBorder="1" applyAlignment="1" applyProtection="1">
      <alignment horizontal="center" vertical="center"/>
    </xf>
    <xf numFmtId="0" fontId="91" fillId="2" borderId="7" xfId="0" applyFont="1" applyFill="1" applyBorder="1" applyAlignment="1" applyProtection="1">
      <alignment horizontal="center" vertical="center"/>
    </xf>
    <xf numFmtId="0" fontId="91" fillId="2" borderId="8" xfId="0" applyFont="1" applyFill="1" applyBorder="1" applyAlignment="1" applyProtection="1">
      <alignment horizontal="center" vertical="center"/>
    </xf>
    <xf numFmtId="0" fontId="91" fillId="2" borderId="6" xfId="0" applyFont="1" applyFill="1" applyBorder="1" applyAlignment="1" applyProtection="1">
      <alignment horizontal="center" vertical="center"/>
    </xf>
    <xf numFmtId="0" fontId="85" fillId="0" borderId="7" xfId="0" applyFont="1" applyBorder="1" applyAlignment="1" applyProtection="1">
      <alignment horizontal="center" vertical="center"/>
    </xf>
    <xf numFmtId="0" fontId="85" fillId="0" borderId="8" xfId="0" applyFont="1" applyBorder="1" applyAlignment="1" applyProtection="1">
      <alignment horizontal="center" vertical="center"/>
    </xf>
    <xf numFmtId="0" fontId="85" fillId="0" borderId="6" xfId="0" applyFont="1" applyBorder="1" applyAlignment="1" applyProtection="1">
      <alignment horizontal="center" vertical="center"/>
    </xf>
    <xf numFmtId="0" fontId="34" fillId="2" borderId="7" xfId="0" applyFont="1" applyFill="1" applyBorder="1" applyAlignment="1" applyProtection="1">
      <alignment horizontal="left" vertical="center"/>
      <protection locked="0"/>
    </xf>
    <xf numFmtId="0" fontId="34" fillId="2" borderId="8" xfId="0" applyFont="1" applyFill="1" applyBorder="1" applyAlignment="1" applyProtection="1">
      <alignment horizontal="left" vertical="center"/>
      <protection locked="0"/>
    </xf>
    <xf numFmtId="0" fontId="34" fillId="2" borderId="8" xfId="0" applyFont="1" applyFill="1" applyBorder="1" applyAlignment="1" applyProtection="1">
      <alignment horizontal="center" vertical="center"/>
    </xf>
    <xf numFmtId="0" fontId="34" fillId="2" borderId="6" xfId="0" applyFont="1" applyFill="1" applyBorder="1" applyAlignment="1" applyProtection="1">
      <alignment horizontal="center" vertical="center"/>
    </xf>
    <xf numFmtId="0" fontId="56" fillId="4" borderId="65" xfId="195" applyFont="1" applyFill="1" applyBorder="1" applyAlignment="1" applyProtection="1">
      <alignment horizontal="center" vertical="center" wrapText="1"/>
    </xf>
    <xf numFmtId="0" fontId="56" fillId="4" borderId="66" xfId="195" applyFont="1" applyFill="1" applyBorder="1" applyAlignment="1" applyProtection="1">
      <alignment horizontal="center" vertical="center" wrapText="1"/>
    </xf>
    <xf numFmtId="0" fontId="13" fillId="4" borderId="42" xfId="0" applyFont="1" applyFill="1" applyBorder="1" applyAlignment="1" applyProtection="1">
      <alignment horizontal="left" vertical="center"/>
    </xf>
    <xf numFmtId="0" fontId="13" fillId="4" borderId="43" xfId="0" applyFont="1" applyFill="1" applyBorder="1" applyAlignment="1" applyProtection="1">
      <alignment horizontal="left" vertical="center"/>
    </xf>
    <xf numFmtId="0" fontId="46" fillId="4" borderId="43" xfId="195" applyFont="1" applyFill="1" applyBorder="1" applyAlignment="1" applyProtection="1">
      <alignment horizontal="center" vertical="center" wrapText="1"/>
    </xf>
    <xf numFmtId="0" fontId="46" fillId="4" borderId="44" xfId="195" applyFont="1" applyFill="1" applyBorder="1" applyAlignment="1" applyProtection="1">
      <alignment horizontal="center" vertical="center" wrapText="1"/>
    </xf>
    <xf numFmtId="170" fontId="46" fillId="4" borderId="42" xfId="0" applyNumberFormat="1" applyFont="1" applyFill="1" applyBorder="1" applyAlignment="1" applyProtection="1">
      <alignment horizontal="center" vertical="center"/>
    </xf>
    <xf numFmtId="170" fontId="46" fillId="4" borderId="43" xfId="0" applyNumberFormat="1" applyFont="1" applyFill="1" applyBorder="1" applyAlignment="1" applyProtection="1">
      <alignment horizontal="center" vertical="center"/>
    </xf>
    <xf numFmtId="170" fontId="46" fillId="4" borderId="44" xfId="0" applyNumberFormat="1" applyFont="1" applyFill="1" applyBorder="1" applyAlignment="1" applyProtection="1">
      <alignment horizontal="center" vertical="center"/>
    </xf>
    <xf numFmtId="0" fontId="36" fillId="3" borderId="11" xfId="0" applyFont="1" applyFill="1" applyBorder="1" applyAlignment="1" applyProtection="1">
      <alignment horizontal="left" vertical="center"/>
    </xf>
    <xf numFmtId="0" fontId="36" fillId="3" borderId="0" xfId="0" applyFont="1" applyFill="1" applyBorder="1" applyAlignment="1" applyProtection="1">
      <alignment horizontal="left" vertical="center"/>
    </xf>
    <xf numFmtId="170" fontId="13" fillId="3" borderId="0" xfId="0" applyNumberFormat="1" applyFont="1" applyFill="1" applyBorder="1" applyAlignment="1" applyProtection="1">
      <alignment horizontal="center" vertical="center"/>
    </xf>
    <xf numFmtId="170" fontId="13" fillId="3" borderId="15" xfId="0" applyNumberFormat="1" applyFont="1" applyFill="1" applyBorder="1" applyAlignment="1" applyProtection="1">
      <alignment horizontal="center" vertical="center"/>
    </xf>
    <xf numFmtId="0" fontId="46" fillId="4" borderId="126" xfId="0" applyFont="1" applyFill="1" applyBorder="1" applyAlignment="1" applyProtection="1">
      <alignment horizontal="center" vertical="center"/>
    </xf>
    <xf numFmtId="0" fontId="46" fillId="4" borderId="37" xfId="0" applyFont="1" applyFill="1" applyBorder="1" applyAlignment="1" applyProtection="1">
      <alignment horizontal="center" vertical="center"/>
    </xf>
    <xf numFmtId="0" fontId="46" fillId="4" borderId="38" xfId="0" applyFont="1" applyFill="1" applyBorder="1" applyAlignment="1" applyProtection="1">
      <alignment horizontal="center" vertical="center"/>
    </xf>
    <xf numFmtId="0" fontId="13" fillId="4" borderId="49" xfId="0" applyFont="1" applyFill="1" applyBorder="1" applyAlignment="1" applyProtection="1">
      <alignment horizontal="left" vertical="center"/>
    </xf>
    <xf numFmtId="0" fontId="13" fillId="4" borderId="37" xfId="0" applyFont="1" applyFill="1" applyBorder="1" applyAlignment="1" applyProtection="1">
      <alignment horizontal="left" vertical="center"/>
    </xf>
    <xf numFmtId="0" fontId="46" fillId="4" borderId="37" xfId="195" applyFont="1" applyFill="1" applyBorder="1" applyAlignment="1" applyProtection="1">
      <alignment horizontal="center" vertical="center" wrapText="1"/>
    </xf>
    <xf numFmtId="0" fontId="46" fillId="4" borderId="48" xfId="195" applyFont="1" applyFill="1" applyBorder="1" applyAlignment="1" applyProtection="1">
      <alignment horizontal="center" vertical="center" wrapText="1"/>
    </xf>
    <xf numFmtId="0" fontId="56" fillId="4" borderId="49" xfId="195" applyFont="1" applyFill="1" applyBorder="1" applyAlignment="1" applyProtection="1">
      <alignment horizontal="center" vertical="center" wrapText="1"/>
    </xf>
    <xf numFmtId="0" fontId="56" fillId="4" borderId="45" xfId="195" applyFont="1" applyFill="1" applyBorder="1" applyAlignment="1" applyProtection="1">
      <alignment horizontal="center" vertical="center" wrapText="1"/>
    </xf>
    <xf numFmtId="0" fontId="58" fillId="4" borderId="36" xfId="195" applyFont="1" applyFill="1" applyBorder="1" applyAlignment="1" applyProtection="1">
      <alignment horizontal="center" vertical="center" wrapText="1"/>
    </xf>
    <xf numFmtId="0" fontId="58" fillId="4" borderId="48" xfId="195" applyFont="1" applyFill="1" applyBorder="1" applyAlignment="1" applyProtection="1">
      <alignment horizontal="center" vertical="center" wrapText="1"/>
    </xf>
    <xf numFmtId="0" fontId="46" fillId="15" borderId="39" xfId="195" applyFont="1" applyFill="1" applyBorder="1" applyAlignment="1" applyProtection="1">
      <alignment horizontal="center" vertical="center" wrapText="1"/>
    </xf>
    <xf numFmtId="0" fontId="46" fillId="15" borderId="71" xfId="195" applyFont="1" applyFill="1" applyBorder="1" applyAlignment="1" applyProtection="1">
      <alignment horizontal="center" vertical="center" wrapText="1"/>
    </xf>
    <xf numFmtId="0" fontId="46" fillId="4" borderId="75" xfId="0" applyFont="1" applyFill="1" applyBorder="1" applyAlignment="1" applyProtection="1">
      <alignment horizontal="center" vertical="center"/>
    </xf>
    <xf numFmtId="0" fontId="46" fillId="4" borderId="29" xfId="0" applyFont="1" applyFill="1" applyBorder="1" applyAlignment="1" applyProtection="1">
      <alignment horizontal="center" vertical="center"/>
    </xf>
    <xf numFmtId="0" fontId="46" fillId="4" borderId="40" xfId="0" applyFont="1" applyFill="1" applyBorder="1" applyAlignment="1" applyProtection="1">
      <alignment horizontal="center" vertical="center"/>
    </xf>
    <xf numFmtId="0" fontId="58" fillId="15" borderId="39" xfId="195" applyFont="1" applyFill="1" applyBorder="1" applyAlignment="1" applyProtection="1">
      <alignment horizontal="center" vertical="center" wrapText="1"/>
    </xf>
    <xf numFmtId="0" fontId="58" fillId="15" borderId="30" xfId="195" applyFont="1" applyFill="1" applyBorder="1" applyAlignment="1" applyProtection="1">
      <alignment horizontal="center" vertical="center" wrapText="1"/>
    </xf>
    <xf numFmtId="0" fontId="62" fillId="4" borderId="65" xfId="0" applyFont="1" applyFill="1" applyBorder="1" applyAlignment="1" applyProtection="1">
      <alignment horizontal="left" vertical="center"/>
    </xf>
    <xf numFmtId="0" fontId="62" fillId="4" borderId="29" xfId="0" applyFont="1" applyFill="1" applyBorder="1" applyAlignment="1" applyProtection="1">
      <alignment horizontal="left" vertical="center"/>
    </xf>
    <xf numFmtId="0" fontId="46" fillId="4" borderId="29" xfId="195" applyFont="1" applyFill="1" applyBorder="1" applyAlignment="1" applyProtection="1">
      <alignment horizontal="center" vertical="center" wrapText="1"/>
    </xf>
    <xf numFmtId="0" fontId="46" fillId="4" borderId="39" xfId="195" applyFont="1" applyFill="1" applyBorder="1" applyAlignment="1" applyProtection="1">
      <alignment horizontal="center" vertical="center" wrapText="1"/>
    </xf>
    <xf numFmtId="0" fontId="46" fillId="4" borderId="71" xfId="195" applyFont="1" applyFill="1" applyBorder="1" applyAlignment="1" applyProtection="1">
      <alignment horizontal="center" vertical="center" wrapText="1"/>
    </xf>
    <xf numFmtId="0" fontId="13" fillId="4" borderId="37" xfId="195" applyFont="1" applyFill="1" applyBorder="1" applyAlignment="1" applyProtection="1">
      <alignment horizontal="right" vertical="center" wrapText="1"/>
    </xf>
    <xf numFmtId="0" fontId="46" fillId="4" borderId="38" xfId="195" applyFont="1" applyFill="1" applyBorder="1" applyAlignment="1" applyProtection="1">
      <alignment horizontal="center" vertical="center" wrapText="1"/>
    </xf>
    <xf numFmtId="0" fontId="58" fillId="4" borderId="72" xfId="195" applyFont="1" applyFill="1" applyBorder="1" applyAlignment="1" applyProtection="1">
      <alignment horizontal="center" vertical="center" wrapText="1"/>
    </xf>
    <xf numFmtId="0" fontId="46" fillId="4" borderId="36" xfId="195" applyFont="1" applyFill="1" applyBorder="1" applyAlignment="1" applyProtection="1">
      <alignment horizontal="center" vertical="center" wrapText="1"/>
    </xf>
    <xf numFmtId="0" fontId="36" fillId="3" borderId="9" xfId="150" applyFont="1" applyFill="1" applyBorder="1" applyAlignment="1" applyProtection="1">
      <alignment horizontal="center" vertical="center"/>
    </xf>
    <xf numFmtId="0" fontId="36" fillId="3" borderId="10" xfId="150" applyFont="1" applyFill="1" applyBorder="1" applyAlignment="1" applyProtection="1">
      <alignment horizontal="center" vertical="center"/>
    </xf>
    <xf numFmtId="0" fontId="36" fillId="3" borderId="14" xfId="150" applyFont="1" applyFill="1" applyBorder="1" applyAlignment="1" applyProtection="1">
      <alignment horizontal="center" vertical="center"/>
    </xf>
    <xf numFmtId="0" fontId="62" fillId="4" borderId="40" xfId="0" applyFont="1" applyFill="1" applyBorder="1" applyAlignment="1" applyProtection="1">
      <alignment horizontal="left" vertical="center"/>
    </xf>
    <xf numFmtId="10" fontId="62" fillId="4" borderId="65" xfId="0" applyNumberFormat="1" applyFont="1" applyFill="1" applyBorder="1" applyAlignment="1" applyProtection="1">
      <alignment horizontal="left" vertical="center"/>
    </xf>
    <xf numFmtId="10" fontId="62" fillId="4" borderId="29" xfId="0" applyNumberFormat="1" applyFont="1" applyFill="1" applyBorder="1" applyAlignment="1" applyProtection="1">
      <alignment horizontal="left" vertical="center"/>
    </xf>
    <xf numFmtId="10" fontId="64" fillId="4" borderId="65" xfId="0" applyNumberFormat="1" applyFont="1" applyFill="1" applyBorder="1" applyAlignment="1" applyProtection="1">
      <alignment horizontal="left" vertical="center"/>
    </xf>
    <xf numFmtId="10" fontId="64" fillId="4" borderId="29" xfId="0" applyNumberFormat="1" applyFont="1" applyFill="1" applyBorder="1" applyAlignment="1" applyProtection="1">
      <alignment horizontal="left" vertical="center"/>
    </xf>
    <xf numFmtId="0" fontId="26" fillId="0" borderId="9" xfId="0" applyFont="1" applyBorder="1" applyAlignment="1" applyProtection="1">
      <alignment horizontal="center" vertical="top"/>
    </xf>
    <xf numFmtId="0" fontId="26" fillId="0" borderId="10" xfId="0" applyFont="1" applyBorder="1" applyAlignment="1" applyProtection="1">
      <alignment horizontal="center" vertical="top"/>
    </xf>
    <xf numFmtId="0" fontId="58" fillId="15" borderId="71" xfId="195" applyFont="1" applyFill="1" applyBorder="1" applyAlignment="1" applyProtection="1">
      <alignment horizontal="center" vertical="center" wrapText="1"/>
    </xf>
    <xf numFmtId="0" fontId="13" fillId="4" borderId="12" xfId="0" applyFont="1" applyFill="1" applyBorder="1" applyAlignment="1" applyProtection="1">
      <alignment horizontal="left" vertical="center"/>
    </xf>
    <xf numFmtId="0" fontId="13" fillId="4" borderId="5" xfId="0" applyFont="1" applyFill="1" applyBorder="1" applyAlignment="1" applyProtection="1">
      <alignment horizontal="left" vertical="center"/>
    </xf>
    <xf numFmtId="0" fontId="46" fillId="4" borderId="5" xfId="195" applyFont="1" applyFill="1" applyBorder="1" applyAlignment="1" applyProtection="1">
      <alignment horizontal="center" vertical="center" wrapText="1"/>
    </xf>
    <xf numFmtId="0" fontId="58" fillId="15" borderId="67" xfId="195" applyFont="1" applyFill="1" applyBorder="1" applyAlignment="1" applyProtection="1">
      <alignment horizontal="center" vertical="center" wrapText="1"/>
    </xf>
    <xf numFmtId="0" fontId="58" fillId="15" borderId="68" xfId="195" applyFont="1" applyFill="1" applyBorder="1" applyAlignment="1" applyProtection="1">
      <alignment horizontal="center" vertical="center" wrapText="1"/>
    </xf>
    <xf numFmtId="0" fontId="58" fillId="15" borderId="69" xfId="195" applyFont="1" applyFill="1" applyBorder="1" applyAlignment="1" applyProtection="1">
      <alignment horizontal="center" vertical="center" wrapText="1"/>
    </xf>
    <xf numFmtId="0" fontId="58" fillId="15" borderId="70" xfId="195" applyFont="1" applyFill="1" applyBorder="1" applyAlignment="1" applyProtection="1">
      <alignment horizontal="center" vertical="center" wrapText="1"/>
    </xf>
    <xf numFmtId="0" fontId="26" fillId="0" borderId="10" xfId="0" applyFont="1" applyBorder="1" applyAlignment="1" applyProtection="1">
      <alignment horizontal="left" vertical="top" wrapText="1"/>
      <protection locked="0"/>
    </xf>
    <xf numFmtId="0" fontId="26" fillId="0" borderId="14" xfId="0" applyFont="1" applyBorder="1" applyAlignment="1" applyProtection="1">
      <alignment horizontal="left" vertical="top" wrapText="1"/>
      <protection locked="0"/>
    </xf>
    <xf numFmtId="0" fontId="26" fillId="0" borderId="5" xfId="0" applyFont="1" applyBorder="1" applyAlignment="1" applyProtection="1">
      <alignment horizontal="left" vertical="top" wrapText="1"/>
      <protection locked="0"/>
    </xf>
    <xf numFmtId="0" fontId="26" fillId="0" borderId="13" xfId="0" applyFont="1" applyBorder="1" applyAlignment="1" applyProtection="1">
      <alignment horizontal="left" vertical="top" wrapText="1"/>
      <protection locked="0"/>
    </xf>
    <xf numFmtId="0" fontId="27" fillId="4" borderId="11" xfId="0" applyFont="1" applyFill="1" applyBorder="1" applyAlignment="1" applyProtection="1">
      <alignment horizontal="center" vertical="center" wrapText="1"/>
    </xf>
    <xf numFmtId="0" fontId="27" fillId="4" borderId="0" xfId="0" applyFont="1" applyFill="1" applyBorder="1" applyAlignment="1" applyProtection="1">
      <alignment horizontal="center" vertical="center" wrapText="1"/>
    </xf>
    <xf numFmtId="0" fontId="43" fillId="0" borderId="115" xfId="149" applyFont="1" applyBorder="1" applyAlignment="1" applyProtection="1">
      <alignment horizontal="center" wrapText="1"/>
    </xf>
    <xf numFmtId="0" fontId="37" fillId="0" borderId="11" xfId="150" applyFont="1" applyBorder="1" applyAlignment="1" applyProtection="1">
      <alignment horizontal="center"/>
      <protection locked="0"/>
    </xf>
    <xf numFmtId="0" fontId="37" fillId="0" borderId="0" xfId="150" applyFont="1" applyBorder="1" applyAlignment="1" applyProtection="1">
      <alignment horizontal="center"/>
      <protection locked="0"/>
    </xf>
    <xf numFmtId="0" fontId="37" fillId="0" borderId="15" xfId="150" applyFont="1" applyBorder="1" applyAlignment="1" applyProtection="1">
      <alignment horizontal="center"/>
      <protection locked="0"/>
    </xf>
    <xf numFmtId="0" fontId="37" fillId="0" borderId="11" xfId="150" quotePrefix="1" applyFont="1" applyBorder="1" applyAlignment="1" applyProtection="1">
      <alignment horizontal="center"/>
      <protection locked="0"/>
    </xf>
    <xf numFmtId="0" fontId="37" fillId="0" borderId="0" xfId="150" quotePrefix="1" applyFont="1" applyBorder="1" applyAlignment="1" applyProtection="1">
      <alignment horizontal="center"/>
      <protection locked="0"/>
    </xf>
    <xf numFmtId="0" fontId="37" fillId="0" borderId="15" xfId="150" quotePrefix="1" applyFont="1" applyBorder="1" applyAlignment="1" applyProtection="1">
      <alignment horizontal="center"/>
      <protection locked="0"/>
    </xf>
    <xf numFmtId="0" fontId="37" fillId="0" borderId="12" xfId="150" applyFont="1" applyBorder="1" applyAlignment="1" applyProtection="1">
      <alignment horizontal="center"/>
    </xf>
    <xf numFmtId="0" fontId="37" fillId="0" borderId="5" xfId="150" applyFont="1" applyBorder="1" applyAlignment="1" applyProtection="1">
      <alignment horizontal="center"/>
    </xf>
    <xf numFmtId="0" fontId="37" fillId="0" borderId="13" xfId="150" applyFont="1" applyBorder="1" applyAlignment="1" applyProtection="1">
      <alignment horizontal="center"/>
    </xf>
    <xf numFmtId="0" fontId="93" fillId="0" borderId="7" xfId="0" applyFont="1" applyBorder="1" applyAlignment="1" applyProtection="1">
      <alignment horizontal="center"/>
    </xf>
    <xf numFmtId="0" fontId="93" fillId="0" borderId="8" xfId="0" applyFont="1" applyBorder="1" applyAlignment="1" applyProtection="1">
      <alignment horizontal="center"/>
    </xf>
    <xf numFmtId="0" fontId="93" fillId="0" borderId="6" xfId="0" applyFont="1" applyBorder="1" applyAlignment="1" applyProtection="1">
      <alignment horizontal="center"/>
    </xf>
    <xf numFmtId="0" fontId="43" fillId="0" borderId="0" xfId="151" applyFont="1" applyFill="1" applyBorder="1" applyAlignment="1" applyProtection="1">
      <alignment horizontal="center" vertical="top" wrapText="1"/>
    </xf>
    <xf numFmtId="0" fontId="28" fillId="0" borderId="12" xfId="0" applyFont="1" applyBorder="1" applyAlignment="1" applyProtection="1">
      <alignment horizontal="center" vertical="center"/>
    </xf>
    <xf numFmtId="0" fontId="28" fillId="0" borderId="31" xfId="0" applyFont="1" applyBorder="1" applyAlignment="1" applyProtection="1">
      <alignment horizontal="center" vertical="center"/>
    </xf>
    <xf numFmtId="170" fontId="52" fillId="0" borderId="32" xfId="0" applyNumberFormat="1" applyFont="1" applyBorder="1" applyAlignment="1" applyProtection="1">
      <alignment horizontal="center" vertical="center"/>
    </xf>
    <xf numFmtId="170" fontId="52" fillId="0" borderId="5" xfId="0" applyNumberFormat="1" applyFont="1" applyBorder="1" applyAlignment="1" applyProtection="1">
      <alignment horizontal="center" vertical="center"/>
    </xf>
    <xf numFmtId="0" fontId="28" fillId="3" borderId="116" xfId="0" applyFont="1" applyFill="1" applyBorder="1" applyAlignment="1" applyProtection="1">
      <alignment horizontal="center" vertical="center" wrapText="1"/>
    </xf>
    <xf numFmtId="0" fontId="28" fillId="3" borderId="31" xfId="0" applyFont="1" applyFill="1" applyBorder="1" applyAlignment="1" applyProtection="1">
      <alignment horizontal="center" vertical="center" wrapText="1"/>
    </xf>
    <xf numFmtId="0" fontId="25" fillId="0" borderId="9" xfId="0" applyFont="1" applyBorder="1" applyAlignment="1" applyProtection="1">
      <alignment horizontal="left" vertical="center"/>
    </xf>
    <xf numFmtId="0" fontId="25" fillId="0" borderId="10" xfId="0" applyFont="1" applyBorder="1" applyAlignment="1" applyProtection="1">
      <alignment horizontal="left" vertical="center"/>
    </xf>
    <xf numFmtId="0" fontId="52" fillId="0" borderId="10" xfId="0" applyFont="1" applyBorder="1" applyAlignment="1" applyProtection="1">
      <alignment horizontal="center" vertical="center"/>
      <protection locked="0"/>
    </xf>
    <xf numFmtId="0" fontId="25" fillId="0" borderId="10" xfId="0" applyFont="1" applyBorder="1" applyAlignment="1" applyProtection="1">
      <alignment horizontal="right" vertical="center"/>
    </xf>
    <xf numFmtId="0" fontId="25" fillId="0" borderId="10" xfId="0" applyFont="1" applyBorder="1" applyAlignment="1" applyProtection="1">
      <alignment horizontal="center" vertical="center"/>
    </xf>
    <xf numFmtId="0" fontId="25" fillId="0" borderId="14" xfId="0" applyFont="1" applyBorder="1" applyAlignment="1" applyProtection="1">
      <alignment horizontal="center" vertical="center"/>
    </xf>
    <xf numFmtId="0" fontId="14" fillId="3" borderId="61" xfId="0" applyFont="1" applyFill="1" applyBorder="1" applyAlignment="1" applyProtection="1">
      <alignment horizontal="center" vertical="center"/>
    </xf>
    <xf numFmtId="1" fontId="28" fillId="3" borderId="10" xfId="0" applyNumberFormat="1" applyFont="1" applyFill="1" applyBorder="1" applyAlignment="1" applyProtection="1">
      <alignment horizontal="center" vertical="center" wrapText="1"/>
    </xf>
    <xf numFmtId="1" fontId="28" fillId="3" borderId="5" xfId="0" applyNumberFormat="1" applyFont="1" applyFill="1" applyBorder="1" applyAlignment="1" applyProtection="1">
      <alignment horizontal="center" vertical="center" wrapText="1"/>
    </xf>
    <xf numFmtId="0" fontId="25" fillId="16" borderId="5" xfId="0" applyFont="1" applyFill="1" applyBorder="1" applyAlignment="1" applyProtection="1">
      <alignment horizontal="center"/>
    </xf>
    <xf numFmtId="0" fontId="25" fillId="16" borderId="13" xfId="0" applyFont="1" applyFill="1" applyBorder="1" applyAlignment="1" applyProtection="1">
      <alignment horizontal="center"/>
    </xf>
    <xf numFmtId="170" fontId="52" fillId="0" borderId="19" xfId="0" applyNumberFormat="1" applyFont="1" applyBorder="1" applyAlignment="1" applyProtection="1">
      <alignment horizontal="center" vertical="center" wrapText="1"/>
      <protection locked="0"/>
    </xf>
    <xf numFmtId="170" fontId="52" fillId="0" borderId="0" xfId="0" applyNumberFormat="1" applyFont="1" applyBorder="1" applyAlignment="1" applyProtection="1">
      <alignment horizontal="center" vertical="center" wrapText="1"/>
      <protection locked="0"/>
    </xf>
    <xf numFmtId="170" fontId="52" fillId="0" borderId="0" xfId="0" applyNumberFormat="1" applyFont="1" applyBorder="1" applyAlignment="1" applyProtection="1">
      <alignment horizontal="center" vertical="center"/>
      <protection locked="0"/>
    </xf>
    <xf numFmtId="0" fontId="25" fillId="0" borderId="0" xfId="0" applyFont="1" applyBorder="1" applyAlignment="1" applyProtection="1">
      <alignment horizontal="center"/>
    </xf>
    <xf numFmtId="0" fontId="25" fillId="0" borderId="15" xfId="0" applyFont="1" applyBorder="1" applyAlignment="1" applyProtection="1">
      <alignment horizontal="center"/>
    </xf>
    <xf numFmtId="190" fontId="37" fillId="0" borderId="0" xfId="0" applyNumberFormat="1" applyFont="1" applyBorder="1" applyAlignment="1" applyProtection="1">
      <alignment horizontal="left" vertical="center"/>
    </xf>
    <xf numFmtId="190" fontId="37" fillId="0" borderId="15" xfId="0" applyNumberFormat="1" applyFont="1" applyBorder="1" applyAlignment="1" applyProtection="1">
      <alignment horizontal="left" vertical="center"/>
    </xf>
    <xf numFmtId="0" fontId="26" fillId="0" borderId="10" xfId="0" applyFont="1" applyBorder="1" applyAlignment="1" applyProtection="1">
      <alignment horizontal="center" vertical="top"/>
      <protection locked="0"/>
    </xf>
    <xf numFmtId="0" fontId="26" fillId="0" borderId="14" xfId="0" applyFont="1" applyBorder="1" applyAlignment="1" applyProtection="1">
      <alignment horizontal="center" vertical="top"/>
      <protection locked="0"/>
    </xf>
    <xf numFmtId="0" fontId="25" fillId="0" borderId="12" xfId="0" applyFont="1" applyBorder="1" applyAlignment="1" applyProtection="1">
      <alignment horizontal="center"/>
      <protection locked="0"/>
    </xf>
    <xf numFmtId="0" fontId="25" fillId="0" borderId="5" xfId="0" applyFont="1" applyBorder="1" applyAlignment="1" applyProtection="1">
      <alignment horizontal="center"/>
      <protection locked="0"/>
    </xf>
    <xf numFmtId="0" fontId="25" fillId="0" borderId="13" xfId="0" applyFont="1" applyBorder="1" applyAlignment="1" applyProtection="1">
      <alignment horizontal="center"/>
      <protection locked="0"/>
    </xf>
    <xf numFmtId="0" fontId="28" fillId="3" borderId="10" xfId="0" applyFont="1" applyFill="1" applyBorder="1" applyAlignment="1" applyProtection="1">
      <alignment horizontal="center" vertical="center" wrapText="1"/>
    </xf>
    <xf numFmtId="0" fontId="28" fillId="3" borderId="5" xfId="0" applyFont="1" applyFill="1" applyBorder="1" applyAlignment="1" applyProtection="1">
      <alignment horizontal="center" vertical="center" wrapText="1"/>
    </xf>
    <xf numFmtId="0" fontId="28" fillId="3" borderId="14" xfId="0" applyFont="1" applyFill="1" applyBorder="1" applyAlignment="1" applyProtection="1">
      <alignment horizontal="center" vertical="center" wrapText="1"/>
    </xf>
    <xf numFmtId="0" fontId="28" fillId="3" borderId="13" xfId="0" applyFont="1" applyFill="1" applyBorder="1" applyAlignment="1" applyProtection="1">
      <alignment horizontal="center" vertical="center" wrapText="1"/>
    </xf>
    <xf numFmtId="0" fontId="28" fillId="3" borderId="9" xfId="0" applyFont="1" applyFill="1" applyBorder="1" applyAlignment="1" applyProtection="1">
      <alignment horizontal="center" vertical="center" textRotation="90" wrapText="1"/>
    </xf>
    <xf numFmtId="0" fontId="28" fillId="3" borderId="12" xfId="0" applyFont="1" applyFill="1" applyBorder="1" applyAlignment="1" applyProtection="1">
      <alignment horizontal="center" vertical="center" textRotation="90" wrapText="1"/>
    </xf>
    <xf numFmtId="1" fontId="28" fillId="3" borderId="35" xfId="0" applyNumberFormat="1" applyFont="1" applyFill="1" applyBorder="1" applyAlignment="1" applyProtection="1">
      <alignment horizontal="center" vertical="center" wrapText="1"/>
    </xf>
    <xf numFmtId="1" fontId="28" fillId="3" borderId="32" xfId="0" applyNumberFormat="1" applyFont="1" applyFill="1" applyBorder="1" applyAlignment="1" applyProtection="1">
      <alignment horizontal="center" vertical="center" wrapText="1"/>
    </xf>
    <xf numFmtId="0" fontId="36" fillId="0" borderId="12" xfId="0" applyFont="1" applyBorder="1" applyAlignment="1" applyProtection="1">
      <alignment horizontal="left" vertical="center"/>
    </xf>
    <xf numFmtId="0" fontId="36" fillId="0" borderId="5" xfId="0" applyFont="1" applyBorder="1" applyAlignment="1" applyProtection="1">
      <alignment horizontal="left" vertical="center"/>
    </xf>
    <xf numFmtId="0" fontId="36" fillId="0" borderId="0" xfId="0" applyFont="1" applyBorder="1" applyAlignment="1" applyProtection="1">
      <alignment horizontal="left" vertical="center" wrapText="1"/>
    </xf>
    <xf numFmtId="0" fontId="37" fillId="0" borderId="14" xfId="0" applyFont="1" applyBorder="1" applyAlignment="1" applyProtection="1">
      <alignment horizontal="left" vertical="center"/>
    </xf>
    <xf numFmtId="0" fontId="37" fillId="0" borderId="0" xfId="0" applyFont="1" applyBorder="1" applyAlignment="1" applyProtection="1">
      <alignment horizontal="left" vertical="center"/>
    </xf>
    <xf numFmtId="0" fontId="37" fillId="0" borderId="15" xfId="0" applyFont="1" applyBorder="1" applyAlignment="1" applyProtection="1">
      <alignment horizontal="left" vertical="center"/>
    </xf>
    <xf numFmtId="0" fontId="37" fillId="0" borderId="0" xfId="0" applyFont="1" applyBorder="1" applyAlignment="1" applyProtection="1">
      <alignment horizontal="left" vertical="center" wrapText="1"/>
    </xf>
    <xf numFmtId="0" fontId="93" fillId="0" borderId="7" xfId="0" applyFont="1" applyBorder="1" applyAlignment="1" applyProtection="1">
      <alignment horizontal="center"/>
      <protection locked="0"/>
    </xf>
    <xf numFmtId="0" fontId="93" fillId="0" borderId="6" xfId="0" applyFont="1" applyBorder="1" applyAlignment="1" applyProtection="1">
      <alignment horizontal="center"/>
      <protection locked="0"/>
    </xf>
    <xf numFmtId="0" fontId="36" fillId="3" borderId="35" xfId="150" applyFont="1" applyFill="1" applyBorder="1" applyAlignment="1" applyProtection="1">
      <alignment horizontal="center" vertical="center"/>
    </xf>
    <xf numFmtId="0" fontId="37" fillId="0" borderId="19" xfId="150" applyFont="1" applyBorder="1" applyAlignment="1" applyProtection="1">
      <alignment horizontal="center"/>
      <protection locked="0"/>
    </xf>
    <xf numFmtId="0" fontId="37" fillId="0" borderId="19" xfId="150" quotePrefix="1" applyFont="1" applyBorder="1" applyAlignment="1" applyProtection="1">
      <alignment horizontal="center"/>
      <protection locked="0"/>
    </xf>
    <xf numFmtId="0" fontId="37" fillId="0" borderId="122" xfId="150" applyFont="1" applyBorder="1" applyAlignment="1" applyProtection="1">
      <alignment horizontal="center"/>
    </xf>
    <xf numFmtId="0" fontId="37" fillId="0" borderId="123" xfId="150" applyFont="1" applyBorder="1" applyAlignment="1" applyProtection="1">
      <alignment horizontal="center"/>
    </xf>
    <xf numFmtId="0" fontId="37" fillId="0" borderId="124" xfId="150" applyFont="1" applyBorder="1" applyAlignment="1" applyProtection="1">
      <alignment horizontal="center"/>
    </xf>
    <xf numFmtId="0" fontId="57" fillId="0" borderId="9" xfId="0" applyFont="1" applyFill="1" applyBorder="1" applyAlignment="1" applyProtection="1">
      <alignment horizontal="center" vertical="center" wrapText="1"/>
    </xf>
    <xf numFmtId="0" fontId="57" fillId="0" borderId="10" xfId="0" applyFont="1" applyFill="1" applyBorder="1" applyAlignment="1" applyProtection="1">
      <alignment horizontal="center" vertical="center" wrapText="1"/>
    </xf>
    <xf numFmtId="0" fontId="57" fillId="0" borderId="14" xfId="0" applyFont="1" applyFill="1" applyBorder="1" applyAlignment="1" applyProtection="1">
      <alignment horizontal="center" vertical="center" wrapText="1"/>
    </xf>
    <xf numFmtId="0" fontId="37" fillId="0" borderId="5" xfId="0" applyFont="1" applyBorder="1" applyAlignment="1" applyProtection="1">
      <alignment horizontal="left" vertical="center" wrapText="1"/>
    </xf>
    <xf numFmtId="170" fontId="53" fillId="0" borderId="0" xfId="0" applyNumberFormat="1" applyFont="1" applyBorder="1" applyAlignment="1" applyProtection="1">
      <alignment horizontal="center" vertical="center" wrapText="1"/>
    </xf>
    <xf numFmtId="170" fontId="53" fillId="0" borderId="0" xfId="0" applyNumberFormat="1" applyFont="1" applyBorder="1" applyAlignment="1" applyProtection="1">
      <alignment horizontal="center" vertical="center" wrapText="1"/>
      <protection locked="0"/>
    </xf>
    <xf numFmtId="170" fontId="53" fillId="0" borderId="0" xfId="0" applyNumberFormat="1" applyFont="1" applyBorder="1" applyAlignment="1" applyProtection="1">
      <alignment horizontal="center" vertical="center"/>
    </xf>
    <xf numFmtId="171" fontId="54" fillId="0" borderId="5" xfId="0" applyNumberFormat="1" applyFont="1" applyBorder="1" applyAlignment="1" applyProtection="1">
      <alignment horizontal="center" vertical="center" wrapText="1"/>
    </xf>
    <xf numFmtId="171" fontId="54" fillId="0" borderId="13" xfId="0" applyNumberFormat="1" applyFont="1" applyBorder="1" applyAlignment="1" applyProtection="1">
      <alignment horizontal="center" vertical="center" wrapText="1"/>
    </xf>
    <xf numFmtId="0" fontId="93" fillId="0" borderId="147" xfId="0" applyFont="1" applyBorder="1" applyAlignment="1" applyProtection="1">
      <alignment horizontal="center"/>
    </xf>
    <xf numFmtId="0" fontId="93" fillId="0" borderId="148" xfId="0" applyFont="1" applyBorder="1" applyAlignment="1" applyProtection="1">
      <alignment horizontal="center"/>
    </xf>
    <xf numFmtId="171" fontId="53" fillId="0" borderId="0" xfId="0" applyNumberFormat="1" applyFont="1" applyBorder="1" applyAlignment="1" applyProtection="1">
      <alignment horizontal="center" vertical="center" wrapText="1"/>
    </xf>
    <xf numFmtId="171" fontId="53" fillId="0" borderId="15" xfId="0" applyNumberFormat="1" applyFont="1" applyBorder="1" applyAlignment="1" applyProtection="1">
      <alignment horizontal="center" vertical="center" wrapText="1"/>
    </xf>
    <xf numFmtId="0" fontId="35" fillId="3" borderId="5" xfId="0" applyFont="1" applyFill="1" applyBorder="1" applyAlignment="1" applyProtection="1">
      <alignment horizontal="center" vertical="top"/>
    </xf>
    <xf numFmtId="170" fontId="53" fillId="4" borderId="0" xfId="0" applyNumberFormat="1" applyFont="1" applyFill="1" applyBorder="1" applyAlignment="1" applyProtection="1">
      <alignment horizontal="center" vertical="center" wrapText="1"/>
      <protection locked="0"/>
    </xf>
    <xf numFmtId="170" fontId="54" fillId="0" borderId="5" xfId="0" applyNumberFormat="1" applyFont="1" applyBorder="1" applyAlignment="1" applyProtection="1">
      <alignment horizontal="center" vertical="center"/>
    </xf>
    <xf numFmtId="0" fontId="35" fillId="3" borderId="9" xfId="0" applyFont="1" applyFill="1" applyBorder="1" applyAlignment="1" applyProtection="1">
      <alignment horizontal="center" vertical="center"/>
    </xf>
    <xf numFmtId="0" fontId="35" fillId="3" borderId="10" xfId="0" applyFont="1" applyFill="1" applyBorder="1" applyAlignment="1" applyProtection="1">
      <alignment horizontal="center" vertical="center"/>
    </xf>
    <xf numFmtId="0" fontId="35" fillId="3" borderId="12" xfId="0" applyFont="1" applyFill="1" applyBorder="1" applyAlignment="1" applyProtection="1">
      <alignment horizontal="center" vertical="center"/>
    </xf>
    <xf numFmtId="0" fontId="35" fillId="3" borderId="5" xfId="0" applyFont="1" applyFill="1" applyBorder="1" applyAlignment="1" applyProtection="1">
      <alignment horizontal="center" vertical="center"/>
    </xf>
    <xf numFmtId="0" fontId="28" fillId="3" borderId="0" xfId="0" applyFont="1" applyFill="1" applyBorder="1" applyAlignment="1" applyProtection="1">
      <alignment horizontal="center" vertical="center" wrapText="1"/>
    </xf>
    <xf numFmtId="0" fontId="60" fillId="3" borderId="15" xfId="0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0" fillId="14" borderId="0" xfId="0" applyFont="1" applyFill="1" applyBorder="1" applyAlignment="1" applyProtection="1">
      <alignment horizontal="center" vertical="center"/>
    </xf>
    <xf numFmtId="0" fontId="36" fillId="3" borderId="18" xfId="150" applyFont="1" applyFill="1" applyBorder="1" applyAlignment="1" applyProtection="1">
      <alignment horizontal="center" vertical="center"/>
    </xf>
    <xf numFmtId="0" fontId="36" fillId="3" borderId="26" xfId="150" applyFont="1" applyFill="1" applyBorder="1" applyAlignment="1" applyProtection="1">
      <alignment horizontal="center" vertical="center"/>
    </xf>
    <xf numFmtId="0" fontId="36" fillId="3" borderId="22" xfId="150" applyFont="1" applyFill="1" applyBorder="1" applyAlignment="1" applyProtection="1">
      <alignment horizontal="center" vertical="center"/>
    </xf>
    <xf numFmtId="0" fontId="43" fillId="0" borderId="63" xfId="149" applyFont="1" applyBorder="1" applyAlignment="1" applyProtection="1">
      <alignment horizontal="center" wrapText="1"/>
    </xf>
    <xf numFmtId="0" fontId="65" fillId="4" borderId="10" xfId="0" applyFont="1" applyFill="1" applyBorder="1" applyAlignment="1" applyProtection="1">
      <alignment horizontal="center" vertical="center"/>
    </xf>
    <xf numFmtId="0" fontId="35" fillId="4" borderId="56" xfId="0" applyFont="1" applyFill="1" applyBorder="1" applyAlignment="1" applyProtection="1">
      <alignment horizontal="center" vertical="top"/>
    </xf>
    <xf numFmtId="0" fontId="43" fillId="0" borderId="11" xfId="149" applyFont="1" applyBorder="1" applyAlignment="1" applyProtection="1">
      <alignment horizontal="center" wrapText="1"/>
    </xf>
    <xf numFmtId="0" fontId="43" fillId="0" borderId="0" xfId="149" applyFont="1" applyBorder="1" applyAlignment="1" applyProtection="1">
      <alignment horizontal="center" wrapText="1"/>
    </xf>
    <xf numFmtId="0" fontId="43" fillId="0" borderId="15" xfId="149" applyFont="1" applyBorder="1" applyAlignment="1" applyProtection="1">
      <alignment horizontal="center" wrapText="1"/>
    </xf>
    <xf numFmtId="0" fontId="0" fillId="14" borderId="0" xfId="0" applyFont="1" applyFill="1" applyBorder="1" applyAlignment="1" applyProtection="1">
      <alignment horizontal="center" vertical="center" wrapText="1"/>
    </xf>
    <xf numFmtId="0" fontId="36" fillId="3" borderId="27" xfId="150" applyFont="1" applyFill="1" applyBorder="1" applyAlignment="1" applyProtection="1">
      <alignment horizontal="center" vertical="center"/>
    </xf>
    <xf numFmtId="0" fontId="37" fillId="0" borderId="28" xfId="150" applyFont="1" applyBorder="1" applyAlignment="1" applyProtection="1">
      <alignment horizontal="center"/>
      <protection locked="0"/>
    </xf>
    <xf numFmtId="0" fontId="37" fillId="0" borderId="28" xfId="150" quotePrefix="1" applyFont="1" applyBorder="1" applyAlignment="1" applyProtection="1">
      <alignment horizontal="center"/>
      <protection locked="0"/>
    </xf>
    <xf numFmtId="0" fontId="37" fillId="0" borderId="152" xfId="150" applyFont="1" applyBorder="1" applyAlignment="1" applyProtection="1">
      <alignment horizontal="center"/>
    </xf>
    <xf numFmtId="0" fontId="93" fillId="0" borderId="9" xfId="0" applyFont="1" applyBorder="1" applyAlignment="1" applyProtection="1">
      <alignment horizontal="center" vertical="center" wrapText="1"/>
    </xf>
    <xf numFmtId="0" fontId="93" fillId="0" borderId="12" xfId="0" applyFont="1" applyBorder="1" applyAlignment="1" applyProtection="1">
      <alignment horizontal="center" vertical="center" wrapText="1"/>
    </xf>
    <xf numFmtId="0" fontId="35" fillId="4" borderId="9" xfId="0" applyFont="1" applyFill="1" applyBorder="1" applyAlignment="1" applyProtection="1">
      <alignment horizontal="center" vertical="center" textRotation="90" wrapText="1"/>
    </xf>
    <xf numFmtId="0" fontId="35" fillId="4" borderId="11" xfId="0" applyFont="1" applyFill="1" applyBorder="1" applyAlignment="1" applyProtection="1">
      <alignment horizontal="center" vertical="center" textRotation="90" wrapText="1"/>
    </xf>
    <xf numFmtId="0" fontId="35" fillId="4" borderId="12" xfId="0" applyFont="1" applyFill="1" applyBorder="1" applyAlignment="1" applyProtection="1">
      <alignment horizontal="center" vertical="center" textRotation="90" wrapText="1"/>
    </xf>
    <xf numFmtId="0" fontId="35" fillId="4" borderId="58" xfId="0" applyFont="1" applyFill="1" applyBorder="1" applyAlignment="1" applyProtection="1">
      <alignment horizontal="center" vertical="center" wrapText="1"/>
    </xf>
    <xf numFmtId="0" fontId="35" fillId="4" borderId="53" xfId="0" applyFont="1" applyFill="1" applyBorder="1" applyAlignment="1" applyProtection="1">
      <alignment horizontal="center" vertical="center" wrapText="1"/>
    </xf>
    <xf numFmtId="0" fontId="35" fillId="4" borderId="57" xfId="0" applyFont="1" applyFill="1" applyBorder="1" applyAlignment="1" applyProtection="1">
      <alignment horizontal="center" vertical="center" wrapText="1"/>
    </xf>
    <xf numFmtId="0" fontId="35" fillId="4" borderId="54" xfId="0" applyFont="1" applyFill="1" applyBorder="1" applyAlignment="1" applyProtection="1">
      <alignment horizontal="center" vertical="center" wrapText="1"/>
    </xf>
    <xf numFmtId="0" fontId="35" fillId="4" borderId="59" xfId="0" applyFont="1" applyFill="1" applyBorder="1" applyAlignment="1" applyProtection="1">
      <alignment horizontal="center" vertical="center" wrapText="1"/>
    </xf>
    <xf numFmtId="0" fontId="35" fillId="4" borderId="55" xfId="0" applyFont="1" applyFill="1" applyBorder="1" applyAlignment="1" applyProtection="1">
      <alignment horizontal="center" vertical="center" wrapText="1"/>
    </xf>
    <xf numFmtId="0" fontId="25" fillId="0" borderId="11" xfId="0" applyFont="1" applyBorder="1" applyAlignment="1" applyProtection="1">
      <alignment horizontal="center"/>
      <protection locked="0"/>
    </xf>
    <xf numFmtId="0" fontId="25" fillId="0" borderId="0" xfId="0" applyFont="1" applyBorder="1" applyAlignment="1" applyProtection="1">
      <alignment horizontal="center"/>
      <protection locked="0"/>
    </xf>
    <xf numFmtId="0" fontId="25" fillId="0" borderId="15" xfId="0" applyFont="1" applyBorder="1" applyAlignment="1" applyProtection="1">
      <alignment horizontal="center"/>
      <protection locked="0"/>
    </xf>
    <xf numFmtId="0" fontId="35" fillId="4" borderId="5" xfId="0" applyFont="1" applyFill="1" applyBorder="1" applyAlignment="1" applyProtection="1">
      <alignment horizontal="center" vertical="top"/>
    </xf>
    <xf numFmtId="0" fontId="35" fillId="4" borderId="13" xfId="0" applyFont="1" applyFill="1" applyBorder="1" applyAlignment="1" applyProtection="1">
      <alignment horizontal="center" vertical="top"/>
    </xf>
    <xf numFmtId="0" fontId="26" fillId="0" borderId="11" xfId="0" applyFont="1" applyBorder="1" applyAlignment="1" applyProtection="1">
      <alignment horizontal="left"/>
    </xf>
    <xf numFmtId="0" fontId="26" fillId="0" borderId="0" xfId="0" applyFont="1" applyBorder="1" applyAlignment="1" applyProtection="1">
      <alignment horizontal="left"/>
    </xf>
    <xf numFmtId="0" fontId="26" fillId="0" borderId="15" xfId="0" applyFont="1" applyBorder="1" applyAlignment="1" applyProtection="1">
      <alignment horizontal="left"/>
    </xf>
    <xf numFmtId="0" fontId="35" fillId="4" borderId="117" xfId="0" applyFont="1" applyFill="1" applyBorder="1" applyAlignment="1" applyProtection="1">
      <alignment horizontal="center" vertical="top"/>
    </xf>
    <xf numFmtId="0" fontId="35" fillId="4" borderId="118" xfId="0" applyFont="1" applyFill="1" applyBorder="1" applyAlignment="1" applyProtection="1">
      <alignment horizontal="center" vertical="top"/>
    </xf>
    <xf numFmtId="0" fontId="35" fillId="4" borderId="119" xfId="0" applyFont="1" applyFill="1" applyBorder="1" applyAlignment="1" applyProtection="1">
      <alignment horizontal="center" vertical="top"/>
    </xf>
    <xf numFmtId="0" fontId="35" fillId="4" borderId="120" xfId="0" applyFont="1" applyFill="1" applyBorder="1" applyAlignment="1" applyProtection="1">
      <alignment horizontal="center" vertical="center" textRotation="90" wrapText="1"/>
    </xf>
    <xf numFmtId="0" fontId="35" fillId="4" borderId="60" xfId="0" applyFont="1" applyFill="1" applyBorder="1" applyAlignment="1" applyProtection="1">
      <alignment horizontal="center" vertical="center" textRotation="90" wrapText="1"/>
    </xf>
    <xf numFmtId="0" fontId="35" fillId="4" borderId="121" xfId="0" applyFont="1" applyFill="1" applyBorder="1" applyAlignment="1" applyProtection="1">
      <alignment horizontal="center" vertical="center" textRotation="90" wrapText="1"/>
    </xf>
    <xf numFmtId="171" fontId="53" fillId="17" borderId="0" xfId="0" applyNumberFormat="1" applyFont="1" applyFill="1" applyBorder="1" applyAlignment="1" applyProtection="1">
      <alignment horizontal="center" vertical="center"/>
    </xf>
    <xf numFmtId="171" fontId="53" fillId="17" borderId="15" xfId="0" applyNumberFormat="1" applyFont="1" applyFill="1" applyBorder="1" applyAlignment="1" applyProtection="1">
      <alignment horizontal="center" vertical="center"/>
    </xf>
    <xf numFmtId="171" fontId="53" fillId="17" borderId="5" xfId="0" applyNumberFormat="1" applyFont="1" applyFill="1" applyBorder="1" applyAlignment="1" applyProtection="1">
      <alignment horizontal="center" vertical="center"/>
    </xf>
    <xf numFmtId="171" fontId="53" fillId="17" borderId="13" xfId="0" applyNumberFormat="1" applyFont="1" applyFill="1" applyBorder="1" applyAlignment="1" applyProtection="1">
      <alignment horizontal="center" vertical="center"/>
    </xf>
    <xf numFmtId="0" fontId="35" fillId="4" borderId="9" xfId="0" applyFont="1" applyFill="1" applyBorder="1" applyAlignment="1" applyProtection="1">
      <alignment horizontal="center" vertical="center" wrapText="1"/>
    </xf>
    <xf numFmtId="0" fontId="35" fillId="4" borderId="10" xfId="0" applyFont="1" applyFill="1" applyBorder="1" applyAlignment="1" applyProtection="1">
      <alignment horizontal="center" vertical="center" wrapText="1"/>
    </xf>
    <xf numFmtId="0" fontId="35" fillId="4" borderId="12" xfId="0" applyFont="1" applyFill="1" applyBorder="1" applyAlignment="1" applyProtection="1">
      <alignment horizontal="center" vertical="center" wrapText="1"/>
    </xf>
    <xf numFmtId="0" fontId="35" fillId="4" borderId="5" xfId="0" applyFont="1" applyFill="1" applyBorder="1" applyAlignment="1" applyProtection="1">
      <alignment horizontal="center" vertical="center" wrapText="1"/>
    </xf>
    <xf numFmtId="0" fontId="35" fillId="4" borderId="10" xfId="0" applyFont="1" applyFill="1" applyBorder="1" applyAlignment="1" applyProtection="1">
      <alignment horizontal="center" vertical="top"/>
    </xf>
    <xf numFmtId="0" fontId="35" fillId="4" borderId="11" xfId="0" applyFont="1" applyFill="1" applyBorder="1" applyAlignment="1" applyProtection="1">
      <alignment horizontal="center" vertical="center" wrapText="1"/>
    </xf>
    <xf numFmtId="0" fontId="35" fillId="4" borderId="0" xfId="0" applyFont="1" applyFill="1" applyBorder="1" applyAlignment="1" applyProtection="1">
      <alignment horizontal="center" vertical="center" wrapText="1"/>
    </xf>
    <xf numFmtId="170" fontId="53" fillId="0" borderId="10" xfId="0" applyNumberFormat="1" applyFont="1" applyBorder="1" applyAlignment="1" applyProtection="1">
      <alignment horizontal="center" vertical="center" wrapText="1"/>
    </xf>
    <xf numFmtId="170" fontId="53" fillId="0" borderId="10" xfId="0" applyNumberFormat="1" applyFont="1" applyBorder="1" applyAlignment="1" applyProtection="1">
      <alignment horizontal="center" vertical="center" wrapText="1"/>
      <protection locked="0"/>
    </xf>
    <xf numFmtId="170" fontId="53" fillId="0" borderId="10" xfId="0" applyNumberFormat="1" applyFont="1" applyBorder="1" applyAlignment="1" applyProtection="1">
      <alignment horizontal="center" vertical="center"/>
    </xf>
    <xf numFmtId="171" fontId="53" fillId="0" borderId="10" xfId="0" applyNumberFormat="1" applyFont="1" applyBorder="1" applyAlignment="1" applyProtection="1">
      <alignment horizontal="center" vertical="center" wrapText="1"/>
    </xf>
    <xf numFmtId="171" fontId="53" fillId="0" borderId="14" xfId="0" applyNumberFormat="1" applyFont="1" applyBorder="1" applyAlignment="1" applyProtection="1">
      <alignment horizontal="center" vertical="center" wrapText="1"/>
    </xf>
    <xf numFmtId="0" fontId="37" fillId="0" borderId="0" xfId="0" applyFont="1" applyBorder="1" applyAlignment="1" applyProtection="1">
      <alignment vertical="center" wrapText="1"/>
    </xf>
    <xf numFmtId="0" fontId="28" fillId="3" borderId="8" xfId="0" applyFont="1" applyFill="1" applyBorder="1" applyAlignment="1" applyProtection="1">
      <alignment horizontal="center" vertical="center" wrapText="1"/>
    </xf>
    <xf numFmtId="0" fontId="28" fillId="3" borderId="6" xfId="0" applyFont="1" applyFill="1" applyBorder="1" applyAlignment="1" applyProtection="1">
      <alignment horizontal="center" vertical="center" wrapText="1"/>
    </xf>
    <xf numFmtId="0" fontId="37" fillId="0" borderId="0" xfId="0" applyFont="1" applyBorder="1" applyAlignment="1" applyProtection="1">
      <alignment vertical="center"/>
    </xf>
    <xf numFmtId="170" fontId="28" fillId="3" borderId="8" xfId="0" applyNumberFormat="1" applyFont="1" applyFill="1" applyBorder="1" applyAlignment="1" applyProtection="1">
      <alignment horizontal="center" vertical="center" wrapText="1"/>
    </xf>
    <xf numFmtId="0" fontId="37" fillId="0" borderId="10" xfId="0" applyFont="1" applyBorder="1" applyAlignment="1" applyProtection="1">
      <alignment vertical="center" wrapText="1"/>
    </xf>
    <xf numFmtId="0" fontId="28" fillId="0" borderId="0" xfId="0" applyFont="1" applyBorder="1" applyAlignment="1">
      <alignment horizontal="center" vertical="center" wrapText="1"/>
    </xf>
    <xf numFmtId="0" fontId="60" fillId="0" borderId="0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 wrapText="1"/>
    </xf>
    <xf numFmtId="0" fontId="35" fillId="0" borderId="132" xfId="0" applyFont="1" applyBorder="1" applyAlignment="1">
      <alignment horizontal="center" vertical="center"/>
    </xf>
    <xf numFmtId="0" fontId="35" fillId="0" borderId="125" xfId="0" applyFont="1" applyBorder="1" applyAlignment="1">
      <alignment horizontal="center" vertical="center"/>
    </xf>
    <xf numFmtId="0" fontId="35" fillId="0" borderId="133" xfId="0" applyFont="1" applyBorder="1" applyAlignment="1">
      <alignment horizontal="center" vertical="center"/>
    </xf>
    <xf numFmtId="0" fontId="93" fillId="0" borderId="153" xfId="0" applyFont="1" applyBorder="1" applyAlignment="1" applyProtection="1">
      <alignment horizontal="center" wrapText="1"/>
      <protection locked="0"/>
    </xf>
    <xf numFmtId="0" fontId="93" fillId="0" borderId="154" xfId="0" applyFont="1" applyBorder="1" applyAlignment="1" applyProtection="1">
      <alignment horizontal="center" wrapText="1"/>
      <protection locked="0"/>
    </xf>
    <xf numFmtId="0" fontId="25" fillId="0" borderId="147" xfId="0" applyFont="1" applyBorder="1" applyAlignment="1" applyProtection="1">
      <alignment horizontal="center" vertical="center" wrapText="1"/>
    </xf>
    <xf numFmtId="0" fontId="25" fillId="0" borderId="136" xfId="0" applyFont="1" applyBorder="1" applyAlignment="1" applyProtection="1">
      <alignment horizontal="center" vertical="center" wrapText="1"/>
    </xf>
    <xf numFmtId="0" fontId="25" fillId="0" borderId="137" xfId="0" applyFont="1" applyBorder="1" applyAlignment="1" applyProtection="1">
      <alignment horizontal="center" vertical="center" wrapText="1"/>
    </xf>
    <xf numFmtId="0" fontId="55" fillId="0" borderId="147" xfId="0" applyFont="1" applyBorder="1" applyAlignment="1" applyProtection="1">
      <alignment horizontal="center" vertical="center" wrapText="1"/>
    </xf>
    <xf numFmtId="0" fontId="55" fillId="0" borderId="136" xfId="0" applyFont="1" applyBorder="1" applyAlignment="1" applyProtection="1">
      <alignment horizontal="center" vertical="center" wrapText="1"/>
    </xf>
    <xf numFmtId="0" fontId="55" fillId="0" borderId="134" xfId="0" applyFont="1" applyBorder="1" applyAlignment="1" applyProtection="1">
      <alignment horizontal="center" vertical="center" wrapText="1"/>
    </xf>
    <xf numFmtId="0" fontId="55" fillId="0" borderId="148" xfId="0" applyFont="1" applyBorder="1" applyAlignment="1" applyProtection="1">
      <alignment horizontal="center" vertical="center" wrapText="1"/>
    </xf>
    <xf numFmtId="0" fontId="55" fillId="0" borderId="137" xfId="0" applyFont="1" applyBorder="1" applyAlignment="1" applyProtection="1">
      <alignment horizontal="center" vertical="center" wrapText="1"/>
    </xf>
    <xf numFmtId="171" fontId="54" fillId="17" borderId="51" xfId="0" applyNumberFormat="1" applyFont="1" applyFill="1" applyBorder="1" applyAlignment="1" applyProtection="1">
      <alignment horizontal="center" vertical="center" wrapText="1"/>
    </xf>
    <xf numFmtId="171" fontId="54" fillId="17" borderId="12" xfId="0" applyNumberFormat="1" applyFont="1" applyFill="1" applyBorder="1" applyAlignment="1" applyProtection="1">
      <alignment horizontal="center" vertical="center" wrapText="1"/>
    </xf>
    <xf numFmtId="0" fontId="37" fillId="0" borderId="10" xfId="0" applyFont="1" applyBorder="1" applyAlignment="1" applyProtection="1">
      <alignment vertical="center"/>
    </xf>
    <xf numFmtId="0" fontId="37" fillId="0" borderId="5" xfId="82" applyFont="1" applyBorder="1" applyAlignment="1" applyProtection="1">
      <alignment horizontal="center" vertical="center" wrapText="1"/>
      <protection locked="0"/>
    </xf>
    <xf numFmtId="0" fontId="37" fillId="0" borderId="13" xfId="82" applyFont="1" applyBorder="1" applyAlignment="1" applyProtection="1">
      <alignment horizontal="center" vertical="center" wrapText="1"/>
      <protection locked="0"/>
    </xf>
    <xf numFmtId="0" fontId="93" fillId="0" borderId="132" xfId="0" applyFont="1" applyBorder="1" applyAlignment="1" applyProtection="1">
      <alignment horizontal="center" vertical="center"/>
      <protection locked="0"/>
    </xf>
    <xf numFmtId="0" fontId="93" fillId="0" borderId="133" xfId="0" applyFont="1" applyBorder="1" applyAlignment="1" applyProtection="1">
      <alignment horizontal="center" vertical="center"/>
      <protection locked="0"/>
    </xf>
    <xf numFmtId="0" fontId="26" fillId="0" borderId="7" xfId="0" applyFont="1" applyBorder="1" applyAlignment="1" applyProtection="1">
      <alignment horizontal="left" vertical="center" wrapText="1"/>
      <protection locked="0"/>
    </xf>
    <xf numFmtId="0" fontId="26" fillId="0" borderId="6" xfId="0" applyFont="1" applyBorder="1" applyAlignment="1" applyProtection="1">
      <alignment horizontal="left" vertical="center" wrapText="1"/>
      <protection locked="0"/>
    </xf>
    <xf numFmtId="0" fontId="25" fillId="0" borderId="7" xfId="0" applyFont="1" applyBorder="1" applyAlignment="1" applyProtection="1">
      <alignment horizontal="center" vertical="center"/>
      <protection locked="0"/>
    </xf>
    <xf numFmtId="0" fontId="25" fillId="0" borderId="6" xfId="0" applyFont="1" applyBorder="1" applyAlignment="1" applyProtection="1">
      <alignment horizontal="center" vertical="center"/>
      <protection locked="0"/>
    </xf>
    <xf numFmtId="0" fontId="12" fillId="0" borderId="9" xfId="89" applyFont="1" applyBorder="1" applyAlignment="1" applyProtection="1">
      <alignment horizontal="center" vertical="center"/>
      <protection locked="0"/>
    </xf>
    <xf numFmtId="0" fontId="12" fillId="0" borderId="10" xfId="89" applyFont="1" applyBorder="1" applyAlignment="1" applyProtection="1">
      <alignment horizontal="center" vertical="center"/>
      <protection locked="0"/>
    </xf>
    <xf numFmtId="0" fontId="12" fillId="0" borderId="14" xfId="89" applyFont="1" applyBorder="1" applyAlignment="1" applyProtection="1">
      <alignment horizontal="center" vertical="center"/>
      <protection locked="0"/>
    </xf>
    <xf numFmtId="0" fontId="46" fillId="0" borderId="0" xfId="0" applyFont="1" applyFill="1" applyBorder="1" applyAlignment="1" applyProtection="1">
      <alignment horizontal="center" vertical="center"/>
      <protection locked="0"/>
    </xf>
    <xf numFmtId="0" fontId="46" fillId="0" borderId="15" xfId="0" applyFont="1" applyFill="1" applyBorder="1" applyAlignment="1" applyProtection="1">
      <alignment horizontal="center" vertical="center"/>
      <protection locked="0"/>
    </xf>
    <xf numFmtId="0" fontId="13" fillId="0" borderId="11" xfId="0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horizontal="left" vertical="center"/>
    </xf>
    <xf numFmtId="0" fontId="13" fillId="0" borderId="10" xfId="0" applyFont="1" applyFill="1" applyBorder="1" applyAlignment="1" applyProtection="1">
      <alignment horizontal="left" vertical="center"/>
    </xf>
    <xf numFmtId="0" fontId="13" fillId="0" borderId="14" xfId="0" applyFont="1" applyFill="1" applyBorder="1" applyAlignment="1" applyProtection="1">
      <alignment horizontal="left" vertical="center"/>
    </xf>
    <xf numFmtId="0" fontId="26" fillId="0" borderId="2" xfId="0" applyFont="1" applyBorder="1" applyAlignment="1" applyProtection="1">
      <alignment horizontal="left" vertical="center"/>
      <protection locked="0"/>
    </xf>
    <xf numFmtId="0" fontId="25" fillId="0" borderId="2" xfId="0" applyFont="1" applyBorder="1" applyAlignment="1" applyProtection="1">
      <alignment horizontal="center" vertical="center"/>
      <protection locked="0"/>
    </xf>
    <xf numFmtId="1" fontId="76" fillId="0" borderId="19" xfId="0" applyNumberFormat="1" applyFont="1" applyFill="1" applyBorder="1" applyAlignment="1" applyProtection="1">
      <alignment horizontal="left" vertical="center" wrapText="1"/>
    </xf>
    <xf numFmtId="1" fontId="76" fillId="0" borderId="0" xfId="0" applyNumberFormat="1" applyFont="1" applyFill="1" applyBorder="1" applyAlignment="1" applyProtection="1">
      <alignment horizontal="left" vertical="center" wrapText="1"/>
    </xf>
    <xf numFmtId="0" fontId="75" fillId="0" borderId="19" xfId="0" applyFont="1" applyFill="1" applyBorder="1" applyAlignment="1" applyProtection="1">
      <alignment horizontal="left" vertical="center"/>
    </xf>
    <xf numFmtId="0" fontId="75" fillId="0" borderId="0" xfId="0" applyFont="1" applyFill="1" applyBorder="1" applyAlignment="1" applyProtection="1">
      <alignment horizontal="left" vertical="center"/>
    </xf>
    <xf numFmtId="0" fontId="46" fillId="4" borderId="0" xfId="0" applyFont="1" applyFill="1" applyBorder="1" applyAlignment="1" applyProtection="1">
      <alignment horizontal="center" vertical="center" wrapText="1"/>
      <protection locked="0"/>
    </xf>
    <xf numFmtId="0" fontId="46" fillId="4" borderId="15" xfId="0" applyFont="1" applyFill="1" applyBorder="1" applyAlignment="1" applyProtection="1">
      <alignment horizontal="center" vertical="center" wrapText="1"/>
      <protection locked="0"/>
    </xf>
    <xf numFmtId="0" fontId="13" fillId="0" borderId="15" xfId="0" applyFont="1" applyFill="1" applyBorder="1" applyAlignment="1" applyProtection="1">
      <alignment horizontal="left" vertical="center"/>
    </xf>
    <xf numFmtId="0" fontId="14" fillId="3" borderId="7" xfId="195" applyFont="1" applyFill="1" applyBorder="1" applyAlignment="1" applyProtection="1">
      <alignment horizontal="center" vertical="center" wrapText="1"/>
    </xf>
    <xf numFmtId="0" fontId="14" fillId="3" borderId="8" xfId="195" applyFont="1" applyFill="1" applyBorder="1" applyAlignment="1" applyProtection="1">
      <alignment horizontal="center" vertical="center" wrapText="1"/>
    </xf>
    <xf numFmtId="0" fontId="14" fillId="3" borderId="6" xfId="195" applyFont="1" applyFill="1" applyBorder="1" applyAlignment="1" applyProtection="1">
      <alignment horizontal="center" vertical="center" wrapText="1"/>
    </xf>
    <xf numFmtId="0" fontId="25" fillId="0" borderId="160" xfId="0" applyFont="1" applyBorder="1" applyAlignment="1" applyProtection="1">
      <alignment horizontal="center" wrapText="1"/>
      <protection locked="0"/>
    </xf>
    <xf numFmtId="0" fontId="25" fillId="0" borderId="159" xfId="0" applyFont="1" applyBorder="1" applyAlignment="1" applyProtection="1">
      <alignment horizontal="center" wrapText="1"/>
      <protection locked="0"/>
    </xf>
    <xf numFmtId="0" fontId="13" fillId="4" borderId="11" xfId="0" applyFont="1" applyFill="1" applyBorder="1" applyAlignment="1" applyProtection="1">
      <alignment horizontal="left" vertical="center"/>
    </xf>
    <xf numFmtId="0" fontId="13" fillId="4" borderId="0" xfId="0" applyFont="1" applyFill="1" applyBorder="1" applyAlignment="1" applyProtection="1">
      <alignment horizontal="left" vertical="center"/>
    </xf>
    <xf numFmtId="0" fontId="13" fillId="4" borderId="0" xfId="0" applyFont="1" applyFill="1" applyBorder="1" applyAlignment="1" applyProtection="1">
      <alignment horizontal="center" vertical="center"/>
    </xf>
    <xf numFmtId="1" fontId="13" fillId="4" borderId="0" xfId="0" applyNumberFormat="1" applyFont="1" applyFill="1" applyBorder="1" applyAlignment="1" applyProtection="1">
      <alignment horizontal="center" vertical="center" wrapText="1"/>
    </xf>
    <xf numFmtId="1" fontId="13" fillId="4" borderId="15" xfId="0" applyNumberFormat="1" applyFont="1" applyFill="1" applyBorder="1" applyAlignment="1" applyProtection="1">
      <alignment horizontal="center" vertical="center" wrapText="1"/>
    </xf>
    <xf numFmtId="0" fontId="62" fillId="4" borderId="62" xfId="0" applyFont="1" applyFill="1" applyBorder="1" applyAlignment="1" applyProtection="1">
      <alignment horizontal="left" vertical="center"/>
    </xf>
    <xf numFmtId="0" fontId="62" fillId="4" borderId="20" xfId="0" applyFont="1" applyFill="1" applyBorder="1" applyAlignment="1" applyProtection="1">
      <alignment horizontal="left" vertical="center"/>
    </xf>
    <xf numFmtId="0" fontId="13" fillId="4" borderId="20" xfId="0" applyFont="1" applyFill="1" applyBorder="1" applyAlignment="1" applyProtection="1">
      <alignment horizontal="center" vertical="center"/>
    </xf>
    <xf numFmtId="170" fontId="13" fillId="4" borderId="20" xfId="0" applyNumberFormat="1" applyFont="1" applyFill="1" applyBorder="1" applyAlignment="1" applyProtection="1">
      <alignment horizontal="center" vertical="center" wrapText="1"/>
    </xf>
    <xf numFmtId="170" fontId="13" fillId="4" borderId="21" xfId="0" applyNumberFormat="1" applyFont="1" applyFill="1" applyBorder="1" applyAlignment="1" applyProtection="1">
      <alignment horizontal="center" vertical="center" wrapText="1"/>
    </xf>
    <xf numFmtId="0" fontId="31" fillId="14" borderId="10" xfId="0" applyFont="1" applyFill="1" applyBorder="1" applyAlignment="1" applyProtection="1">
      <alignment horizontal="center" vertical="center" wrapText="1"/>
    </xf>
    <xf numFmtId="0" fontId="31" fillId="14" borderId="14" xfId="0" applyFont="1" applyFill="1" applyBorder="1" applyAlignment="1" applyProtection="1">
      <alignment horizontal="center" vertical="center" wrapText="1"/>
    </xf>
    <xf numFmtId="0" fontId="31" fillId="14" borderId="0" xfId="0" applyFont="1" applyFill="1" applyBorder="1" applyAlignment="1" applyProtection="1">
      <alignment horizontal="center" vertical="center" wrapText="1"/>
    </xf>
    <xf numFmtId="0" fontId="31" fillId="14" borderId="15" xfId="0" applyFont="1" applyFill="1" applyBorder="1" applyAlignment="1" applyProtection="1">
      <alignment horizontal="center" vertical="center" wrapText="1"/>
    </xf>
    <xf numFmtId="0" fontId="13" fillId="4" borderId="11" xfId="0" applyFont="1" applyFill="1" applyBorder="1" applyAlignment="1" applyProtection="1">
      <alignment horizontal="left" vertical="center" wrapText="1"/>
    </xf>
    <xf numFmtId="0" fontId="13" fillId="4" borderId="0" xfId="0" applyFont="1" applyFill="1" applyBorder="1" applyAlignment="1" applyProtection="1">
      <alignment horizontal="left" vertical="center" wrapText="1"/>
    </xf>
    <xf numFmtId="0" fontId="62" fillId="4" borderId="0" xfId="0" applyFont="1" applyFill="1" applyBorder="1" applyAlignment="1" applyProtection="1">
      <alignment horizontal="center" vertical="center"/>
    </xf>
    <xf numFmtId="173" fontId="13" fillId="4" borderId="0" xfId="0" applyNumberFormat="1" applyFont="1" applyFill="1" applyBorder="1" applyAlignment="1" applyProtection="1">
      <alignment horizontal="center" vertical="center" wrapText="1"/>
    </xf>
    <xf numFmtId="173" fontId="13" fillId="4" borderId="15" xfId="0" applyNumberFormat="1" applyFont="1" applyFill="1" applyBorder="1" applyAlignment="1" applyProtection="1">
      <alignment horizontal="center" vertical="center" wrapText="1"/>
    </xf>
    <xf numFmtId="10" fontId="14" fillId="4" borderId="0" xfId="0" applyNumberFormat="1" applyFont="1" applyFill="1" applyBorder="1" applyAlignment="1" applyProtection="1">
      <alignment horizontal="center" vertical="center"/>
    </xf>
    <xf numFmtId="10" fontId="14" fillId="4" borderId="15" xfId="0" applyNumberFormat="1" applyFont="1" applyFill="1" applyBorder="1" applyAlignment="1" applyProtection="1">
      <alignment horizontal="center" vertical="center"/>
    </xf>
    <xf numFmtId="0" fontId="62" fillId="4" borderId="11" xfId="0" applyFont="1" applyFill="1" applyBorder="1" applyAlignment="1" applyProtection="1">
      <alignment horizontal="left" vertical="center"/>
    </xf>
    <xf numFmtId="0" fontId="62" fillId="4" borderId="0" xfId="0" applyFont="1" applyFill="1" applyBorder="1" applyAlignment="1" applyProtection="1">
      <alignment horizontal="left" vertical="center"/>
    </xf>
    <xf numFmtId="12" fontId="13" fillId="4" borderId="11" xfId="0" applyNumberFormat="1" applyFont="1" applyFill="1" applyBorder="1" applyAlignment="1" applyProtection="1">
      <alignment horizontal="left" vertical="center" wrapText="1"/>
    </xf>
    <xf numFmtId="12" fontId="13" fillId="4" borderId="0" xfId="0" applyNumberFormat="1" applyFont="1" applyFill="1" applyBorder="1" applyAlignment="1" applyProtection="1">
      <alignment horizontal="left" vertical="center" wrapText="1"/>
    </xf>
    <xf numFmtId="12" fontId="14" fillId="4" borderId="0" xfId="0" applyNumberFormat="1" applyFont="1" applyFill="1" applyBorder="1" applyAlignment="1" applyProtection="1">
      <alignment horizontal="center" vertical="center" wrapText="1"/>
    </xf>
    <xf numFmtId="0" fontId="43" fillId="0" borderId="8" xfId="149" applyFont="1" applyBorder="1" applyAlignment="1" applyProtection="1">
      <alignment horizontal="center" wrapText="1"/>
    </xf>
    <xf numFmtId="170" fontId="76" fillId="0" borderId="19" xfId="0" applyNumberFormat="1" applyFont="1" applyFill="1" applyBorder="1" applyAlignment="1" applyProtection="1">
      <alignment horizontal="left" vertical="center" wrapText="1"/>
    </xf>
    <xf numFmtId="170" fontId="76" fillId="0" borderId="0" xfId="0" applyNumberFormat="1" applyFont="1" applyFill="1" applyBorder="1" applyAlignment="1" applyProtection="1">
      <alignment horizontal="left" vertical="center" wrapText="1"/>
    </xf>
    <xf numFmtId="2" fontId="13" fillId="0" borderId="0" xfId="0" applyNumberFormat="1" applyFont="1" applyFill="1" applyBorder="1" applyAlignment="1" applyProtection="1">
      <alignment horizontal="center" vertical="center" wrapText="1"/>
    </xf>
    <xf numFmtId="2" fontId="13" fillId="0" borderId="15" xfId="0" applyNumberFormat="1" applyFont="1" applyFill="1" applyBorder="1" applyAlignment="1" applyProtection="1">
      <alignment horizontal="center" vertical="center" wrapText="1"/>
    </xf>
    <xf numFmtId="0" fontId="36" fillId="3" borderId="11" xfId="150" applyFont="1" applyFill="1" applyBorder="1" applyAlignment="1" applyProtection="1">
      <alignment horizontal="center" vertical="center"/>
    </xf>
    <xf numFmtId="0" fontId="36" fillId="3" borderId="0" xfId="150" applyFont="1" applyFill="1" applyBorder="1" applyAlignment="1" applyProtection="1">
      <alignment horizontal="center" vertical="center"/>
    </xf>
    <xf numFmtId="0" fontId="36" fillId="3" borderId="15" xfId="150" applyFont="1" applyFill="1" applyBorder="1" applyAlignment="1" applyProtection="1">
      <alignment horizontal="center" vertical="center"/>
    </xf>
    <xf numFmtId="1" fontId="75" fillId="0" borderId="19" xfId="0" applyNumberFormat="1" applyFont="1" applyFill="1" applyBorder="1" applyAlignment="1" applyProtection="1">
      <alignment horizontal="left" vertical="center" wrapText="1"/>
    </xf>
    <xf numFmtId="1" fontId="75" fillId="0" borderId="0" xfId="0" applyNumberFormat="1" applyFont="1" applyFill="1" applyBorder="1" applyAlignment="1" applyProtection="1">
      <alignment horizontal="left" vertical="center" wrapText="1"/>
    </xf>
    <xf numFmtId="173" fontId="14" fillId="0" borderId="0" xfId="0" applyNumberFormat="1" applyFont="1" applyFill="1" applyBorder="1" applyAlignment="1" applyProtection="1">
      <alignment horizontal="center" vertical="center"/>
    </xf>
    <xf numFmtId="173" fontId="14" fillId="0" borderId="15" xfId="0" applyNumberFormat="1" applyFont="1" applyFill="1" applyBorder="1" applyAlignment="1" applyProtection="1">
      <alignment horizontal="center" vertical="center"/>
    </xf>
    <xf numFmtId="0" fontId="26" fillId="0" borderId="12" xfId="0" applyFont="1" applyBorder="1" applyAlignment="1" applyProtection="1">
      <alignment horizontal="center" vertical="top" wrapText="1"/>
      <protection locked="0"/>
    </xf>
    <xf numFmtId="0" fontId="26" fillId="0" borderId="5" xfId="0" applyFont="1" applyBorder="1" applyAlignment="1" applyProtection="1">
      <alignment horizontal="center" vertical="top" wrapText="1"/>
      <protection locked="0"/>
    </xf>
    <xf numFmtId="0" fontId="26" fillId="0" borderId="13" xfId="0" applyFont="1" applyBorder="1" applyAlignment="1" applyProtection="1">
      <alignment horizontal="center" vertical="top" wrapText="1"/>
      <protection locked="0"/>
    </xf>
    <xf numFmtId="170" fontId="75" fillId="0" borderId="19" xfId="0" applyNumberFormat="1" applyFont="1" applyFill="1" applyBorder="1" applyAlignment="1" applyProtection="1">
      <alignment horizontal="left" vertical="center" wrapText="1"/>
    </xf>
    <xf numFmtId="170" fontId="75" fillId="0" borderId="0" xfId="0" applyNumberFormat="1" applyFont="1" applyFill="1" applyBorder="1" applyAlignment="1" applyProtection="1">
      <alignment horizontal="left" vertical="center" wrapText="1"/>
    </xf>
    <xf numFmtId="0" fontId="46" fillId="4" borderId="0" xfId="0" applyFont="1" applyFill="1" applyBorder="1" applyAlignment="1" applyProtection="1">
      <alignment horizontal="center" vertical="center" wrapText="1"/>
    </xf>
    <xf numFmtId="0" fontId="46" fillId="4" borderId="15" xfId="0" applyFont="1" applyFill="1" applyBorder="1" applyAlignment="1" applyProtection="1">
      <alignment horizontal="center" vertical="center" wrapText="1"/>
    </xf>
    <xf numFmtId="0" fontId="26" fillId="0" borderId="9" xfId="0" applyFont="1" applyBorder="1" applyAlignment="1" applyProtection="1">
      <alignment horizontal="center" vertical="top" wrapText="1"/>
    </xf>
    <xf numFmtId="0" fontId="26" fillId="0" borderId="10" xfId="0" applyFont="1" applyBorder="1" applyAlignment="1" applyProtection="1">
      <alignment horizontal="center" vertical="top" wrapText="1"/>
    </xf>
    <xf numFmtId="0" fontId="26" fillId="0" borderId="10" xfId="0" applyFont="1" applyBorder="1" applyAlignment="1" applyProtection="1">
      <alignment horizontal="left" vertical="top" wrapText="1"/>
    </xf>
    <xf numFmtId="0" fontId="26" fillId="0" borderId="14" xfId="0" applyFont="1" applyBorder="1" applyAlignment="1" applyProtection="1">
      <alignment horizontal="left" vertical="top" wrapText="1"/>
    </xf>
    <xf numFmtId="0" fontId="30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94" fillId="0" borderId="9" xfId="0" applyFont="1" applyFill="1" applyBorder="1" applyAlignment="1" applyProtection="1">
      <alignment horizontal="center" vertical="center" wrapText="1"/>
    </xf>
    <xf numFmtId="0" fontId="94" fillId="0" borderId="10" xfId="0" applyFont="1" applyFill="1" applyBorder="1" applyAlignment="1" applyProtection="1">
      <alignment horizontal="center" vertical="center" wrapText="1"/>
    </xf>
    <xf numFmtId="0" fontId="94" fillId="0" borderId="14" xfId="0" applyFont="1" applyFill="1" applyBorder="1" applyAlignment="1" applyProtection="1">
      <alignment horizontal="center" vertical="center" wrapText="1"/>
    </xf>
    <xf numFmtId="0" fontId="94" fillId="0" borderId="11" xfId="0" applyFont="1" applyFill="1" applyBorder="1" applyAlignment="1" applyProtection="1">
      <alignment horizontal="center" vertical="center" wrapText="1"/>
    </xf>
    <xf numFmtId="0" fontId="94" fillId="0" borderId="0" xfId="0" applyFont="1" applyFill="1" applyBorder="1" applyAlignment="1" applyProtection="1">
      <alignment horizontal="center" vertical="center" wrapText="1"/>
    </xf>
    <xf numFmtId="0" fontId="94" fillId="0" borderId="15" xfId="0" applyFont="1" applyFill="1" applyBorder="1" applyAlignment="1" applyProtection="1">
      <alignment horizontal="center" vertical="center" wrapText="1"/>
    </xf>
    <xf numFmtId="0" fontId="94" fillId="0" borderId="12" xfId="0" applyFont="1" applyFill="1" applyBorder="1" applyAlignment="1" applyProtection="1">
      <alignment horizontal="center" vertical="center" wrapText="1"/>
    </xf>
    <xf numFmtId="0" fontId="94" fillId="0" borderId="5" xfId="0" applyFont="1" applyFill="1" applyBorder="1" applyAlignment="1" applyProtection="1">
      <alignment horizontal="center" vertical="center" wrapText="1"/>
    </xf>
    <xf numFmtId="0" fontId="94" fillId="0" borderId="13" xfId="0" applyFont="1" applyFill="1" applyBorder="1" applyAlignment="1" applyProtection="1">
      <alignment horizontal="center" vertical="center" wrapText="1"/>
    </xf>
    <xf numFmtId="0" fontId="56" fillId="0" borderId="7" xfId="149" applyFont="1" applyBorder="1" applyAlignment="1">
      <alignment horizontal="left" vertical="center" wrapText="1"/>
    </xf>
    <xf numFmtId="0" fontId="56" fillId="0" borderId="8" xfId="149" applyFont="1" applyBorder="1" applyAlignment="1">
      <alignment horizontal="left" vertical="center" wrapText="1"/>
    </xf>
    <xf numFmtId="0" fontId="56" fillId="0" borderId="6" xfId="149" applyFont="1" applyBorder="1" applyAlignment="1">
      <alignment horizontal="left" vertical="center" wrapText="1"/>
    </xf>
    <xf numFmtId="0" fontId="14" fillId="3" borderId="7" xfId="0" applyFont="1" applyFill="1" applyBorder="1" applyAlignment="1" applyProtection="1">
      <alignment horizontal="center" vertical="center" wrapText="1"/>
    </xf>
    <xf numFmtId="0" fontId="14" fillId="3" borderId="8" xfId="0" applyFont="1" applyFill="1" applyBorder="1" applyAlignment="1" applyProtection="1">
      <alignment horizontal="center" vertical="center" wrapText="1"/>
    </xf>
    <xf numFmtId="0" fontId="14" fillId="3" borderId="6" xfId="0" applyFont="1" applyFill="1" applyBorder="1" applyAlignment="1" applyProtection="1">
      <alignment horizontal="center" vertical="center" wrapText="1"/>
    </xf>
    <xf numFmtId="0" fontId="104" fillId="2" borderId="135" xfId="197" applyFont="1" applyFill="1" applyBorder="1" applyAlignment="1" applyProtection="1">
      <alignment horizontal="center" vertical="center" wrapText="1"/>
    </xf>
    <xf numFmtId="0" fontId="92" fillId="4" borderId="135" xfId="197" applyFont="1" applyFill="1" applyBorder="1" applyAlignment="1" applyProtection="1">
      <alignment horizontal="center" vertical="center" wrapText="1"/>
    </xf>
    <xf numFmtId="0" fontId="92" fillId="4" borderId="142" xfId="197" applyFont="1" applyFill="1" applyBorder="1" applyAlignment="1" applyProtection="1">
      <alignment horizontal="center" vertical="center" wrapText="1"/>
    </xf>
    <xf numFmtId="0" fontId="59" fillId="2" borderId="160" xfId="197" applyFont="1" applyFill="1" applyBorder="1" applyAlignment="1" applyProtection="1">
      <alignment horizontal="center" vertical="center" wrapText="1"/>
    </xf>
    <xf numFmtId="0" fontId="59" fillId="2" borderId="159" xfId="197" applyFont="1" applyFill="1" applyBorder="1" applyAlignment="1" applyProtection="1">
      <alignment horizontal="center" vertical="center" wrapText="1"/>
    </xf>
    <xf numFmtId="0" fontId="97" fillId="0" borderId="125" xfId="0" applyFont="1" applyBorder="1" applyAlignment="1" applyProtection="1">
      <alignment horizontal="center"/>
    </xf>
    <xf numFmtId="0" fontId="97" fillId="0" borderId="133" xfId="0" applyFont="1" applyBorder="1" applyAlignment="1" applyProtection="1">
      <alignment horizontal="center"/>
    </xf>
    <xf numFmtId="0" fontId="49" fillId="5" borderId="0" xfId="75" applyNumberFormat="1" applyFont="1" applyFill="1" applyBorder="1" applyAlignment="1" applyProtection="1">
      <alignment horizontal="center" vertical="top" wrapText="1"/>
    </xf>
    <xf numFmtId="0" fontId="93" fillId="0" borderId="8" xfId="0" applyFont="1" applyBorder="1" applyAlignment="1" applyProtection="1">
      <alignment horizontal="center" vertical="center"/>
    </xf>
    <xf numFmtId="0" fontId="93" fillId="0" borderId="6" xfId="0" applyFont="1" applyBorder="1" applyAlignment="1" applyProtection="1">
      <alignment horizontal="center" vertical="center"/>
    </xf>
    <xf numFmtId="0" fontId="93" fillId="0" borderId="7" xfId="0" applyFont="1" applyBorder="1" applyAlignment="1" applyProtection="1">
      <alignment horizontal="center" vertical="center"/>
    </xf>
    <xf numFmtId="0" fontId="93" fillId="0" borderId="139" xfId="0" applyFont="1" applyBorder="1" applyAlignment="1" applyProtection="1">
      <alignment horizontal="center" vertical="center"/>
    </xf>
    <xf numFmtId="0" fontId="97" fillId="0" borderId="125" xfId="0" applyFont="1" applyBorder="1" applyAlignment="1" applyProtection="1">
      <alignment horizontal="center" vertical="center"/>
    </xf>
    <xf numFmtId="0" fontId="97" fillId="0" borderId="133" xfId="0" applyFont="1" applyBorder="1" applyAlignment="1" applyProtection="1">
      <alignment horizontal="center" vertical="center"/>
    </xf>
    <xf numFmtId="0" fontId="98" fillId="0" borderId="25" xfId="75" applyNumberFormat="1" applyFont="1" applyBorder="1" applyAlignment="1" applyProtection="1">
      <alignment horizontal="center"/>
    </xf>
    <xf numFmtId="0" fontId="98" fillId="0" borderId="16" xfId="75" applyNumberFormat="1" applyFont="1" applyBorder="1" applyAlignment="1" applyProtection="1">
      <alignment horizontal="center"/>
    </xf>
    <xf numFmtId="0" fontId="85" fillId="0" borderId="24" xfId="75" applyNumberFormat="1" applyFont="1" applyBorder="1" applyAlignment="1" applyProtection="1">
      <alignment horizontal="center"/>
    </xf>
    <xf numFmtId="0" fontId="85" fillId="0" borderId="0" xfId="75" applyNumberFormat="1" applyFont="1" applyBorder="1" applyAlignment="1" applyProtection="1">
      <alignment horizontal="center"/>
    </xf>
    <xf numFmtId="0" fontId="13" fillId="0" borderId="0" xfId="0" applyFont="1" applyBorder="1" applyAlignment="1">
      <alignment horizontal="center" vertical="center"/>
    </xf>
    <xf numFmtId="1" fontId="62" fillId="18" borderId="0" xfId="0" applyNumberFormat="1" applyFont="1" applyFill="1" applyBorder="1" applyAlignment="1">
      <alignment horizontal="center" vertical="center"/>
    </xf>
    <xf numFmtId="0" fontId="62" fillId="18" borderId="15" xfId="0" applyFont="1" applyFill="1" applyBorder="1" applyAlignment="1">
      <alignment horizontal="center" vertical="center"/>
    </xf>
    <xf numFmtId="0" fontId="62" fillId="20" borderId="11" xfId="0" applyFont="1" applyFill="1" applyBorder="1" applyAlignment="1">
      <alignment horizontal="left" vertical="center"/>
    </xf>
    <xf numFmtId="0" fontId="62" fillId="20" borderId="0" xfId="0" applyFont="1" applyFill="1" applyBorder="1" applyAlignment="1">
      <alignment horizontal="left" vertical="center"/>
    </xf>
    <xf numFmtId="0" fontId="62" fillId="20" borderId="0" xfId="0" applyFont="1" applyFill="1" applyBorder="1" applyAlignment="1">
      <alignment horizontal="center" vertical="center"/>
    </xf>
    <xf numFmtId="0" fontId="62" fillId="4" borderId="11" xfId="198" applyFont="1" applyFill="1" applyBorder="1" applyAlignment="1" applyProtection="1">
      <alignment vertical="center" wrapText="1"/>
    </xf>
    <xf numFmtId="0" fontId="62" fillId="4" borderId="0" xfId="198" applyFont="1" applyFill="1" applyBorder="1" applyAlignment="1" applyProtection="1">
      <alignment vertical="center" wrapText="1"/>
    </xf>
    <xf numFmtId="0" fontId="62" fillId="0" borderId="0" xfId="0" applyFont="1" applyBorder="1" applyAlignment="1" applyProtection="1">
      <alignment horizontal="center" vertical="center"/>
    </xf>
    <xf numFmtId="0" fontId="36" fillId="0" borderId="5" xfId="0" applyFont="1" applyBorder="1" applyAlignment="1" applyProtection="1">
      <alignment vertical="center"/>
    </xf>
    <xf numFmtId="0" fontId="13" fillId="20" borderId="11" xfId="0" applyFont="1" applyFill="1" applyBorder="1" applyAlignment="1">
      <alignment horizontal="left" vertical="center"/>
    </xf>
    <xf numFmtId="0" fontId="13" fillId="20" borderId="0" xfId="0" applyFont="1" applyFill="1" applyBorder="1" applyAlignment="1">
      <alignment horizontal="left" vertical="center"/>
    </xf>
    <xf numFmtId="0" fontId="13" fillId="20" borderId="0" xfId="0" applyFont="1" applyFill="1" applyBorder="1" applyAlignment="1">
      <alignment horizontal="center" vertical="center"/>
    </xf>
    <xf numFmtId="1" fontId="62" fillId="21" borderId="0" xfId="0" applyNumberFormat="1" applyFont="1" applyFill="1" applyBorder="1" applyAlignment="1">
      <alignment horizontal="center" vertical="center"/>
    </xf>
    <xf numFmtId="1" fontId="62" fillId="21" borderId="15" xfId="0" applyNumberFormat="1" applyFont="1" applyFill="1" applyBorder="1" applyAlignment="1">
      <alignment horizontal="center" vertical="center"/>
    </xf>
    <xf numFmtId="0" fontId="62" fillId="0" borderId="11" xfId="0" applyFont="1" applyBorder="1" applyAlignment="1">
      <alignment horizontal="left" vertical="center"/>
    </xf>
    <xf numFmtId="0" fontId="62" fillId="0" borderId="0" xfId="0" applyFont="1" applyBorder="1" applyAlignment="1">
      <alignment horizontal="left" vertical="center"/>
    </xf>
    <xf numFmtId="0" fontId="62" fillId="0" borderId="0" xfId="0" applyFont="1" applyBorder="1" applyAlignment="1">
      <alignment horizontal="center" vertical="center"/>
    </xf>
    <xf numFmtId="1" fontId="62" fillId="0" borderId="0" xfId="0" applyNumberFormat="1" applyFont="1" applyBorder="1" applyAlignment="1">
      <alignment horizontal="center" vertical="center" wrapText="1"/>
    </xf>
    <xf numFmtId="1" fontId="62" fillId="0" borderId="15" xfId="0" applyNumberFormat="1" applyFont="1" applyBorder="1" applyAlignment="1">
      <alignment horizontal="center" vertical="center" wrapText="1"/>
    </xf>
    <xf numFmtId="0" fontId="13" fillId="0" borderId="11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97" fillId="0" borderId="132" xfId="0" applyFont="1" applyBorder="1" applyAlignment="1" applyProtection="1">
      <alignment horizontal="center"/>
    </xf>
    <xf numFmtId="0" fontId="85" fillId="6" borderId="130" xfId="75" applyNumberFormat="1" applyFont="1" applyFill="1" applyBorder="1" applyAlignment="1" applyProtection="1">
      <alignment horizontal="center" vertical="center"/>
    </xf>
    <xf numFmtId="0" fontId="85" fillId="6" borderId="106" xfId="75" applyNumberFormat="1" applyFont="1" applyFill="1" applyBorder="1" applyAlignment="1" applyProtection="1">
      <alignment horizontal="center" vertical="center"/>
    </xf>
    <xf numFmtId="0" fontId="85" fillId="6" borderId="131" xfId="75" applyNumberFormat="1" applyFont="1" applyFill="1" applyBorder="1" applyAlignment="1" applyProtection="1">
      <alignment horizontal="center" vertical="center"/>
    </xf>
    <xf numFmtId="173" fontId="62" fillId="4" borderId="0" xfId="0" applyNumberFormat="1" applyFont="1" applyFill="1" applyBorder="1" applyAlignment="1" applyProtection="1">
      <alignment horizontal="center" vertical="center" wrapText="1"/>
    </xf>
    <xf numFmtId="173" fontId="62" fillId="4" borderId="15" xfId="0" applyNumberFormat="1" applyFont="1" applyFill="1" applyBorder="1" applyAlignment="1" applyProtection="1">
      <alignment horizontal="center" vertical="center" wrapText="1"/>
    </xf>
    <xf numFmtId="0" fontId="61" fillId="4" borderId="5" xfId="0" applyFont="1" applyFill="1" applyBorder="1" applyAlignment="1" applyProtection="1">
      <alignment horizontal="left" vertical="center" wrapText="1"/>
    </xf>
    <xf numFmtId="173" fontId="62" fillId="4" borderId="5" xfId="0" applyNumberFormat="1" applyFont="1" applyFill="1" applyBorder="1" applyAlignment="1" applyProtection="1">
      <alignment horizontal="center" vertical="center" wrapText="1"/>
    </xf>
    <xf numFmtId="173" fontId="13" fillId="4" borderId="5" xfId="0" applyNumberFormat="1" applyFont="1" applyFill="1" applyBorder="1" applyAlignment="1" applyProtection="1">
      <alignment horizontal="center" vertical="center"/>
    </xf>
    <xf numFmtId="173" fontId="13" fillId="4" borderId="13" xfId="0" applyNumberFormat="1" applyFont="1" applyFill="1" applyBorder="1" applyAlignment="1" applyProtection="1">
      <alignment horizontal="center" vertical="center"/>
    </xf>
    <xf numFmtId="0" fontId="84" fillId="4" borderId="64" xfId="0" applyFont="1" applyFill="1" applyBorder="1" applyAlignment="1" applyProtection="1">
      <alignment horizontal="center" vertical="center" wrapText="1"/>
    </xf>
    <xf numFmtId="0" fontId="84" fillId="4" borderId="26" xfId="0" applyFont="1" applyFill="1" applyBorder="1" applyAlignment="1" applyProtection="1">
      <alignment horizontal="center" vertical="center" wrapText="1"/>
    </xf>
    <xf numFmtId="0" fontId="84" fillId="4" borderId="22" xfId="0" applyFont="1" applyFill="1" applyBorder="1" applyAlignment="1" applyProtection="1">
      <alignment horizontal="center" vertical="center" wrapText="1"/>
    </xf>
    <xf numFmtId="0" fontId="61" fillId="4" borderId="0" xfId="0" applyFont="1" applyFill="1" applyBorder="1" applyAlignment="1" applyProtection="1">
      <alignment horizontal="left" vertical="center" wrapText="1"/>
    </xf>
    <xf numFmtId="173" fontId="62" fillId="4" borderId="0" xfId="0" applyNumberFormat="1" applyFont="1" applyFill="1" applyBorder="1" applyAlignment="1" applyProtection="1">
      <alignment horizontal="center" vertical="center"/>
    </xf>
    <xf numFmtId="1" fontId="61" fillId="4" borderId="0" xfId="0" applyNumberFormat="1" applyFont="1" applyFill="1" applyBorder="1" applyAlignment="1" applyProtection="1">
      <alignment horizontal="left" vertical="center"/>
    </xf>
    <xf numFmtId="0" fontId="14" fillId="3" borderId="7" xfId="198" applyFont="1" applyFill="1" applyBorder="1" applyAlignment="1">
      <alignment horizontal="center" vertical="center" wrapText="1"/>
    </xf>
    <xf numFmtId="0" fontId="14" fillId="3" borderId="8" xfId="198" applyFont="1" applyFill="1" applyBorder="1" applyAlignment="1">
      <alignment horizontal="center" vertical="center" wrapText="1"/>
    </xf>
    <xf numFmtId="0" fontId="14" fillId="3" borderId="6" xfId="198" applyFont="1" applyFill="1" applyBorder="1" applyAlignment="1">
      <alignment horizontal="center" vertical="center" wrapText="1"/>
    </xf>
    <xf numFmtId="0" fontId="96" fillId="2" borderId="0" xfId="198" applyFont="1" applyFill="1" applyBorder="1" applyAlignment="1">
      <alignment horizontal="center" vertical="center" wrapText="1"/>
    </xf>
    <xf numFmtId="0" fontId="13" fillId="4" borderId="9" xfId="198" applyFont="1" applyFill="1" applyBorder="1" applyAlignment="1" applyProtection="1">
      <alignment horizontal="left" vertical="center" wrapText="1"/>
    </xf>
    <xf numFmtId="0" fontId="13" fillId="4" borderId="10" xfId="198" applyFont="1" applyFill="1" applyBorder="1" applyAlignment="1" applyProtection="1">
      <alignment horizontal="left" vertical="center" wrapText="1"/>
    </xf>
    <xf numFmtId="0" fontId="14" fillId="4" borderId="10" xfId="198" applyFont="1" applyFill="1" applyBorder="1" applyAlignment="1" applyProtection="1">
      <alignment horizontal="center" vertical="center" wrapText="1"/>
    </xf>
    <xf numFmtId="170" fontId="62" fillId="18" borderId="0" xfId="0" applyNumberFormat="1" applyFont="1" applyFill="1" applyBorder="1" applyAlignment="1">
      <alignment horizontal="center" vertical="center"/>
    </xf>
    <xf numFmtId="170" fontId="62" fillId="18" borderId="15" xfId="0" applyNumberFormat="1" applyFont="1" applyFill="1" applyBorder="1" applyAlignment="1">
      <alignment horizontal="center" vertical="center"/>
    </xf>
    <xf numFmtId="0" fontId="63" fillId="0" borderId="23" xfId="0" applyFont="1" applyBorder="1" applyAlignment="1">
      <alignment horizontal="center" vertical="center"/>
    </xf>
    <xf numFmtId="0" fontId="63" fillId="0" borderId="127" xfId="0" applyFont="1" applyBorder="1" applyAlignment="1">
      <alignment horizontal="center" vertical="center"/>
    </xf>
    <xf numFmtId="0" fontId="80" fillId="0" borderId="107" xfId="0" applyFont="1" applyBorder="1" applyAlignment="1">
      <alignment horizontal="center"/>
    </xf>
    <xf numFmtId="10" fontId="13" fillId="0" borderId="11" xfId="0" applyNumberFormat="1" applyFont="1" applyBorder="1" applyAlignment="1">
      <alignment horizontal="left" vertical="center"/>
    </xf>
    <xf numFmtId="10" fontId="13" fillId="0" borderId="0" xfId="0" applyNumberFormat="1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93" fillId="0" borderId="23" xfId="0" applyFont="1" applyBorder="1" applyAlignment="1" applyProtection="1">
      <alignment horizontal="center" vertical="center"/>
      <protection locked="0"/>
    </xf>
    <xf numFmtId="0" fontId="93" fillId="0" borderId="127" xfId="0" applyFont="1" applyBorder="1" applyAlignment="1" applyProtection="1">
      <alignment horizontal="center" vertical="center"/>
      <protection locked="0"/>
    </xf>
    <xf numFmtId="0" fontId="25" fillId="0" borderId="9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57" fillId="0" borderId="9" xfId="0" applyFont="1" applyBorder="1" applyAlignment="1">
      <alignment horizontal="center" vertical="center" wrapText="1"/>
    </xf>
    <xf numFmtId="0" fontId="57" fillId="0" borderId="10" xfId="0" applyFont="1" applyBorder="1" applyAlignment="1">
      <alignment horizontal="center" vertical="center" wrapText="1"/>
    </xf>
    <xf numFmtId="0" fontId="57" fillId="0" borderId="14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/>
    </xf>
    <xf numFmtId="0" fontId="13" fillId="0" borderId="11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1" fontId="62" fillId="18" borderId="15" xfId="0" applyNumberFormat="1" applyFont="1" applyFill="1" applyBorder="1" applyAlignment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10" fontId="66" fillId="4" borderId="0" xfId="0" applyNumberFormat="1" applyFont="1" applyFill="1" applyBorder="1" applyAlignment="1" applyProtection="1">
      <alignment horizontal="center" vertical="center"/>
    </xf>
    <xf numFmtId="10" fontId="66" fillId="4" borderId="15" xfId="0" applyNumberFormat="1" applyFont="1" applyFill="1" applyBorder="1" applyAlignment="1" applyProtection="1">
      <alignment horizontal="center" vertical="center"/>
    </xf>
    <xf numFmtId="170" fontId="62" fillId="21" borderId="0" xfId="0" applyNumberFormat="1" applyFont="1" applyFill="1" applyBorder="1" applyAlignment="1">
      <alignment horizontal="center" vertical="center"/>
    </xf>
    <xf numFmtId="170" fontId="62" fillId="21" borderId="15" xfId="0" applyNumberFormat="1" applyFont="1" applyFill="1" applyBorder="1" applyAlignment="1">
      <alignment horizontal="center" vertical="center"/>
    </xf>
    <xf numFmtId="0" fontId="13" fillId="0" borderId="11" xfId="0" applyFont="1" applyBorder="1" applyAlignment="1" applyProtection="1">
      <alignment vertical="center"/>
    </xf>
    <xf numFmtId="0" fontId="13" fillId="0" borderId="0" xfId="0" applyFont="1" applyBorder="1" applyAlignment="1" applyProtection="1">
      <alignment vertical="center"/>
    </xf>
    <xf numFmtId="0" fontId="13" fillId="0" borderId="0" xfId="0" applyFont="1" applyBorder="1" applyAlignment="1" applyProtection="1">
      <alignment horizontal="center" vertical="center"/>
    </xf>
    <xf numFmtId="0" fontId="62" fillId="0" borderId="11" xfId="0" applyFont="1" applyBorder="1" applyAlignment="1" applyProtection="1">
      <alignment horizontal="left" vertical="center"/>
    </xf>
    <xf numFmtId="0" fontId="62" fillId="0" borderId="0" xfId="0" applyFont="1" applyBorder="1" applyAlignment="1" applyProtection="1">
      <alignment horizontal="left" vertical="center"/>
    </xf>
    <xf numFmtId="0" fontId="25" fillId="0" borderId="0" xfId="0" applyFont="1" applyBorder="1" applyProtection="1">
      <protection locked="0"/>
    </xf>
    <xf numFmtId="0" fontId="25" fillId="0" borderId="15" xfId="0" applyFont="1" applyBorder="1" applyProtection="1">
      <protection locked="0"/>
    </xf>
    <xf numFmtId="0" fontId="37" fillId="0" borderId="16" xfId="150" applyFont="1" applyBorder="1" applyAlignment="1" applyProtection="1">
      <alignment horizontal="center"/>
    </xf>
    <xf numFmtId="0" fontId="37" fillId="0" borderId="157" xfId="150" applyFont="1" applyBorder="1" applyAlignment="1" applyProtection="1">
      <alignment horizontal="center"/>
    </xf>
    <xf numFmtId="0" fontId="36" fillId="3" borderId="35" xfId="150" applyFont="1" applyFill="1" applyBorder="1" applyAlignment="1">
      <alignment horizontal="center" vertical="center"/>
    </xf>
    <xf numFmtId="0" fontId="36" fillId="3" borderId="10" xfId="150" applyFont="1" applyFill="1" applyBorder="1" applyAlignment="1">
      <alignment horizontal="center" vertical="center"/>
    </xf>
    <xf numFmtId="0" fontId="36" fillId="3" borderId="116" xfId="150" applyFont="1" applyFill="1" applyBorder="1" applyAlignment="1">
      <alignment horizontal="center" vertical="center"/>
    </xf>
    <xf numFmtId="0" fontId="27" fillId="4" borderId="11" xfId="0" applyFont="1" applyFill="1" applyBorder="1" applyAlignment="1">
      <alignment horizontal="center" vertical="center" wrapText="1"/>
    </xf>
    <xf numFmtId="0" fontId="27" fillId="4" borderId="0" xfId="0" applyFont="1" applyFill="1" applyAlignment="1">
      <alignment horizontal="center" vertical="center" wrapText="1"/>
    </xf>
    <xf numFmtId="0" fontId="27" fillId="4" borderId="0" xfId="0" applyFont="1" applyFill="1" applyBorder="1" applyAlignment="1">
      <alignment horizontal="center" vertical="center" wrapText="1"/>
    </xf>
    <xf numFmtId="0" fontId="37" fillId="0" borderId="155" xfId="150" applyFont="1" applyBorder="1" applyAlignment="1" applyProtection="1">
      <alignment horizontal="center"/>
    </xf>
    <xf numFmtId="0" fontId="37" fillId="0" borderId="156" xfId="150" applyFont="1" applyBorder="1" applyAlignment="1" applyProtection="1">
      <alignment horizontal="center"/>
    </xf>
    <xf numFmtId="0" fontId="85" fillId="0" borderId="9" xfId="149" applyFont="1" applyBorder="1" applyAlignment="1" applyProtection="1">
      <alignment horizontal="center" vertical="top" wrapText="1"/>
    </xf>
    <xf numFmtId="0" fontId="85" fillId="0" borderId="10" xfId="149" applyFont="1" applyBorder="1" applyAlignment="1" applyProtection="1">
      <alignment horizontal="center" vertical="top" wrapText="1"/>
    </xf>
    <xf numFmtId="0" fontId="85" fillId="0" borderId="10" xfId="149" applyFont="1" applyBorder="1" applyAlignment="1" applyProtection="1">
      <alignment horizontal="center" vertical="top" wrapText="1"/>
      <protection locked="0"/>
    </xf>
    <xf numFmtId="0" fontId="85" fillId="0" borderId="14" xfId="149" applyFont="1" applyBorder="1" applyAlignment="1" applyProtection="1">
      <alignment horizontal="center" vertical="top" wrapText="1"/>
      <protection locked="0"/>
    </xf>
    <xf numFmtId="0" fontId="85" fillId="0" borderId="12" xfId="149" applyFont="1" applyBorder="1" applyAlignment="1" applyProtection="1">
      <alignment horizontal="left" vertical="top" wrapText="1"/>
      <protection locked="0"/>
    </xf>
    <xf numFmtId="0" fontId="85" fillId="0" borderId="5" xfId="149" applyFont="1" applyBorder="1" applyAlignment="1" applyProtection="1">
      <alignment horizontal="left" vertical="top" wrapText="1"/>
      <protection locked="0"/>
    </xf>
    <xf numFmtId="0" fontId="85" fillId="0" borderId="13" xfId="149" applyFont="1" applyBorder="1" applyAlignment="1" applyProtection="1">
      <alignment horizontal="left" vertical="top" wrapText="1"/>
      <protection locked="0"/>
    </xf>
    <xf numFmtId="0" fontId="36" fillId="3" borderId="14" xfId="150" applyFont="1" applyFill="1" applyBorder="1" applyAlignment="1">
      <alignment horizontal="center" vertical="center"/>
    </xf>
    <xf numFmtId="173" fontId="13" fillId="4" borderId="0" xfId="0" applyNumberFormat="1" applyFont="1" applyFill="1" applyBorder="1" applyAlignment="1" applyProtection="1">
      <alignment horizontal="center" vertical="center"/>
    </xf>
    <xf numFmtId="173" fontId="13" fillId="4" borderId="15" xfId="0" applyNumberFormat="1" applyFont="1" applyFill="1" applyBorder="1" applyAlignment="1" applyProtection="1">
      <alignment horizontal="center" vertical="center"/>
    </xf>
    <xf numFmtId="173" fontId="62" fillId="0" borderId="0" xfId="0" applyNumberFormat="1" applyFont="1" applyFill="1" applyBorder="1" applyAlignment="1" applyProtection="1">
      <alignment horizontal="center" vertical="center"/>
    </xf>
    <xf numFmtId="12" fontId="61" fillId="4" borderId="0" xfId="0" applyNumberFormat="1" applyFont="1" applyFill="1" applyBorder="1" applyAlignment="1" applyProtection="1">
      <alignment horizontal="left" vertical="center"/>
    </xf>
    <xf numFmtId="170" fontId="45" fillId="0" borderId="0" xfId="0" applyNumberFormat="1" applyFont="1" applyBorder="1" applyAlignment="1">
      <alignment horizontal="center" vertical="center"/>
    </xf>
    <xf numFmtId="0" fontId="91" fillId="14" borderId="0" xfId="0" applyFont="1" applyFill="1" applyBorder="1" applyAlignment="1">
      <alignment horizontal="center" vertical="center"/>
    </xf>
    <xf numFmtId="170" fontId="62" fillId="0" borderId="0" xfId="0" applyNumberFormat="1" applyFont="1" applyBorder="1" applyAlignment="1">
      <alignment horizontal="center" vertical="center"/>
    </xf>
    <xf numFmtId="0" fontId="55" fillId="0" borderId="0" xfId="0" applyFont="1" applyBorder="1" applyAlignment="1">
      <alignment horizontal="center" vertical="center"/>
    </xf>
    <xf numFmtId="0" fontId="93" fillId="0" borderId="0" xfId="0" applyFont="1" applyBorder="1" applyAlignment="1">
      <alignment horizontal="center" vertical="center" wrapText="1"/>
    </xf>
    <xf numFmtId="0" fontId="91" fillId="14" borderId="0" xfId="0" applyFont="1" applyFill="1" applyBorder="1" applyAlignment="1">
      <alignment horizontal="center" vertical="center" wrapText="1"/>
    </xf>
    <xf numFmtId="0" fontId="14" fillId="3" borderId="16" xfId="0" applyFont="1" applyFill="1" applyBorder="1" applyAlignment="1">
      <alignment horizontal="center" vertical="center"/>
    </xf>
    <xf numFmtId="0" fontId="43" fillId="0" borderId="5" xfId="149" applyFont="1" applyBorder="1" applyAlignment="1">
      <alignment horizontal="center" wrapText="1"/>
    </xf>
    <xf numFmtId="0" fontId="43" fillId="0" borderId="10" xfId="151" applyFont="1" applyBorder="1" applyAlignment="1">
      <alignment horizontal="center" vertical="top" wrapText="1"/>
    </xf>
    <xf numFmtId="0" fontId="43" fillId="0" borderId="17" xfId="149" applyFont="1" applyBorder="1" applyAlignment="1" applyProtection="1">
      <alignment horizontal="center" wrapText="1"/>
    </xf>
    <xf numFmtId="0" fontId="36" fillId="4" borderId="9" xfId="193" applyFont="1" applyFill="1" applyBorder="1" applyAlignment="1" applyProtection="1">
      <alignment horizontal="left"/>
    </xf>
    <xf numFmtId="0" fontId="36" fillId="4" borderId="10" xfId="193" applyFont="1" applyFill="1" applyBorder="1" applyAlignment="1" applyProtection="1">
      <alignment horizontal="left"/>
    </xf>
    <xf numFmtId="170" fontId="85" fillId="4" borderId="182" xfId="107" applyNumberFormat="1" applyFont="1" applyFill="1" applyBorder="1" applyAlignment="1" applyProtection="1">
      <alignment horizontal="center"/>
    </xf>
    <xf numFmtId="170" fontId="85" fillId="4" borderId="183" xfId="107" applyNumberFormat="1" applyFont="1" applyFill="1" applyBorder="1" applyAlignment="1" applyProtection="1">
      <alignment horizontal="center"/>
    </xf>
    <xf numFmtId="170" fontId="85" fillId="4" borderId="184" xfId="107" applyNumberFormat="1" applyFont="1" applyFill="1" applyBorder="1" applyAlignment="1" applyProtection="1">
      <alignment horizontal="center"/>
    </xf>
    <xf numFmtId="0" fontId="36" fillId="4" borderId="79" xfId="193" applyFont="1" applyFill="1" applyBorder="1" applyAlignment="1" applyProtection="1">
      <alignment horizontal="right"/>
    </xf>
    <xf numFmtId="0" fontId="36" fillId="4" borderId="80" xfId="193" applyFont="1" applyFill="1" applyBorder="1" applyAlignment="1" applyProtection="1">
      <alignment horizontal="right"/>
    </xf>
    <xf numFmtId="170" fontId="85" fillId="4" borderId="11" xfId="107" applyNumberFormat="1" applyFont="1" applyFill="1" applyBorder="1" applyAlignment="1" applyProtection="1">
      <alignment horizontal="center"/>
    </xf>
    <xf numFmtId="170" fontId="85" fillId="4" borderId="0" xfId="107" applyNumberFormat="1" applyFont="1" applyFill="1" applyBorder="1" applyAlignment="1" applyProtection="1">
      <alignment horizontal="center"/>
    </xf>
    <xf numFmtId="170" fontId="85" fillId="4" borderId="15" xfId="107" applyNumberFormat="1" applyFont="1" applyFill="1" applyBorder="1" applyAlignment="1" applyProtection="1">
      <alignment horizontal="center"/>
    </xf>
    <xf numFmtId="0" fontId="85" fillId="4" borderId="12" xfId="193" applyFont="1" applyFill="1" applyBorder="1" applyAlignment="1" applyProtection="1">
      <alignment horizontal="center"/>
    </xf>
    <xf numFmtId="0" fontId="85" fillId="4" borderId="5" xfId="193" applyFont="1" applyFill="1" applyBorder="1" applyAlignment="1" applyProtection="1">
      <alignment horizontal="center"/>
    </xf>
    <xf numFmtId="0" fontId="85" fillId="14" borderId="5" xfId="199" applyFont="1" applyFill="1" applyBorder="1" applyAlignment="1" applyProtection="1">
      <alignment horizontal="center" vertical="center"/>
    </xf>
    <xf numFmtId="0" fontId="85" fillId="14" borderId="13" xfId="199" applyFont="1" applyFill="1" applyBorder="1" applyAlignment="1" applyProtection="1">
      <alignment horizontal="center" vertical="center"/>
    </xf>
    <xf numFmtId="170" fontId="84" fillId="4" borderId="12" xfId="107" applyNumberFormat="1" applyFont="1" applyFill="1" applyBorder="1" applyAlignment="1" applyProtection="1">
      <alignment horizontal="center"/>
    </xf>
    <xf numFmtId="170" fontId="84" fillId="4" borderId="5" xfId="107" applyNumberFormat="1" applyFont="1" applyFill="1" applyBorder="1" applyAlignment="1" applyProtection="1">
      <alignment horizontal="center"/>
    </xf>
    <xf numFmtId="170" fontId="84" fillId="4" borderId="31" xfId="107" applyNumberFormat="1" applyFont="1" applyFill="1" applyBorder="1" applyAlignment="1" applyProtection="1">
      <alignment horizontal="center"/>
    </xf>
    <xf numFmtId="170" fontId="84" fillId="4" borderId="166" xfId="107" applyNumberFormat="1" applyFont="1" applyFill="1" applyBorder="1" applyAlignment="1" applyProtection="1">
      <alignment horizontal="center"/>
    </xf>
    <xf numFmtId="170" fontId="84" fillId="4" borderId="167" xfId="107" applyNumberFormat="1" applyFont="1" applyFill="1" applyBorder="1" applyAlignment="1" applyProtection="1">
      <alignment horizontal="center"/>
    </xf>
    <xf numFmtId="170" fontId="84" fillId="4" borderId="168" xfId="107" applyNumberFormat="1" applyFont="1" applyFill="1" applyBorder="1" applyAlignment="1" applyProtection="1">
      <alignment horizontal="center"/>
    </xf>
    <xf numFmtId="0" fontId="113" fillId="3" borderId="106" xfId="150" applyFont="1" applyFill="1" applyBorder="1" applyAlignment="1" applyProtection="1">
      <alignment horizontal="center" vertical="center"/>
    </xf>
    <xf numFmtId="0" fontId="14" fillId="4" borderId="0" xfId="82" applyFont="1" applyFill="1" applyBorder="1" applyAlignment="1" applyProtection="1">
      <alignment horizontal="justify" vertical="top" wrapText="1"/>
      <protection locked="0"/>
    </xf>
    <xf numFmtId="0" fontId="12" fillId="4" borderId="0" xfId="82" applyFont="1" applyFill="1" applyBorder="1" applyAlignment="1" applyProtection="1">
      <alignment horizontal="left" vertical="top" wrapText="1"/>
      <protection locked="0"/>
    </xf>
    <xf numFmtId="0" fontId="12" fillId="4" borderId="0" xfId="82" applyFont="1" applyFill="1" applyBorder="1" applyAlignment="1" applyProtection="1">
      <alignment horizontal="center" vertical="top" wrapText="1"/>
      <protection locked="0"/>
    </xf>
    <xf numFmtId="0" fontId="36" fillId="4" borderId="0" xfId="193" applyFont="1" applyFill="1" applyBorder="1" applyAlignment="1" applyProtection="1">
      <alignment horizontal="left"/>
    </xf>
    <xf numFmtId="170" fontId="108" fillId="4" borderId="81" xfId="193" applyNumberFormat="1" applyFont="1" applyFill="1" applyBorder="1" applyAlignment="1" applyProtection="1">
      <alignment horizontal="center"/>
    </xf>
    <xf numFmtId="170" fontId="108" fillId="4" borderId="82" xfId="193" applyNumberFormat="1" applyFont="1" applyFill="1" applyBorder="1" applyAlignment="1" applyProtection="1">
      <alignment horizontal="center"/>
    </xf>
    <xf numFmtId="170" fontId="108" fillId="4" borderId="83" xfId="193" applyNumberFormat="1" applyFont="1" applyFill="1" applyBorder="1" applyAlignment="1" applyProtection="1">
      <alignment horizontal="center"/>
    </xf>
    <xf numFmtId="170" fontId="84" fillId="4" borderId="84" xfId="107" applyNumberFormat="1" applyFont="1" applyFill="1" applyBorder="1" applyAlignment="1" applyProtection="1">
      <alignment horizontal="center"/>
    </xf>
    <xf numFmtId="170" fontId="84" fillId="4" borderId="82" xfId="107" applyNumberFormat="1" applyFont="1" applyFill="1" applyBorder="1" applyAlignment="1" applyProtection="1">
      <alignment horizontal="center"/>
    </xf>
    <xf numFmtId="170" fontId="84" fillId="4" borderId="85" xfId="107" applyNumberFormat="1" applyFont="1" applyFill="1" applyBorder="1" applyAlignment="1" applyProtection="1">
      <alignment horizontal="center"/>
    </xf>
    <xf numFmtId="170" fontId="84" fillId="4" borderId="98" xfId="193" applyNumberFormat="1" applyFont="1" applyFill="1" applyBorder="1" applyAlignment="1" applyProtection="1">
      <alignment horizontal="center"/>
    </xf>
    <xf numFmtId="170" fontId="84" fillId="4" borderId="99" xfId="193" applyNumberFormat="1" applyFont="1" applyFill="1" applyBorder="1" applyAlignment="1" applyProtection="1">
      <alignment horizontal="center"/>
    </xf>
    <xf numFmtId="170" fontId="84" fillId="4" borderId="100" xfId="193" applyNumberFormat="1" applyFont="1" applyFill="1" applyBorder="1" applyAlignment="1" applyProtection="1">
      <alignment horizontal="center"/>
    </xf>
    <xf numFmtId="170" fontId="84" fillId="4" borderId="101" xfId="107" applyNumberFormat="1" applyFont="1" applyFill="1" applyBorder="1" applyAlignment="1" applyProtection="1">
      <alignment horizontal="center"/>
    </xf>
    <xf numFmtId="170" fontId="84" fillId="4" borderId="99" xfId="107" applyNumberFormat="1" applyFont="1" applyFill="1" applyBorder="1" applyAlignment="1" applyProtection="1">
      <alignment horizontal="center"/>
    </xf>
    <xf numFmtId="170" fontId="84" fillId="4" borderId="102" xfId="107" applyNumberFormat="1" applyFont="1" applyFill="1" applyBorder="1" applyAlignment="1" applyProtection="1">
      <alignment horizontal="center"/>
    </xf>
    <xf numFmtId="1" fontId="108" fillId="4" borderId="98" xfId="193" applyNumberFormat="1" applyFont="1" applyFill="1" applyBorder="1" applyAlignment="1" applyProtection="1">
      <alignment horizontal="center"/>
    </xf>
    <xf numFmtId="1" fontId="108" fillId="4" borderId="99" xfId="193" applyNumberFormat="1" applyFont="1" applyFill="1" applyBorder="1" applyAlignment="1" applyProtection="1">
      <alignment horizontal="center"/>
    </xf>
    <xf numFmtId="170" fontId="108" fillId="4" borderId="101" xfId="107" applyNumberFormat="1" applyFont="1" applyFill="1" applyBorder="1" applyAlignment="1" applyProtection="1">
      <alignment horizontal="center"/>
    </xf>
    <xf numFmtId="170" fontId="108" fillId="4" borderId="99" xfId="107" applyNumberFormat="1" applyFont="1" applyFill="1" applyBorder="1" applyAlignment="1" applyProtection="1">
      <alignment horizontal="center"/>
    </xf>
    <xf numFmtId="170" fontId="108" fillId="4" borderId="102" xfId="107" applyNumberFormat="1" applyFont="1" applyFill="1" applyBorder="1" applyAlignment="1" applyProtection="1">
      <alignment horizontal="center"/>
    </xf>
    <xf numFmtId="1" fontId="108" fillId="0" borderId="92" xfId="193" applyNumberFormat="1" applyFont="1" applyFill="1" applyBorder="1" applyAlignment="1" applyProtection="1">
      <alignment horizontal="center"/>
    </xf>
    <xf numFmtId="1" fontId="108" fillId="0" borderId="90" xfId="193" applyNumberFormat="1" applyFont="1" applyFill="1" applyBorder="1" applyAlignment="1" applyProtection="1">
      <alignment horizontal="center"/>
    </xf>
    <xf numFmtId="1" fontId="108" fillId="0" borderId="93" xfId="193" applyNumberFormat="1" applyFont="1" applyFill="1" applyBorder="1" applyAlignment="1" applyProtection="1">
      <alignment horizontal="center"/>
    </xf>
    <xf numFmtId="1" fontId="108" fillId="4" borderId="92" xfId="193" applyNumberFormat="1" applyFont="1" applyFill="1" applyBorder="1" applyAlignment="1" applyProtection="1">
      <alignment horizontal="center"/>
    </xf>
    <xf numFmtId="1" fontId="108" fillId="4" borderId="90" xfId="193" applyNumberFormat="1" applyFont="1" applyFill="1" applyBorder="1" applyAlignment="1" applyProtection="1">
      <alignment horizontal="center"/>
    </xf>
    <xf numFmtId="1" fontId="108" fillId="4" borderId="93" xfId="193" applyNumberFormat="1" applyFont="1" applyFill="1" applyBorder="1" applyAlignment="1" applyProtection="1">
      <alignment horizontal="center"/>
    </xf>
    <xf numFmtId="1" fontId="108" fillId="4" borderId="100" xfId="193" applyNumberFormat="1" applyFont="1" applyFill="1" applyBorder="1" applyAlignment="1" applyProtection="1">
      <alignment horizontal="center"/>
    </xf>
    <xf numFmtId="0" fontId="11" fillId="0" borderId="2" xfId="193" applyBorder="1" applyAlignment="1" applyProtection="1">
      <alignment horizontal="center"/>
    </xf>
    <xf numFmtId="0" fontId="0" fillId="0" borderId="7" xfId="193" applyFont="1" applyBorder="1" applyAlignment="1" applyProtection="1">
      <alignment horizontal="center"/>
    </xf>
    <xf numFmtId="0" fontId="0" fillId="0" borderId="8" xfId="193" applyFont="1" applyBorder="1" applyAlignment="1" applyProtection="1">
      <alignment horizontal="center"/>
    </xf>
    <xf numFmtId="0" fontId="0" fillId="0" borderId="6" xfId="193" applyFont="1" applyBorder="1" applyAlignment="1" applyProtection="1">
      <alignment horizontal="center"/>
    </xf>
    <xf numFmtId="2" fontId="108" fillId="4" borderId="92" xfId="193" applyNumberFormat="1" applyFont="1" applyFill="1" applyBorder="1" applyAlignment="1" applyProtection="1">
      <alignment horizontal="center"/>
      <protection locked="0"/>
    </xf>
    <xf numFmtId="2" fontId="108" fillId="4" borderId="90" xfId="193" applyNumberFormat="1" applyFont="1" applyFill="1" applyBorder="1" applyAlignment="1" applyProtection="1">
      <alignment horizontal="center"/>
      <protection locked="0"/>
    </xf>
    <xf numFmtId="2" fontId="108" fillId="4" borderId="93" xfId="193" applyNumberFormat="1" applyFont="1" applyFill="1" applyBorder="1" applyAlignment="1" applyProtection="1">
      <alignment horizontal="center"/>
      <protection locked="0"/>
    </xf>
    <xf numFmtId="170" fontId="108" fillId="0" borderId="98" xfId="193" applyNumberFormat="1" applyFont="1" applyFill="1" applyBorder="1" applyAlignment="1" applyProtection="1">
      <alignment horizontal="center"/>
    </xf>
    <xf numFmtId="170" fontId="108" fillId="0" borderId="99" xfId="193" applyNumberFormat="1" applyFont="1" applyFill="1" applyBorder="1" applyAlignment="1" applyProtection="1">
      <alignment horizontal="center"/>
    </xf>
    <xf numFmtId="170" fontId="108" fillId="0" borderId="100" xfId="193" applyNumberFormat="1" applyFont="1" applyFill="1" applyBorder="1" applyAlignment="1" applyProtection="1">
      <alignment horizontal="center"/>
    </xf>
    <xf numFmtId="170" fontId="108" fillId="0" borderId="102" xfId="193" applyNumberFormat="1" applyFont="1" applyFill="1" applyBorder="1" applyAlignment="1" applyProtection="1">
      <alignment horizontal="center"/>
    </xf>
    <xf numFmtId="170" fontId="108" fillId="0" borderId="89" xfId="193" applyNumberFormat="1" applyFont="1" applyFill="1" applyBorder="1" applyAlignment="1" applyProtection="1">
      <alignment horizontal="center"/>
    </xf>
    <xf numFmtId="170" fontId="108" fillId="0" borderId="90" xfId="193" applyNumberFormat="1" applyFont="1" applyFill="1" applyBorder="1" applyAlignment="1" applyProtection="1">
      <alignment horizontal="center"/>
    </xf>
    <xf numFmtId="170" fontId="108" fillId="0" borderId="91" xfId="193" applyNumberFormat="1" applyFont="1" applyFill="1" applyBorder="1" applyAlignment="1" applyProtection="1">
      <alignment horizontal="center"/>
    </xf>
    <xf numFmtId="170" fontId="108" fillId="0" borderId="92" xfId="193" applyNumberFormat="1" applyFont="1" applyFill="1" applyBorder="1" applyAlignment="1" applyProtection="1">
      <alignment horizontal="center"/>
    </xf>
    <xf numFmtId="1" fontId="23" fillId="0" borderId="0" xfId="193" applyNumberFormat="1" applyFont="1" applyBorder="1" applyAlignment="1" applyProtection="1">
      <alignment horizontal="center" vertical="center"/>
      <protection locked="0"/>
    </xf>
    <xf numFmtId="0" fontId="36" fillId="2" borderId="9" xfId="193" applyFont="1" applyFill="1" applyBorder="1" applyAlignment="1" applyProtection="1">
      <alignment horizontal="center" vertical="center"/>
    </xf>
    <xf numFmtId="0" fontId="36" fillId="2" borderId="10" xfId="193" applyFont="1" applyFill="1" applyBorder="1" applyAlignment="1" applyProtection="1">
      <alignment horizontal="center" vertical="center"/>
    </xf>
    <xf numFmtId="0" fontId="36" fillId="2" borderId="14" xfId="193" applyFont="1" applyFill="1" applyBorder="1" applyAlignment="1" applyProtection="1">
      <alignment horizontal="center" vertical="center"/>
    </xf>
    <xf numFmtId="1" fontId="36" fillId="2" borderId="9" xfId="193" applyNumberFormat="1" applyFont="1" applyFill="1" applyBorder="1" applyAlignment="1" applyProtection="1">
      <alignment horizontal="center" vertical="center"/>
    </xf>
    <xf numFmtId="1" fontId="36" fillId="2" borderId="10" xfId="193" applyNumberFormat="1" applyFont="1" applyFill="1" applyBorder="1" applyAlignment="1" applyProtection="1">
      <alignment horizontal="center" vertical="center"/>
    </xf>
    <xf numFmtId="1" fontId="36" fillId="2" borderId="14" xfId="193" applyNumberFormat="1" applyFont="1" applyFill="1" applyBorder="1" applyAlignment="1" applyProtection="1">
      <alignment horizontal="center" vertical="center"/>
    </xf>
    <xf numFmtId="1" fontId="36" fillId="2" borderId="81" xfId="193" applyNumberFormat="1" applyFont="1" applyFill="1" applyBorder="1" applyAlignment="1" applyProtection="1">
      <alignment horizontal="center"/>
    </xf>
    <xf numFmtId="1" fontId="36" fillId="2" borderId="82" xfId="193" applyNumberFormat="1" applyFont="1" applyFill="1" applyBorder="1" applyAlignment="1" applyProtection="1">
      <alignment horizontal="center"/>
    </xf>
    <xf numFmtId="1" fontId="36" fillId="2" borderId="83" xfId="193" applyNumberFormat="1" applyFont="1" applyFill="1" applyBorder="1" applyAlignment="1" applyProtection="1">
      <alignment horizontal="center"/>
    </xf>
    <xf numFmtId="1" fontId="36" fillId="2" borderId="84" xfId="193" applyNumberFormat="1" applyFont="1" applyFill="1" applyBorder="1" applyAlignment="1" applyProtection="1">
      <alignment horizontal="center"/>
      <protection locked="0"/>
    </xf>
    <xf numFmtId="1" fontId="36" fillId="2" borderId="82" xfId="193" applyNumberFormat="1" applyFont="1" applyFill="1" applyBorder="1" applyAlignment="1" applyProtection="1">
      <alignment horizontal="center"/>
      <protection locked="0"/>
    </xf>
    <xf numFmtId="1" fontId="36" fillId="2" borderId="85" xfId="193" applyNumberFormat="1" applyFont="1" applyFill="1" applyBorder="1" applyAlignment="1" applyProtection="1">
      <alignment horizontal="center"/>
      <protection locked="0"/>
    </xf>
    <xf numFmtId="170" fontId="108" fillId="0" borderId="90" xfId="193" applyNumberFormat="1" applyFont="1" applyFill="1" applyBorder="1" applyAlignment="1" applyProtection="1">
      <alignment horizontal="center"/>
      <protection locked="0"/>
    </xf>
    <xf numFmtId="170" fontId="108" fillId="0" borderId="93" xfId="193" applyNumberFormat="1" applyFont="1" applyFill="1" applyBorder="1" applyAlignment="1" applyProtection="1">
      <alignment horizontal="center"/>
      <protection locked="0"/>
    </xf>
    <xf numFmtId="170" fontId="108" fillId="0" borderId="89" xfId="193" applyNumberFormat="1" applyFont="1" applyFill="1" applyBorder="1" applyAlignment="1" applyProtection="1">
      <alignment horizontal="center"/>
      <protection locked="0"/>
    </xf>
    <xf numFmtId="170" fontId="108" fillId="0" borderId="91" xfId="193" applyNumberFormat="1" applyFont="1" applyFill="1" applyBorder="1" applyAlignment="1" applyProtection="1">
      <alignment horizontal="center"/>
      <protection locked="0"/>
    </xf>
    <xf numFmtId="170" fontId="108" fillId="0" borderId="93" xfId="193" applyNumberFormat="1" applyFont="1" applyFill="1" applyBorder="1" applyAlignment="1" applyProtection="1">
      <alignment horizontal="center"/>
    </xf>
    <xf numFmtId="170" fontId="108" fillId="0" borderId="86" xfId="193" applyNumberFormat="1" applyFont="1" applyFill="1" applyBorder="1" applyAlignment="1" applyProtection="1">
      <alignment horizontal="center"/>
    </xf>
    <xf numFmtId="170" fontId="108" fillId="0" borderId="87" xfId="193" applyNumberFormat="1" applyFont="1" applyFill="1" applyBorder="1" applyAlignment="1" applyProtection="1">
      <alignment horizontal="center"/>
    </xf>
    <xf numFmtId="170" fontId="108" fillId="0" borderId="94" xfId="193" applyNumberFormat="1" applyFont="1" applyFill="1" applyBorder="1" applyAlignment="1" applyProtection="1">
      <alignment horizontal="center"/>
    </xf>
    <xf numFmtId="1" fontId="13" fillId="3" borderId="81" xfId="193" applyNumberFormat="1" applyFont="1" applyFill="1" applyBorder="1" applyAlignment="1" applyProtection="1">
      <alignment horizontal="center"/>
      <protection locked="0"/>
    </xf>
    <xf numFmtId="1" fontId="13" fillId="3" borderId="82" xfId="193" applyNumberFormat="1" applyFont="1" applyFill="1" applyBorder="1" applyAlignment="1" applyProtection="1">
      <alignment horizontal="center"/>
      <protection locked="0"/>
    </xf>
    <xf numFmtId="1" fontId="13" fillId="3" borderId="83" xfId="193" applyNumberFormat="1" applyFont="1" applyFill="1" applyBorder="1" applyAlignment="1" applyProtection="1">
      <alignment horizontal="center"/>
      <protection locked="0"/>
    </xf>
    <xf numFmtId="1" fontId="13" fillId="3" borderId="81" xfId="193" applyNumberFormat="1" applyFont="1" applyFill="1" applyBorder="1" applyAlignment="1" applyProtection="1">
      <alignment horizontal="center"/>
    </xf>
    <xf numFmtId="1" fontId="13" fillId="3" borderId="82" xfId="193" applyNumberFormat="1" applyFont="1" applyFill="1" applyBorder="1" applyAlignment="1" applyProtection="1">
      <alignment horizontal="center"/>
    </xf>
    <xf numFmtId="1" fontId="13" fillId="3" borderId="85" xfId="193" applyNumberFormat="1" applyFont="1" applyFill="1" applyBorder="1" applyAlignment="1" applyProtection="1">
      <alignment horizontal="center"/>
    </xf>
    <xf numFmtId="170" fontId="108" fillId="0" borderId="177" xfId="193" applyNumberFormat="1" applyFont="1" applyFill="1" applyBorder="1" applyAlignment="1" applyProtection="1">
      <alignment horizontal="center"/>
    </xf>
    <xf numFmtId="170" fontId="108" fillId="0" borderId="178" xfId="193" applyNumberFormat="1" applyFont="1" applyFill="1" applyBorder="1" applyAlignment="1" applyProtection="1">
      <alignment horizontal="center"/>
    </xf>
    <xf numFmtId="170" fontId="108" fillId="0" borderId="179" xfId="193" applyNumberFormat="1" applyFont="1" applyFill="1" applyBorder="1" applyAlignment="1" applyProtection="1">
      <alignment horizontal="center"/>
    </xf>
    <xf numFmtId="170" fontId="108" fillId="0" borderId="180" xfId="193" applyNumberFormat="1" applyFont="1" applyFill="1" applyBorder="1" applyAlignment="1" applyProtection="1">
      <alignment horizontal="center"/>
    </xf>
    <xf numFmtId="170" fontId="108" fillId="0" borderId="181" xfId="193" applyNumberFormat="1" applyFont="1" applyFill="1" applyBorder="1" applyAlignment="1" applyProtection="1">
      <alignment horizontal="center"/>
    </xf>
    <xf numFmtId="0" fontId="36" fillId="2" borderId="11" xfId="193" applyFont="1" applyFill="1" applyBorder="1" applyAlignment="1" applyProtection="1">
      <alignment horizontal="left" vertical="center"/>
    </xf>
    <xf numFmtId="0" fontId="36" fillId="2" borderId="0" xfId="193" applyFont="1" applyFill="1" applyBorder="1" applyAlignment="1" applyProtection="1">
      <alignment horizontal="left" vertical="center"/>
    </xf>
    <xf numFmtId="0" fontId="36" fillId="2" borderId="0" xfId="193" applyFont="1" applyFill="1" applyBorder="1" applyAlignment="1" applyProtection="1">
      <alignment horizontal="center" vertical="center"/>
    </xf>
    <xf numFmtId="0" fontId="36" fillId="2" borderId="0" xfId="193" applyFont="1" applyFill="1" applyBorder="1" applyAlignment="1" applyProtection="1">
      <alignment horizontal="center" vertical="center" wrapText="1"/>
    </xf>
    <xf numFmtId="0" fontId="36" fillId="2" borderId="15" xfId="193" applyFont="1" applyFill="1" applyBorder="1" applyAlignment="1" applyProtection="1">
      <alignment horizontal="center" vertical="center" wrapText="1"/>
    </xf>
    <xf numFmtId="0" fontId="37" fillId="4" borderId="11" xfId="193" applyFont="1" applyFill="1" applyBorder="1" applyAlignment="1" applyProtection="1">
      <alignment horizontal="left"/>
    </xf>
    <xf numFmtId="0" fontId="37" fillId="4" borderId="0" xfId="193" applyFont="1" applyFill="1" applyBorder="1" applyAlignment="1" applyProtection="1">
      <alignment horizontal="left"/>
    </xf>
    <xf numFmtId="170" fontId="84" fillId="4" borderId="19" xfId="193" applyNumberFormat="1" applyFont="1" applyFill="1" applyBorder="1" applyAlignment="1" applyProtection="1">
      <alignment horizontal="center"/>
    </xf>
    <xf numFmtId="170" fontId="84" fillId="4" borderId="0" xfId="193" applyNumberFormat="1" applyFont="1" applyFill="1" applyBorder="1" applyAlignment="1" applyProtection="1">
      <alignment horizontal="center"/>
    </xf>
    <xf numFmtId="170" fontId="84" fillId="4" borderId="28" xfId="193" applyNumberFormat="1" applyFont="1" applyFill="1" applyBorder="1" applyAlignment="1" applyProtection="1">
      <alignment horizontal="center"/>
    </xf>
    <xf numFmtId="170" fontId="84" fillId="4" borderId="15" xfId="193" applyNumberFormat="1" applyFont="1" applyFill="1" applyBorder="1" applyAlignment="1" applyProtection="1">
      <alignment horizontal="center"/>
    </xf>
    <xf numFmtId="170" fontId="108" fillId="0" borderId="91" xfId="107" applyNumberFormat="1" applyFont="1" applyFill="1" applyBorder="1" applyAlignment="1" applyProtection="1">
      <alignment horizontal="center"/>
    </xf>
    <xf numFmtId="170" fontId="108" fillId="0" borderId="87" xfId="107" applyNumberFormat="1" applyFont="1" applyFill="1" applyBorder="1" applyAlignment="1" applyProtection="1">
      <alignment horizontal="center"/>
    </xf>
    <xf numFmtId="170" fontId="108" fillId="0" borderId="94" xfId="107" applyNumberFormat="1" applyFont="1" applyFill="1" applyBorder="1" applyAlignment="1" applyProtection="1">
      <alignment horizontal="center"/>
    </xf>
    <xf numFmtId="170" fontId="108" fillId="0" borderId="165" xfId="107" applyNumberFormat="1" applyFont="1" applyFill="1" applyBorder="1" applyAlignment="1" applyProtection="1">
      <alignment horizontal="center"/>
    </xf>
    <xf numFmtId="170" fontId="108" fillId="0" borderId="164" xfId="107" applyNumberFormat="1" applyFont="1" applyFill="1" applyBorder="1" applyAlignment="1" applyProtection="1">
      <alignment horizontal="center"/>
    </xf>
    <xf numFmtId="170" fontId="108" fillId="0" borderId="88" xfId="107" applyNumberFormat="1" applyFont="1" applyFill="1" applyBorder="1" applyAlignment="1" applyProtection="1">
      <alignment horizontal="center"/>
    </xf>
    <xf numFmtId="173" fontId="108" fillId="4" borderId="89" xfId="193" applyNumberFormat="1" applyFont="1" applyFill="1" applyBorder="1" applyAlignment="1" applyProtection="1">
      <alignment horizontal="center"/>
    </xf>
    <xf numFmtId="173" fontId="108" fillId="4" borderId="90" xfId="193" applyNumberFormat="1" applyFont="1" applyFill="1" applyBorder="1" applyAlignment="1" applyProtection="1">
      <alignment horizontal="center"/>
    </xf>
    <xf numFmtId="173" fontId="108" fillId="4" borderId="91" xfId="193" applyNumberFormat="1" applyFont="1" applyFill="1" applyBorder="1" applyAlignment="1" applyProtection="1">
      <alignment horizontal="center"/>
    </xf>
    <xf numFmtId="173" fontId="108" fillId="4" borderId="92" xfId="193" applyNumberFormat="1" applyFont="1" applyFill="1" applyBorder="1" applyAlignment="1" applyProtection="1">
      <alignment horizontal="center"/>
    </xf>
    <xf numFmtId="173" fontId="108" fillId="4" borderId="93" xfId="193" applyNumberFormat="1" applyFont="1" applyFill="1" applyBorder="1" applyAlignment="1" applyProtection="1">
      <alignment horizontal="center"/>
    </xf>
    <xf numFmtId="1" fontId="23" fillId="0" borderId="7" xfId="193" applyNumberFormat="1" applyFont="1" applyBorder="1" applyAlignment="1" applyProtection="1">
      <alignment horizontal="center" vertical="center"/>
      <protection locked="0"/>
    </xf>
    <xf numFmtId="1" fontId="23" fillId="0" borderId="6" xfId="193" applyNumberFormat="1" applyFont="1" applyBorder="1" applyAlignment="1" applyProtection="1">
      <alignment horizontal="center" vertical="center"/>
      <protection locked="0"/>
    </xf>
    <xf numFmtId="0" fontId="0" fillId="0" borderId="8" xfId="193" applyFont="1" applyBorder="1" applyAlignment="1" applyProtection="1">
      <alignment horizontal="center" vertical="center"/>
    </xf>
    <xf numFmtId="0" fontId="11" fillId="0" borderId="8" xfId="193" applyFont="1" applyBorder="1" applyAlignment="1" applyProtection="1">
      <alignment horizontal="center" vertical="center"/>
    </xf>
    <xf numFmtId="0" fontId="11" fillId="0" borderId="6" xfId="193" applyFont="1" applyBorder="1" applyAlignment="1" applyProtection="1">
      <alignment horizontal="center" vertical="center"/>
    </xf>
    <xf numFmtId="0" fontId="11" fillId="0" borderId="8" xfId="193" applyBorder="1" applyAlignment="1" applyProtection="1">
      <alignment horizontal="center"/>
    </xf>
    <xf numFmtId="0" fontId="11" fillId="0" borderId="6" xfId="193" applyBorder="1" applyAlignment="1" applyProtection="1">
      <alignment horizontal="center"/>
    </xf>
    <xf numFmtId="170" fontId="108" fillId="0" borderId="92" xfId="193" applyNumberFormat="1" applyFont="1" applyFill="1" applyBorder="1" applyAlignment="1" applyProtection="1">
      <alignment horizontal="center"/>
      <protection locked="0"/>
    </xf>
    <xf numFmtId="1" fontId="23" fillId="0" borderId="8" xfId="193" applyNumberFormat="1" applyFont="1" applyBorder="1" applyAlignment="1" applyProtection="1">
      <alignment horizontal="center" vertical="center"/>
      <protection locked="0"/>
    </xf>
    <xf numFmtId="0" fontId="36" fillId="2" borderId="169" xfId="193" applyFont="1" applyFill="1" applyBorder="1" applyAlignment="1" applyProtection="1">
      <alignment horizontal="left" vertical="center"/>
    </xf>
    <xf numFmtId="0" fontId="36" fillId="2" borderId="170" xfId="193" applyFont="1" applyFill="1" applyBorder="1" applyAlignment="1" applyProtection="1">
      <alignment horizontal="left" vertical="center"/>
    </xf>
    <xf numFmtId="0" fontId="36" fillId="2" borderId="171" xfId="193" applyFont="1" applyFill="1" applyBorder="1" applyAlignment="1" applyProtection="1">
      <alignment horizontal="left" vertical="center"/>
    </xf>
    <xf numFmtId="1" fontId="36" fillId="2" borderId="172" xfId="193" applyNumberFormat="1" applyFont="1" applyFill="1" applyBorder="1" applyAlignment="1" applyProtection="1">
      <alignment horizontal="center" vertical="center"/>
      <protection locked="0"/>
    </xf>
    <xf numFmtId="1" fontId="36" fillId="2" borderId="173" xfId="193" applyNumberFormat="1" applyFont="1" applyFill="1" applyBorder="1" applyAlignment="1" applyProtection="1">
      <alignment horizontal="center" vertical="center"/>
      <protection locked="0"/>
    </xf>
    <xf numFmtId="1" fontId="36" fillId="2" borderId="174" xfId="193" applyNumberFormat="1" applyFont="1" applyFill="1" applyBorder="1" applyAlignment="1" applyProtection="1">
      <alignment horizontal="center" vertical="center"/>
      <protection locked="0"/>
    </xf>
    <xf numFmtId="1" fontId="36" fillId="2" borderId="175" xfId="193" applyNumberFormat="1" applyFont="1" applyFill="1" applyBorder="1" applyAlignment="1" applyProtection="1">
      <alignment horizontal="center" vertical="center"/>
      <protection locked="0"/>
    </xf>
    <xf numFmtId="0" fontId="11" fillId="4" borderId="9" xfId="78" applyFont="1" applyFill="1" applyBorder="1" applyAlignment="1" applyProtection="1">
      <alignment horizontal="center"/>
    </xf>
    <xf numFmtId="0" fontId="11" fillId="4" borderId="10" xfId="78" applyFont="1" applyFill="1" applyBorder="1" applyAlignment="1" applyProtection="1">
      <alignment horizontal="center"/>
    </xf>
    <xf numFmtId="0" fontId="11" fillId="4" borderId="14" xfId="78" applyFont="1" applyFill="1" applyBorder="1" applyAlignment="1" applyProtection="1">
      <alignment horizontal="center"/>
    </xf>
    <xf numFmtId="0" fontId="11" fillId="4" borderId="11" xfId="78" applyFont="1" applyFill="1" applyBorder="1" applyAlignment="1" applyProtection="1">
      <alignment horizontal="center"/>
    </xf>
    <xf numFmtId="0" fontId="11" fillId="4" borderId="0" xfId="78" applyFont="1" applyFill="1" applyBorder="1" applyAlignment="1" applyProtection="1">
      <alignment horizontal="center"/>
    </xf>
    <xf numFmtId="0" fontId="11" fillId="4" borderId="15" xfId="78" applyFont="1" applyFill="1" applyBorder="1" applyAlignment="1" applyProtection="1">
      <alignment horizontal="center"/>
    </xf>
    <xf numFmtId="0" fontId="107" fillId="4" borderId="9" xfId="89" applyFont="1" applyFill="1" applyBorder="1" applyAlignment="1" applyProtection="1">
      <alignment horizontal="left" vertical="center" wrapText="1"/>
    </xf>
    <xf numFmtId="0" fontId="107" fillId="4" borderId="10" xfId="89" applyFont="1" applyFill="1" applyBorder="1" applyAlignment="1" applyProtection="1">
      <alignment horizontal="left" vertical="center" wrapText="1"/>
    </xf>
    <xf numFmtId="0" fontId="107" fillId="4" borderId="14" xfId="89" applyFont="1" applyFill="1" applyBorder="1" applyAlignment="1" applyProtection="1">
      <alignment horizontal="left" vertical="center" wrapText="1"/>
    </xf>
    <xf numFmtId="0" fontId="107" fillId="4" borderId="9" xfId="89" applyFont="1" applyFill="1" applyBorder="1" applyAlignment="1" applyProtection="1">
      <alignment horizontal="left" vertical="center"/>
    </xf>
    <xf numFmtId="0" fontId="107" fillId="4" borderId="10" xfId="89" applyFont="1" applyFill="1" applyBorder="1" applyAlignment="1" applyProtection="1">
      <alignment horizontal="left" vertical="center"/>
    </xf>
    <xf numFmtId="0" fontId="107" fillId="4" borderId="14" xfId="89" applyFont="1" applyFill="1" applyBorder="1" applyAlignment="1" applyProtection="1">
      <alignment horizontal="left" vertical="center"/>
    </xf>
    <xf numFmtId="0" fontId="12" fillId="4" borderId="9" xfId="78" applyFont="1" applyFill="1" applyBorder="1" applyAlignment="1" applyProtection="1">
      <alignment horizontal="center" vertical="center" wrapText="1"/>
    </xf>
    <xf numFmtId="0" fontId="12" fillId="4" borderId="10" xfId="78" applyFont="1" applyFill="1" applyBorder="1" applyAlignment="1" applyProtection="1">
      <alignment horizontal="center" vertical="center" wrapText="1"/>
    </xf>
    <xf numFmtId="0" fontId="12" fillId="4" borderId="14" xfId="78" applyFont="1" applyFill="1" applyBorder="1" applyAlignment="1" applyProtection="1">
      <alignment horizontal="center" vertical="center" wrapText="1"/>
    </xf>
    <xf numFmtId="0" fontId="12" fillId="4" borderId="11" xfId="78" applyFont="1" applyFill="1" applyBorder="1" applyAlignment="1" applyProtection="1">
      <alignment horizontal="center" vertical="center" wrapText="1"/>
    </xf>
    <xf numFmtId="0" fontId="12" fillId="4" borderId="0" xfId="78" applyFont="1" applyFill="1" applyBorder="1" applyAlignment="1" applyProtection="1">
      <alignment horizontal="center" vertical="center" wrapText="1"/>
    </xf>
    <xf numFmtId="0" fontId="12" fillId="4" borderId="15" xfId="78" applyFont="1" applyFill="1" applyBorder="1" applyAlignment="1" applyProtection="1">
      <alignment horizontal="center" vertical="center" wrapText="1"/>
    </xf>
    <xf numFmtId="0" fontId="12" fillId="4" borderId="12" xfId="78" applyFont="1" applyFill="1" applyBorder="1" applyAlignment="1" applyProtection="1">
      <alignment horizontal="center" vertical="center" wrapText="1"/>
    </xf>
    <xf numFmtId="0" fontId="12" fillId="4" borderId="5" xfId="78" applyFont="1" applyFill="1" applyBorder="1" applyAlignment="1" applyProtection="1">
      <alignment horizontal="center" vertical="center" wrapText="1"/>
    </xf>
    <xf numFmtId="0" fontId="12" fillId="4" borderId="13" xfId="78" applyFont="1" applyFill="1" applyBorder="1" applyAlignment="1" applyProtection="1">
      <alignment horizontal="center" vertical="center" wrapText="1"/>
    </xf>
    <xf numFmtId="0" fontId="11" fillId="0" borderId="0" xfId="89" applyFont="1" applyFill="1" applyBorder="1" applyAlignment="1" applyProtection="1">
      <alignment horizontal="left"/>
      <protection locked="0"/>
    </xf>
    <xf numFmtId="0" fontId="112" fillId="4" borderId="0" xfId="82" applyFont="1" applyFill="1" applyBorder="1" applyAlignment="1" applyProtection="1">
      <alignment horizontal="center" vertical="center"/>
    </xf>
    <xf numFmtId="0" fontId="111" fillId="4" borderId="0" xfId="82" applyFont="1" applyFill="1" applyBorder="1" applyAlignment="1" applyProtection="1">
      <alignment horizontal="right" vertical="center" wrapText="1"/>
    </xf>
    <xf numFmtId="0" fontId="43" fillId="0" borderId="0" xfId="151" applyFont="1" applyFill="1" applyBorder="1" applyAlignment="1" applyProtection="1">
      <alignment horizontal="center" wrapText="1"/>
    </xf>
    <xf numFmtId="190" fontId="37" fillId="4" borderId="0" xfId="193" applyNumberFormat="1" applyFont="1" applyFill="1" applyBorder="1" applyAlignment="1" applyProtection="1">
      <alignment horizontal="center"/>
      <protection locked="0"/>
    </xf>
    <xf numFmtId="1" fontId="36" fillId="2" borderId="176" xfId="193" applyNumberFormat="1" applyFont="1" applyFill="1" applyBorder="1" applyAlignment="1" applyProtection="1">
      <alignment horizontal="center" vertical="center"/>
      <protection locked="0"/>
    </xf>
    <xf numFmtId="170" fontId="108" fillId="4" borderId="89" xfId="193" applyNumberFormat="1" applyFont="1" applyFill="1" applyBorder="1" applyAlignment="1" applyProtection="1">
      <alignment horizontal="center"/>
    </xf>
    <xf numFmtId="170" fontId="108" fillId="4" borderId="90" xfId="193" applyNumberFormat="1" applyFont="1" applyFill="1" applyBorder="1" applyAlignment="1" applyProtection="1">
      <alignment horizontal="center"/>
    </xf>
    <xf numFmtId="170" fontId="108" fillId="4" borderId="91" xfId="193" applyNumberFormat="1" applyFont="1" applyFill="1" applyBorder="1" applyAlignment="1" applyProtection="1">
      <alignment horizontal="center"/>
    </xf>
    <xf numFmtId="170" fontId="108" fillId="4" borderId="92" xfId="193" applyNumberFormat="1" applyFont="1" applyFill="1" applyBorder="1" applyAlignment="1" applyProtection="1">
      <alignment horizontal="center"/>
    </xf>
    <xf numFmtId="170" fontId="108" fillId="4" borderId="93" xfId="193" applyNumberFormat="1" applyFont="1" applyFill="1" applyBorder="1" applyAlignment="1" applyProtection="1">
      <alignment horizontal="center"/>
    </xf>
    <xf numFmtId="170" fontId="108" fillId="0" borderId="89" xfId="107" applyNumberFormat="1" applyFont="1" applyFill="1" applyBorder="1" applyAlignment="1" applyProtection="1">
      <alignment horizontal="center"/>
    </xf>
    <xf numFmtId="170" fontId="108" fillId="0" borderId="90" xfId="107" applyNumberFormat="1" applyFont="1" applyFill="1" applyBorder="1" applyAlignment="1" applyProtection="1">
      <alignment horizontal="center"/>
    </xf>
    <xf numFmtId="0" fontId="0" fillId="0" borderId="2" xfId="193" applyFont="1" applyBorder="1" applyAlignment="1" applyProtection="1">
      <alignment horizontal="center"/>
    </xf>
    <xf numFmtId="0" fontId="37" fillId="4" borderId="9" xfId="193" applyFont="1" applyFill="1" applyBorder="1" applyAlignment="1" applyProtection="1">
      <alignment horizontal="left"/>
    </xf>
    <xf numFmtId="0" fontId="37" fillId="4" borderId="10" xfId="193" applyFont="1" applyFill="1" applyBorder="1" applyAlignment="1" applyProtection="1">
      <alignment horizontal="left"/>
    </xf>
    <xf numFmtId="173" fontId="84" fillId="4" borderId="35" xfId="193" applyNumberFormat="1" applyFont="1" applyFill="1" applyBorder="1" applyAlignment="1" applyProtection="1">
      <alignment horizontal="center"/>
    </xf>
    <xf numFmtId="173" fontId="84" fillId="4" borderId="10" xfId="193" applyNumberFormat="1" applyFont="1" applyFill="1" applyBorder="1" applyAlignment="1" applyProtection="1">
      <alignment horizontal="center"/>
    </xf>
    <xf numFmtId="173" fontId="84" fillId="4" borderId="116" xfId="193" applyNumberFormat="1" applyFont="1" applyFill="1" applyBorder="1" applyAlignment="1" applyProtection="1">
      <alignment horizontal="center"/>
    </xf>
    <xf numFmtId="173" fontId="84" fillId="4" borderId="14" xfId="193" applyNumberFormat="1" applyFont="1" applyFill="1" applyBorder="1" applyAlignment="1" applyProtection="1">
      <alignment horizontal="center"/>
    </xf>
    <xf numFmtId="173" fontId="84" fillId="4" borderId="19" xfId="193" applyNumberFormat="1" applyFont="1" applyFill="1" applyBorder="1" applyAlignment="1" applyProtection="1">
      <alignment horizontal="center"/>
    </xf>
    <xf numFmtId="173" fontId="84" fillId="4" borderId="0" xfId="193" applyNumberFormat="1" applyFont="1" applyFill="1" applyBorder="1" applyAlignment="1" applyProtection="1">
      <alignment horizontal="center"/>
    </xf>
    <xf numFmtId="173" fontId="84" fillId="4" borderId="28" xfId="193" applyNumberFormat="1" applyFont="1" applyFill="1" applyBorder="1" applyAlignment="1" applyProtection="1">
      <alignment horizontal="center"/>
    </xf>
    <xf numFmtId="173" fontId="84" fillId="4" borderId="15" xfId="193" applyNumberFormat="1" applyFont="1" applyFill="1" applyBorder="1" applyAlignment="1" applyProtection="1">
      <alignment horizontal="center"/>
    </xf>
    <xf numFmtId="0" fontId="37" fillId="14" borderId="81" xfId="199" applyFont="1" applyFill="1" applyBorder="1" applyAlignment="1" applyProtection="1">
      <alignment horizontal="center" vertical="center"/>
    </xf>
    <xf numFmtId="0" fontId="37" fillId="14" borderId="82" xfId="199" applyFont="1" applyFill="1" applyBorder="1" applyAlignment="1" applyProtection="1">
      <alignment horizontal="center" vertical="center"/>
    </xf>
    <xf numFmtId="0" fontId="37" fillId="14" borderId="85" xfId="199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/>
    </xf>
    <xf numFmtId="0" fontId="27" fillId="4" borderId="7" xfId="0" applyFont="1" applyFill="1" applyBorder="1" applyAlignment="1">
      <alignment horizontal="center" vertical="center" wrapText="1"/>
    </xf>
    <xf numFmtId="0" fontId="27" fillId="4" borderId="8" xfId="0" applyFont="1" applyFill="1" applyBorder="1" applyAlignment="1">
      <alignment horizontal="center" vertical="center" wrapText="1"/>
    </xf>
    <xf numFmtId="0" fontId="27" fillId="4" borderId="15" xfId="0" applyFont="1" applyFill="1" applyBorder="1" applyAlignment="1">
      <alignment horizontal="center" vertical="center" wrapText="1"/>
    </xf>
    <xf numFmtId="0" fontId="27" fillId="4" borderId="7" xfId="132" applyFont="1" applyFill="1" applyBorder="1" applyAlignment="1" applyProtection="1">
      <alignment horizontal="center" vertical="center" wrapText="1"/>
    </xf>
    <xf numFmtId="0" fontId="27" fillId="4" borderId="8" xfId="132" applyFont="1" applyFill="1" applyBorder="1" applyAlignment="1" applyProtection="1">
      <alignment horizontal="center" vertical="center" wrapText="1"/>
    </xf>
    <xf numFmtId="0" fontId="27" fillId="4" borderId="15" xfId="132" applyFont="1" applyFill="1" applyBorder="1" applyAlignment="1" applyProtection="1">
      <alignment horizontal="center" vertical="center" wrapText="1"/>
    </xf>
  </cellXfs>
  <cellStyles count="200">
    <cellStyle name="CIENTOS" xfId="1"/>
    <cellStyle name="CIENTOS 2D" xfId="2"/>
    <cellStyle name="CIENTOS 3D" xfId="3"/>
    <cellStyle name="CIENTOS 4D" xfId="4"/>
    <cellStyle name="CIENTOS_Acta 01 Sep15 a Oct 31_07 Rogelio" xfId="5"/>
    <cellStyle name="Comma" xfId="6"/>
    <cellStyle name="Comma0" xfId="7"/>
    <cellStyle name="Comma0 - Modelo5" xfId="8"/>
    <cellStyle name="Comma1 - Modelo1" xfId="9"/>
    <cellStyle name="Curren - Modelo2" xfId="10"/>
    <cellStyle name="Curren - Modelo6" xfId="11"/>
    <cellStyle name="Currency" xfId="12"/>
    <cellStyle name="Currency0" xfId="13"/>
    <cellStyle name="Date" xfId="14"/>
    <cellStyle name="Date - Modelo4" xfId="15"/>
    <cellStyle name="Euro" xfId="16"/>
    <cellStyle name="Euro 2" xfId="17"/>
    <cellStyle name="Euro 3" xfId="18"/>
    <cellStyle name="Euro 4" xfId="19"/>
    <cellStyle name="Euro 5" xfId="20"/>
    <cellStyle name="Euro_ACTAS DE OBRA CONTRATO" xfId="21"/>
    <cellStyle name="F2" xfId="22"/>
    <cellStyle name="F3" xfId="23"/>
    <cellStyle name="F4" xfId="24"/>
    <cellStyle name="F5" xfId="25"/>
    <cellStyle name="F6" xfId="26"/>
    <cellStyle name="F7" xfId="27"/>
    <cellStyle name="F8" xfId="28"/>
    <cellStyle name="Fixed" xfId="29"/>
    <cellStyle name="Heading 1" xfId="30"/>
    <cellStyle name="Heading 2" xfId="31"/>
    <cellStyle name="Heading1" xfId="32"/>
    <cellStyle name="Heading2" xfId="33"/>
    <cellStyle name="MILE DE MILLONES" xfId="34"/>
    <cellStyle name="MILES" xfId="35"/>
    <cellStyle name="Millares [0] 2" xfId="36"/>
    <cellStyle name="Millares [0] 2 2" xfId="37"/>
    <cellStyle name="Millares [0] 2 2 2" xfId="127"/>
    <cellStyle name="Millares [0] 2 2 2 2" xfId="170"/>
    <cellStyle name="Millares [0] 2 3" xfId="38"/>
    <cellStyle name="Millares [0] 2 3 2" xfId="128"/>
    <cellStyle name="Millares [0] 2 3 2 2" xfId="171"/>
    <cellStyle name="Millares [0] 2 4" xfId="39"/>
    <cellStyle name="Millares [0] 2 4 2" xfId="129"/>
    <cellStyle name="Millares [0] 2 4 2 2" xfId="172"/>
    <cellStyle name="Millares [0] 2 5" xfId="40"/>
    <cellStyle name="Millares [0] 2 5 2" xfId="130"/>
    <cellStyle name="Millares [0] 2 5 2 2" xfId="173"/>
    <cellStyle name="Millares [0] 2 6" xfId="126"/>
    <cellStyle name="Millares [0] 2 6 2" xfId="169"/>
    <cellStyle name="Millares 10" xfId="41"/>
    <cellStyle name="Millares 11" xfId="42"/>
    <cellStyle name="Millares 12" xfId="43"/>
    <cellStyle name="Millares 13" xfId="44"/>
    <cellStyle name="Millares 14" xfId="45"/>
    <cellStyle name="Millares 15" xfId="46"/>
    <cellStyle name="Millares 2" xfId="47"/>
    <cellStyle name="Millares 2 2" xfId="124"/>
    <cellStyle name="Millares 2 2 2" xfId="148"/>
    <cellStyle name="Millares 2 2 2 2" xfId="191"/>
    <cellStyle name="Millares 2 2 3" xfId="168"/>
    <cellStyle name="Millares 3" xfId="48"/>
    <cellStyle name="Millares 3 2" xfId="49"/>
    <cellStyle name="Millares 3 2 2" xfId="131"/>
    <cellStyle name="Millares 3 2 2 2" xfId="174"/>
    <cellStyle name="Millares 4" xfId="50"/>
    <cellStyle name="Millares 5" xfId="51"/>
    <cellStyle name="Millares 6" xfId="52"/>
    <cellStyle name="Millares 7" xfId="53"/>
    <cellStyle name="Millares 8" xfId="54"/>
    <cellStyle name="Millares 9" xfId="55"/>
    <cellStyle name="MILLONES" xfId="56"/>
    <cellStyle name="Moneda 10" xfId="57"/>
    <cellStyle name="Moneda 11" xfId="58"/>
    <cellStyle name="Moneda 12" xfId="59"/>
    <cellStyle name="Moneda 13" xfId="60"/>
    <cellStyle name="Moneda 2" xfId="61"/>
    <cellStyle name="Moneda 3" xfId="62"/>
    <cellStyle name="Moneda 4" xfId="63"/>
    <cellStyle name="Moneda 5" xfId="64"/>
    <cellStyle name="Moneda 6" xfId="65"/>
    <cellStyle name="Moneda 7" xfId="66"/>
    <cellStyle name="Moneda 8" xfId="67"/>
    <cellStyle name="Moneda 9" xfId="68"/>
    <cellStyle name="Monetario0" xfId="69"/>
    <cellStyle name="Nïrmal_PROINVER" xfId="70"/>
    <cellStyle name="No. punto" xfId="71"/>
    <cellStyle name="Normal" xfId="0" builtinId="0"/>
    <cellStyle name="Normal 10" xfId="72"/>
    <cellStyle name="Normal 10 2" xfId="132"/>
    <cellStyle name="Normal 10 2 2" xfId="175"/>
    <cellStyle name="Normal 10 3" xfId="73"/>
    <cellStyle name="Normal 10 4" xfId="152"/>
    <cellStyle name="Normal 11" xfId="74"/>
    <cellStyle name="Normal 12" xfId="122"/>
    <cellStyle name="Normal 12 2" xfId="146"/>
    <cellStyle name="Normal 12 2 2" xfId="189"/>
    <cellStyle name="Normal 12 3" xfId="166"/>
    <cellStyle name="Normal 13" xfId="75"/>
    <cellStyle name="Normal 15" xfId="192"/>
    <cellStyle name="Normal 15 2" xfId="194"/>
    <cellStyle name="Normal 15 2 2" xfId="196"/>
    <cellStyle name="Normal 15 2 3" xfId="199"/>
    <cellStyle name="Normal 2" xfId="76"/>
    <cellStyle name="Normal 2 2" xfId="77"/>
    <cellStyle name="Normal 2 2 2" xfId="78"/>
    <cellStyle name="Normal 2 2 3" xfId="79"/>
    <cellStyle name="Normal 2 2 4" xfId="80"/>
    <cellStyle name="Normal 2 2 5" xfId="133"/>
    <cellStyle name="Normal 2 2 5 2" xfId="176"/>
    <cellStyle name="Normal 2 2 6" xfId="153"/>
    <cellStyle name="Normal 2 3" xfId="81"/>
    <cellStyle name="Normal 2 3 3" xfId="150"/>
    <cellStyle name="Normal 2 4" xfId="82"/>
    <cellStyle name="Normal 2 5" xfId="83"/>
    <cellStyle name="Normal 2 6" xfId="84"/>
    <cellStyle name="Normal 2 7" xfId="85"/>
    <cellStyle name="Normal 2 8" xfId="86"/>
    <cellStyle name="Normal 2 8 2" xfId="134"/>
    <cellStyle name="Normal 2 8 2 2" xfId="177"/>
    <cellStyle name="Normal 2 8 3" xfId="154"/>
    <cellStyle name="Normal 2 9" xfId="87"/>
    <cellStyle name="Normal 2 9 2" xfId="135"/>
    <cellStyle name="Normal 2 9 2 2" xfId="178"/>
    <cellStyle name="Normal 2 9 3" xfId="155"/>
    <cellStyle name="Normal 3" xfId="88"/>
    <cellStyle name="Normal 3 2" xfId="89"/>
    <cellStyle name="Normal 3 3" xfId="123"/>
    <cellStyle name="Normal 3 3 2" xfId="147"/>
    <cellStyle name="Normal 3 3 2 2" xfId="190"/>
    <cellStyle name="Normal 3 3 3" xfId="167"/>
    <cellStyle name="Normal 4" xfId="90"/>
    <cellStyle name="Normal 4 2" xfId="136"/>
    <cellStyle name="Normal 4 2 2" xfId="179"/>
    <cellStyle name="Normal 4 3" xfId="156"/>
    <cellStyle name="Normal 4 4" xfId="195"/>
    <cellStyle name="Normal 4 4 2" xfId="197"/>
    <cellStyle name="Normal 4 4 3" xfId="198"/>
    <cellStyle name="Normal 5" xfId="91"/>
    <cellStyle name="Normal 5 2" xfId="92"/>
    <cellStyle name="Normal 5 3" xfId="93"/>
    <cellStyle name="Normal 5 4" xfId="94"/>
    <cellStyle name="Normal 5 5" xfId="95"/>
    <cellStyle name="Normal 5 6" xfId="149"/>
    <cellStyle name="Normal 6" xfId="96"/>
    <cellStyle name="Normal 6 2" xfId="97"/>
    <cellStyle name="Normal 6 2 2" xfId="137"/>
    <cellStyle name="Normal 6 2 2 2" xfId="180"/>
    <cellStyle name="Normal 6 2 3" xfId="157"/>
    <cellStyle name="Normal 6 3" xfId="98"/>
    <cellStyle name="Normal 6 3 2" xfId="138"/>
    <cellStyle name="Normal 6 3 2 2" xfId="181"/>
    <cellStyle name="Normal 6 3 3" xfId="158"/>
    <cellStyle name="Normal 6 4" xfId="99"/>
    <cellStyle name="Normal 6 4 2" xfId="139"/>
    <cellStyle name="Normal 6 4 2 2" xfId="182"/>
    <cellStyle name="Normal 6 4 3" xfId="159"/>
    <cellStyle name="Normal 7" xfId="100"/>
    <cellStyle name="Normal 7 2" xfId="140"/>
    <cellStyle name="Normal 7 2 2" xfId="183"/>
    <cellStyle name="Normal 7 3" xfId="160"/>
    <cellStyle name="Normal 8" xfId="101"/>
    <cellStyle name="Normal 8 2" xfId="141"/>
    <cellStyle name="Normal 8 2 2" xfId="184"/>
    <cellStyle name="Normal 8 3" xfId="161"/>
    <cellStyle name="Normal 9" xfId="102"/>
    <cellStyle name="Normal 9 2" xfId="142"/>
    <cellStyle name="Normal 9 2 2" xfId="185"/>
    <cellStyle name="Normal 9 3" xfId="162"/>
    <cellStyle name="Normal_Grad. Lim. Auto 1-4" xfId="151"/>
    <cellStyle name="Normal_GRADACION (2)" xfId="103"/>
    <cellStyle name="Normal_MEZCLAR4  " xfId="104"/>
    <cellStyle name="Normal_TSR-DISEÑO" xfId="193"/>
    <cellStyle name="Percen - Modelo3" xfId="105"/>
    <cellStyle name="Percent" xfId="106"/>
    <cellStyle name="Porcentaje" xfId="125" builtinId="5"/>
    <cellStyle name="Porcentaje 2" xfId="107"/>
    <cellStyle name="Porcentual 2" xfId="108"/>
    <cellStyle name="Porcentual 2 2" xfId="109"/>
    <cellStyle name="Porcentual 2 2 2" xfId="110"/>
    <cellStyle name="Porcentual 2 2 3" xfId="111"/>
    <cellStyle name="Porcentual 2 2 4" xfId="112"/>
    <cellStyle name="Porcentual 2 2 5" xfId="143"/>
    <cellStyle name="Porcentual 2 2 5 2" xfId="186"/>
    <cellStyle name="Porcentual 2 2 6" xfId="163"/>
    <cellStyle name="Porcentual 2 3" xfId="113"/>
    <cellStyle name="Porcentual 2 4" xfId="114"/>
    <cellStyle name="Porcentual 2 5" xfId="115"/>
    <cellStyle name="Porcentual 2 6" xfId="116"/>
    <cellStyle name="Porcentual 2 7" xfId="117"/>
    <cellStyle name="Porcentual 2 8" xfId="118"/>
    <cellStyle name="Porcentual 2 8 2" xfId="144"/>
    <cellStyle name="Porcentual 2 8 2 2" xfId="187"/>
    <cellStyle name="Porcentual 2 8 3" xfId="164"/>
    <cellStyle name="Porcentual 2 9" xfId="119"/>
    <cellStyle name="Porcentual 2 9 2" xfId="145"/>
    <cellStyle name="Porcentual 2 9 2 2" xfId="188"/>
    <cellStyle name="Porcentual 2 9 3" xfId="165"/>
    <cellStyle name="Porcentual 3" xfId="120"/>
    <cellStyle name="resaltado" xfId="121"/>
  </cellStyles>
  <dxfs count="1">
    <dxf>
      <font>
        <b val="0"/>
        <i val="0"/>
        <color rgb="FFFF000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E46C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59501820842198E-2"/>
          <c:y val="0.13923097917366475"/>
          <c:w val="0.90794325075982563"/>
          <c:h val="0.70260886063941275"/>
        </c:manualLayout>
      </c:layout>
      <c:scatterChart>
        <c:scatterStyle val="lineMarker"/>
        <c:varyColors val="0"/>
        <c:ser>
          <c:idx val="1"/>
          <c:order val="0"/>
          <c:tx>
            <c:v>Resultado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xVal>
            <c:numRef>
              <c:f>'782'!$S$29:$AA$29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'782'!$S$30:$AB$30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 formatCode="0.0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EA-485A-8377-E02DB699B198}"/>
            </c:ext>
          </c:extLst>
        </c:ser>
        <c:ser>
          <c:idx val="2"/>
          <c:order val="1"/>
          <c:tx>
            <c:strRef>
              <c:f>'782'!$P$28</c:f>
              <c:strCache>
                <c:ptCount val="1"/>
              </c:strCache>
            </c:strRef>
          </c:tx>
          <c:spPr>
            <a:ln w="12700" cap="rnd">
              <a:solidFill>
                <a:srgbClr val="FF0000"/>
              </a:solidFill>
              <a:prstDash val="lgDashDotDot"/>
              <a:round/>
            </a:ln>
            <a:effectLst/>
          </c:spPr>
          <c:marker>
            <c:symbol val="none"/>
          </c:marker>
          <c:xVal>
            <c:numRef>
              <c:f>'782'!$S$29:$AA$29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'782'!$U$14:$AA$14</c:f>
              <c:numCache>
                <c:formatCode>0</c:formatCode>
                <c:ptCount val="7"/>
                <c:pt idx="0">
                  <c:v>100</c:v>
                </c:pt>
                <c:pt idx="1">
                  <c:v>90</c:v>
                </c:pt>
                <c:pt idx="2">
                  <c:v>77</c:v>
                </c:pt>
                <c:pt idx="3">
                  <c:v>59</c:v>
                </c:pt>
                <c:pt idx="4">
                  <c:v>28</c:v>
                </c:pt>
                <c:pt idx="5">
                  <c:v>14</c:v>
                </c:pt>
                <c:pt idx="6" formatCode="General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EA-485A-8377-E02DB699B198}"/>
            </c:ext>
          </c:extLst>
        </c:ser>
        <c:ser>
          <c:idx val="4"/>
          <c:order val="2"/>
          <c:tx>
            <c:strRef>
              <c:f>'782'!$P$29</c:f>
              <c:strCache>
                <c:ptCount val="1"/>
              </c:strCache>
            </c:strRef>
          </c:tx>
          <c:spPr>
            <a:ln w="12700" cap="rnd">
              <a:solidFill>
                <a:srgbClr val="FF0000"/>
              </a:solidFill>
              <a:prstDash val="lgDashDotDot"/>
              <a:round/>
            </a:ln>
            <a:effectLst/>
          </c:spPr>
          <c:marker>
            <c:symbol val="none"/>
          </c:marker>
          <c:xVal>
            <c:numRef>
              <c:f>'782'!$S$29:$AA$29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'782'!$E$29:$M$29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 formatCode="0.0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EA-485A-8377-E02DB699B198}"/>
            </c:ext>
          </c:extLst>
        </c:ser>
        <c:ser>
          <c:idx val="3"/>
          <c:order val="3"/>
          <c:tx>
            <c:v>1"</c:v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"/>
            <c:bubble3D val="0"/>
            <c:spPr>
              <a:ln w="12700" cap="rnd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E2EA-485A-8377-E02DB699B198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EA-485A-8377-E02DB699B1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25.4</c:v>
              </c:pt>
              <c:pt idx="1">
                <c:v>25.4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6-E2EA-485A-8377-E02DB699B198}"/>
            </c:ext>
          </c:extLst>
        </c:ser>
        <c:ser>
          <c:idx val="6"/>
          <c:order val="4"/>
          <c:tx>
            <c:v>3/4"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2EA-485A-8377-E02DB699B1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19</c:v>
              </c:pt>
              <c:pt idx="1">
                <c:v>19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8-E2EA-485A-8377-E02DB699B198}"/>
            </c:ext>
          </c:extLst>
        </c:ser>
        <c:ser>
          <c:idx val="7"/>
          <c:order val="5"/>
          <c:tx>
            <c:v>1/2"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2EA-485A-8377-E02DB699B198}"/>
                </c:ext>
              </c:extLst>
            </c:dLbl>
            <c:dLbl>
              <c:idx val="1"/>
              <c:layout>
                <c:manualLayout>
                  <c:x val="-3.4864642950566238E-2"/>
                  <c:y val="6.8562176993715529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2EA-485A-8377-E02DB699B1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12.5</c:v>
              </c:pt>
              <c:pt idx="1">
                <c:v>12.5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B-E2EA-485A-8377-E02DB699B198}"/>
            </c:ext>
          </c:extLst>
        </c:ser>
        <c:ser>
          <c:idx val="8"/>
          <c:order val="6"/>
          <c:tx>
            <c:v>3/8"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2EA-485A-8377-E02DB699B198}"/>
                </c:ext>
              </c:extLst>
            </c:dLbl>
            <c:dLbl>
              <c:idx val="1"/>
              <c:layout>
                <c:manualLayout>
                  <c:x val="-1.7139274505221735E-2"/>
                  <c:y val="7.104180301083931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2EA-485A-8377-E02DB699B1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9.5</c:v>
              </c:pt>
              <c:pt idx="1">
                <c:v>9.5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E-E2EA-485A-8377-E02DB699B198}"/>
            </c:ext>
          </c:extLst>
        </c:ser>
        <c:ser>
          <c:idx val="9"/>
          <c:order val="7"/>
          <c:tx>
            <c:v>No.4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2EA-485A-8377-E02DB699B198}"/>
                </c:ext>
              </c:extLst>
            </c:dLbl>
            <c:dLbl>
              <c:idx val="1"/>
              <c:layout>
                <c:manualLayout>
                  <c:x val="-3.3427301890436759E-2"/>
                  <c:y val="7.364070673617481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1E-4FAF-BAE2-72A1CFE5D5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4.76</c:v>
              </c:pt>
              <c:pt idx="1">
                <c:v>4.76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0-E2EA-485A-8377-E02DB699B198}"/>
            </c:ext>
          </c:extLst>
        </c:ser>
        <c:ser>
          <c:idx val="10"/>
          <c:order val="8"/>
          <c:tx>
            <c:v>No.10</c:v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"/>
            <c:bubble3D val="0"/>
            <c:spPr>
              <a:ln w="12700" cap="rnd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E2EA-485A-8377-E02DB699B198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2EA-485A-8377-E02DB699B198}"/>
                </c:ext>
              </c:extLst>
            </c:dLbl>
            <c:dLbl>
              <c:idx val="1"/>
              <c:layout>
                <c:manualLayout>
                  <c:x val="-1.7007103348276511E-2"/>
                  <c:y val="6.7924378833202959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2EA-485A-8377-E02DB699B1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2</c:v>
              </c:pt>
              <c:pt idx="1">
                <c:v>2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4-E2EA-485A-8377-E02DB699B198}"/>
            </c:ext>
          </c:extLst>
        </c:ser>
        <c:ser>
          <c:idx val="11"/>
          <c:order val="9"/>
          <c:tx>
            <c:v>No.40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2EA-485A-8377-E02DB699B1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0.42500000000000027</c:v>
              </c:pt>
              <c:pt idx="1">
                <c:v>0.42500000000000027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6-E2EA-485A-8377-E02DB699B198}"/>
            </c:ext>
          </c:extLst>
        </c:ser>
        <c:ser>
          <c:idx val="12"/>
          <c:order val="10"/>
          <c:tx>
            <c:v>No.80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2EA-485A-8377-E02DB699B1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0.1800000000000001</c:v>
              </c:pt>
              <c:pt idx="1">
                <c:v>0.1800000000000001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8-E2EA-485A-8377-E02DB699B198}"/>
            </c:ext>
          </c:extLst>
        </c:ser>
        <c:ser>
          <c:idx val="13"/>
          <c:order val="11"/>
          <c:tx>
            <c:v>No.200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7916100300837204E-2"/>
                  <c:y val="6.362795012069275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1316744427164331E-2"/>
                      <c:h val="6.835362447163982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9-E2EA-485A-8377-E02DB699B19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2EA-485A-8377-E02DB699B1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7.5000000000000011E-2</c:v>
              </c:pt>
              <c:pt idx="1">
                <c:v>7.5000000000000011E-2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B-E2EA-485A-8377-E02DB699B198}"/>
            </c:ext>
          </c:extLst>
        </c:ser>
        <c:ser>
          <c:idx val="0"/>
          <c:order val="12"/>
          <c:tx>
            <c:strRef>
              <c:f>'782'!$P$31</c:f>
              <c:strCache>
                <c:ptCount val="1"/>
                <c:pt idx="0">
                  <c:v>FT % Pasa mín</c:v>
                </c:pt>
              </c:strCache>
            </c:strRef>
          </c:tx>
          <c:spPr>
            <a:ln w="1270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'782'!$S$29:$AA$29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'782'!$E$31:$M$31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 formatCode="0.0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E2EA-485A-8377-E02DB699B198}"/>
            </c:ext>
          </c:extLst>
        </c:ser>
        <c:ser>
          <c:idx val="5"/>
          <c:order val="13"/>
          <c:tx>
            <c:strRef>
              <c:f>'782'!$P$32</c:f>
              <c:strCache>
                <c:ptCount val="1"/>
                <c:pt idx="0">
                  <c:v>FT % Pasa máx</c:v>
                </c:pt>
              </c:strCache>
            </c:strRef>
          </c:tx>
          <c:spPr>
            <a:ln w="1270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'782'!$S$29:$AA$29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'782'!$E$32:$M$32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 formatCode="0.0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E2EA-485A-8377-E02DB699B198}"/>
            </c:ext>
          </c:extLst>
        </c:ser>
        <c:ser>
          <c:idx val="14"/>
          <c:order val="14"/>
          <c:tx>
            <c:strRef>
              <c:f>'782'!$Z$6</c:f>
              <c:strCache>
                <c:ptCount val="1"/>
                <c:pt idx="0">
                  <c:v>N° 8</c:v>
                </c:pt>
              </c:strCache>
            </c:strRef>
          </c:tx>
          <c:spPr>
            <a:ln w="127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8139320400236967E-2"/>
                  <c:y val="-7.2325951318491288E-2"/>
                </c:manualLayout>
              </c:layout>
              <c:tx>
                <c:rich>
                  <a:bodyPr rot="-5400000" vert="horz" wrap="square" lIns="38100" tIns="19050" rIns="38100" bIns="19050" anchor="ctr">
                    <a:spAutoFit/>
                  </a:bodyPr>
                  <a:lstStyle/>
                  <a:p>
                    <a:pPr>
                      <a:defRPr sz="800">
                        <a:solidFill>
                          <a:schemeClr val="tx1">
                            <a:lumMod val="85000"/>
                            <a:lumOff val="15000"/>
                          </a:schemeClr>
                        </a:solidFill>
                      </a:defRPr>
                    </a:pPr>
                    <a:r>
                      <a:rPr lang="en-US" sz="800"/>
                      <a:t>2,36</a:t>
                    </a:r>
                  </a:p>
                </c:rich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1E-4FAF-BAE2-72A1CFE5D557}"/>
                </c:ext>
              </c:extLst>
            </c:dLbl>
            <c:dLbl>
              <c:idx val="1"/>
              <c:layout>
                <c:manualLayout>
                  <c:x val="-4.0476322145382833E-2"/>
                  <c:y val="6.4808755073803542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1E-4FAF-BAE2-72A1CFE5D5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chemeClr val="tx1">
                        <a:lumMod val="85000"/>
                        <a:lumOff val="15000"/>
                      </a:schemeClr>
                    </a:solidFill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dispRSqr val="0"/>
            <c:dispEq val="0"/>
          </c:trendline>
          <c:xVal>
            <c:numRef>
              <c:f>'782'!$T$31:$U$31</c:f>
              <c:numCache>
                <c:formatCode>General</c:formatCode>
                <c:ptCount val="2"/>
                <c:pt idx="0">
                  <c:v>2.36</c:v>
                </c:pt>
                <c:pt idx="1">
                  <c:v>2.36</c:v>
                </c:pt>
              </c:numCache>
            </c:numRef>
          </c:xVal>
          <c:yVal>
            <c:numRef>
              <c:f>'782'!$T$32:$U$32</c:f>
              <c:numCache>
                <c:formatCode>General</c:formatCode>
                <c:ptCount val="2"/>
                <c:pt idx="0">
                  <c:v>100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E1E-4FAF-BAE2-72A1CFE5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4315664"/>
        <c:axId val="644316208"/>
      </c:scatterChart>
      <c:valAx>
        <c:axId val="644315664"/>
        <c:scaling>
          <c:logBase val="10"/>
          <c:orientation val="maxMin"/>
          <c:max val="100"/>
          <c:min val="1.0000000000000005E-2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s-ES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800" b="1">
                    <a:solidFill>
                      <a:sysClr val="windowText" lastClr="000000"/>
                    </a:solidFill>
                  </a:rPr>
                  <a:t>TAMIZ</a:t>
                </a:r>
              </a:p>
            </c:rich>
          </c:tx>
          <c:layout>
            <c:manualLayout>
              <c:xMode val="edge"/>
              <c:yMode val="edge"/>
              <c:x val="0.47360428935681798"/>
              <c:y val="0.935281530175700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4316208"/>
        <c:crossesAt val="1.0000000000000005E-2"/>
        <c:crossBetween val="midCat"/>
        <c:majorUnit val="10"/>
      </c:valAx>
      <c:valAx>
        <c:axId val="644316208"/>
        <c:scaling>
          <c:orientation val="minMax"/>
          <c:max val="100"/>
          <c:min val="0"/>
        </c:scaling>
        <c:delete val="0"/>
        <c:axPos val="r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800" b="1">
                    <a:solidFill>
                      <a:sysClr val="windowText" lastClr="000000"/>
                    </a:solidFill>
                  </a:rPr>
                  <a:t>%  QUE PASA</a:t>
                </a:r>
              </a:p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 sz="800" b="1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1.1965507878697232E-3"/>
              <c:y val="0.3657826257956318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4315664"/>
        <c:crossesAt val="100"/>
        <c:crossBetween val="midCat"/>
        <c:majorUnit val="10"/>
        <c:minorUnit val="5"/>
      </c:valAx>
      <c:spPr>
        <a:solidFill>
          <a:sysClr val="window" lastClr="FFFFFF"/>
        </a:solidFill>
        <a:ln>
          <a:solidFill>
            <a:schemeClr val="bg1"/>
          </a:solidFill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5"/>
        <c:delete val="1"/>
      </c:legendEntry>
      <c:layout>
        <c:manualLayout>
          <c:xMode val="edge"/>
          <c:yMode val="edge"/>
          <c:x val="0.79464761349275781"/>
          <c:y val="2.9033522708395629E-2"/>
          <c:w val="0.20202666796280094"/>
          <c:h val="0.783997696490470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0"/>
    <c:dispBlanksAs val="span"/>
    <c:showDLblsOverMax val="0"/>
  </c:chart>
  <c:spPr>
    <a:solidFill>
      <a:schemeClr val="bg1"/>
    </a:solidFill>
    <a:ln w="9525" cap="flat" cmpd="sng" algn="ctr">
      <a:noFill/>
      <a:round/>
    </a:ln>
    <a:effectLst>
      <a:glow rad="127000">
        <a:schemeClr val="bg1">
          <a:lumMod val="95000"/>
          <a:alpha val="95000"/>
        </a:schemeClr>
      </a:glow>
      <a:softEdge rad="63500"/>
    </a:effectLst>
    <a:scene3d>
      <a:camera prst="orthographicFront"/>
      <a:lightRig rig="threePt" dir="t"/>
    </a:scene3d>
    <a:sp3d prstMaterial="matte"/>
  </c:spPr>
  <c:txPr>
    <a:bodyPr/>
    <a:lstStyle/>
    <a:p>
      <a:pPr>
        <a:defRPr/>
      </a:pPr>
      <a:endParaRPr lang="es-CO"/>
    </a:p>
  </c:txPr>
  <c:printSettings>
    <c:headerFooter alignWithMargins="0"/>
    <c:pageMargins b="1" l="0.75000000000001465" r="0.75000000000001465" t="1" header="0" footer="0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6.emf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4" Type="http://schemas.openxmlformats.org/officeDocument/2006/relationships/image" Target="../media/image6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jpeg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4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8" Type="http://schemas.microsoft.com/office/2007/relationships/hdphoto" Target="../media/hdphoto3.wdp"/><Relationship Id="rId13" Type="http://schemas.openxmlformats.org/officeDocument/2006/relationships/image" Target="../media/image19.png"/><Relationship Id="rId18" Type="http://schemas.openxmlformats.org/officeDocument/2006/relationships/image" Target="../media/image24.png"/><Relationship Id="rId26" Type="http://schemas.openxmlformats.org/officeDocument/2006/relationships/image" Target="../media/image32.emf"/><Relationship Id="rId3" Type="http://schemas.openxmlformats.org/officeDocument/2006/relationships/image" Target="../media/image12.png"/><Relationship Id="rId21" Type="http://schemas.openxmlformats.org/officeDocument/2006/relationships/image" Target="../media/image27.png"/><Relationship Id="rId7" Type="http://schemas.openxmlformats.org/officeDocument/2006/relationships/image" Target="../media/image14.png"/><Relationship Id="rId12" Type="http://schemas.openxmlformats.org/officeDocument/2006/relationships/image" Target="../media/image18.jpeg"/><Relationship Id="rId17" Type="http://schemas.openxmlformats.org/officeDocument/2006/relationships/image" Target="../media/image23.png"/><Relationship Id="rId25" Type="http://schemas.openxmlformats.org/officeDocument/2006/relationships/image" Target="../media/image31.png"/><Relationship Id="rId2" Type="http://schemas.openxmlformats.org/officeDocument/2006/relationships/image" Target="../media/image11.png"/><Relationship Id="rId16" Type="http://schemas.openxmlformats.org/officeDocument/2006/relationships/image" Target="../media/image22.png"/><Relationship Id="rId20" Type="http://schemas.openxmlformats.org/officeDocument/2006/relationships/image" Target="../media/image26.png"/><Relationship Id="rId29" Type="http://schemas.openxmlformats.org/officeDocument/2006/relationships/image" Target="../media/image35.png"/><Relationship Id="rId1" Type="http://schemas.openxmlformats.org/officeDocument/2006/relationships/image" Target="../media/image10.png"/><Relationship Id="rId6" Type="http://schemas.microsoft.com/office/2007/relationships/hdphoto" Target="../media/hdphoto2.wdp"/><Relationship Id="rId11" Type="http://schemas.openxmlformats.org/officeDocument/2006/relationships/image" Target="../media/image17.jpeg"/><Relationship Id="rId24" Type="http://schemas.openxmlformats.org/officeDocument/2006/relationships/image" Target="../media/image30.png"/><Relationship Id="rId32" Type="http://schemas.openxmlformats.org/officeDocument/2006/relationships/image" Target="../media/image38.png"/><Relationship Id="rId5" Type="http://schemas.openxmlformats.org/officeDocument/2006/relationships/image" Target="../media/image13.png"/><Relationship Id="rId15" Type="http://schemas.openxmlformats.org/officeDocument/2006/relationships/image" Target="../media/image21.png"/><Relationship Id="rId23" Type="http://schemas.openxmlformats.org/officeDocument/2006/relationships/image" Target="../media/image29.png"/><Relationship Id="rId28" Type="http://schemas.openxmlformats.org/officeDocument/2006/relationships/image" Target="../media/image34.png"/><Relationship Id="rId10" Type="http://schemas.openxmlformats.org/officeDocument/2006/relationships/image" Target="../media/image16.jpeg"/><Relationship Id="rId19" Type="http://schemas.openxmlformats.org/officeDocument/2006/relationships/image" Target="../media/image25.png"/><Relationship Id="rId31" Type="http://schemas.openxmlformats.org/officeDocument/2006/relationships/image" Target="../media/image37.png"/><Relationship Id="rId4" Type="http://schemas.microsoft.com/office/2007/relationships/hdphoto" Target="../media/hdphoto1.wdp"/><Relationship Id="rId9" Type="http://schemas.openxmlformats.org/officeDocument/2006/relationships/image" Target="../media/image15.png"/><Relationship Id="rId14" Type="http://schemas.openxmlformats.org/officeDocument/2006/relationships/image" Target="../media/image20.png"/><Relationship Id="rId22" Type="http://schemas.openxmlformats.org/officeDocument/2006/relationships/image" Target="../media/image28.png"/><Relationship Id="rId27" Type="http://schemas.openxmlformats.org/officeDocument/2006/relationships/image" Target="../media/image33.png"/><Relationship Id="rId30" Type="http://schemas.openxmlformats.org/officeDocument/2006/relationships/image" Target="../media/image36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7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4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2" name="Text Box 3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104775</xdr:colOff>
      <xdr:row>39</xdr:row>
      <xdr:rowOff>217714</xdr:rowOff>
    </xdr:to>
    <xdr:sp macro="" textlink="">
      <xdr:nvSpPr>
        <xdr:cNvPr id="3" name="Text Box 6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4" name="Text Box 6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5" name="Text Box 67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104775</xdr:colOff>
      <xdr:row>39</xdr:row>
      <xdr:rowOff>217714</xdr:rowOff>
    </xdr:to>
    <xdr:sp macro="" textlink="">
      <xdr:nvSpPr>
        <xdr:cNvPr id="6" name="Text Box 6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104775</xdr:colOff>
      <xdr:row>39</xdr:row>
      <xdr:rowOff>217714</xdr:rowOff>
    </xdr:to>
    <xdr:sp macro="" textlink="">
      <xdr:nvSpPr>
        <xdr:cNvPr id="7" name="Text Box 6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9" name="Text Box 7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104775</xdr:colOff>
      <xdr:row>39</xdr:row>
      <xdr:rowOff>217714</xdr:rowOff>
    </xdr:to>
    <xdr:sp macro="" textlink="">
      <xdr:nvSpPr>
        <xdr:cNvPr id="10" name="Text Box 7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104775</xdr:colOff>
      <xdr:row>39</xdr:row>
      <xdr:rowOff>217714</xdr:rowOff>
    </xdr:to>
    <xdr:sp macro="" textlink="">
      <xdr:nvSpPr>
        <xdr:cNvPr id="11" name="Text Box 7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12" name="Text Box 7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13" name="Text Box 7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104775</xdr:colOff>
      <xdr:row>39</xdr:row>
      <xdr:rowOff>217714</xdr:rowOff>
    </xdr:to>
    <xdr:sp macro="" textlink="">
      <xdr:nvSpPr>
        <xdr:cNvPr id="14" name="Text Box 7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104775</xdr:colOff>
      <xdr:row>39</xdr:row>
      <xdr:rowOff>217714</xdr:rowOff>
    </xdr:to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16" name="Text Box 78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17" name="Text Box 79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104775</xdr:colOff>
      <xdr:row>39</xdr:row>
      <xdr:rowOff>217714</xdr:rowOff>
    </xdr:to>
    <xdr:sp macro="" textlink="">
      <xdr:nvSpPr>
        <xdr:cNvPr id="18" name="Text Box 80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104775</xdr:colOff>
      <xdr:row>39</xdr:row>
      <xdr:rowOff>217714</xdr:rowOff>
    </xdr:to>
    <xdr:sp macro="" textlink="">
      <xdr:nvSpPr>
        <xdr:cNvPr id="19" name="Text Box 8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20" name="Text Box 8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104775</xdr:colOff>
      <xdr:row>39</xdr:row>
      <xdr:rowOff>217714</xdr:rowOff>
    </xdr:to>
    <xdr:sp macro="" textlink="">
      <xdr:nvSpPr>
        <xdr:cNvPr id="21" name="Text Box 8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259896</xdr:colOff>
      <xdr:row>0</xdr:row>
      <xdr:rowOff>83004</xdr:rowOff>
    </xdr:from>
    <xdr:ext cx="1140279" cy="793296"/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896" y="83004"/>
          <a:ext cx="1140279" cy="793296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35</xdr:row>
          <xdr:rowOff>0</xdr:rowOff>
        </xdr:from>
        <xdr:to>
          <xdr:col>12</xdr:col>
          <xdr:colOff>409575</xdr:colOff>
          <xdr:row>36</xdr:row>
          <xdr:rowOff>0</xdr:rowOff>
        </xdr:to>
        <xdr:pic>
          <xdr:nvPicPr>
            <xdr:cNvPr id="31" name="Imagen 37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aprobofirmas1" spid="_x0000_s1336528"/>
                </a:ext>
              </a:extLst>
            </xdr:cNvPicPr>
          </xdr:nvPicPr>
          <xdr:blipFill>
            <a:blip xmlns:r="http://schemas.openxmlformats.org/officeDocument/2006/relationships" r:embed="rId2">
              <a:clrChange>
                <a:clrFrom>
                  <a:srgbClr val="FEFEFE"/>
                </a:clrFrom>
                <a:clrTo>
                  <a:srgbClr val="FEFEFE">
                    <a:alpha val="0"/>
                  </a:srgbClr>
                </a:clrTo>
              </a:clrChange>
            </a:blip>
            <a:srcRect/>
            <a:stretch>
              <a:fillRect/>
            </a:stretch>
          </xdr:blipFill>
          <xdr:spPr bwMode="auto">
            <a:xfrm>
              <a:off x="4162425" y="7972425"/>
              <a:ext cx="1514475" cy="504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438150</xdr:colOff>
          <xdr:row>35</xdr:row>
          <xdr:rowOff>0</xdr:rowOff>
        </xdr:from>
        <xdr:to>
          <xdr:col>6</xdr:col>
          <xdr:colOff>30307</xdr:colOff>
          <xdr:row>36</xdr:row>
          <xdr:rowOff>2598</xdr:rowOff>
        </xdr:to>
        <xdr:pic>
          <xdr:nvPicPr>
            <xdr:cNvPr id="32" name="Picture 313">
              <a:extLst>
                <a:ext uri="{FF2B5EF4-FFF2-40B4-BE49-F238E27FC236}">
                  <a16:creationId xmlns:a16="http://schemas.microsoft.com/office/drawing/2014/main" id="{00000000-0008-0000-0000-000020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revisofirmas1" spid="_x0000_s1336529"/>
                </a:ext>
              </a:extLst>
            </xdr:cNvPicPr>
          </xdr:nvPicPr>
          <xdr:blipFill>
            <a:blip xmlns:r="http://schemas.openxmlformats.org/officeDocument/2006/relationships" r:embed="rId3">
              <a:clrChange>
                <a:clrFrom>
                  <a:srgbClr val="FEFEFE"/>
                </a:clrFrom>
                <a:clrTo>
                  <a:srgbClr val="FEFEFE">
                    <a:alpha val="0"/>
                  </a:srgbClr>
                </a:clrTo>
              </a:clrChange>
            </a:blip>
            <a:srcRect/>
            <a:stretch>
              <a:fillRect/>
            </a:stretch>
          </xdr:blipFill>
          <xdr:spPr bwMode="auto">
            <a:xfrm>
              <a:off x="871105" y="7983682"/>
              <a:ext cx="1514475" cy="504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10</xdr:col>
      <xdr:colOff>57150</xdr:colOff>
      <xdr:row>36</xdr:row>
      <xdr:rowOff>0</xdr:rowOff>
    </xdr:from>
    <xdr:to>
      <xdr:col>12</xdr:col>
      <xdr:colOff>435952</xdr:colOff>
      <xdr:row>36</xdr:row>
      <xdr:rowOff>0</xdr:rowOff>
    </xdr:to>
    <xdr:cxnSp macro="">
      <xdr:nvCxnSpPr>
        <xdr:cNvPr id="33" name="Conector recto 10">
          <a:extLst>
            <a:ext uri="{FF2B5EF4-FFF2-40B4-BE49-F238E27FC236}">
              <a16:creationId xmlns:a16="http://schemas.microsoft.com/office/drawing/2014/main" id="{AFF7CD56-BD86-4EB1-9314-B99F1B8DFD55}"/>
            </a:ext>
          </a:extLst>
        </xdr:cNvPr>
        <xdr:cNvCxnSpPr/>
      </xdr:nvCxnSpPr>
      <xdr:spPr>
        <a:xfrm>
          <a:off x="4162425" y="8477250"/>
          <a:ext cx="1483702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400050</xdr:colOff>
      <xdr:row>36</xdr:row>
      <xdr:rowOff>0</xdr:rowOff>
    </xdr:from>
    <xdr:to>
      <xdr:col>5</xdr:col>
      <xdr:colOff>312127</xdr:colOff>
      <xdr:row>36</xdr:row>
      <xdr:rowOff>0</xdr:rowOff>
    </xdr:to>
    <xdr:cxnSp macro="">
      <xdr:nvCxnSpPr>
        <xdr:cNvPr id="35" name="Conector recto 10">
          <a:extLst>
            <a:ext uri="{FF2B5EF4-FFF2-40B4-BE49-F238E27FC236}">
              <a16:creationId xmlns:a16="http://schemas.microsoft.com/office/drawing/2014/main" id="{9A78CA43-1289-4F94-B214-6E5B12081CE8}"/>
            </a:ext>
          </a:extLst>
        </xdr:cNvPr>
        <xdr:cNvCxnSpPr/>
      </xdr:nvCxnSpPr>
      <xdr:spPr>
        <a:xfrm>
          <a:off x="828675" y="8477250"/>
          <a:ext cx="1483702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2" name="Text Box 3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104775</xdr:colOff>
      <xdr:row>19</xdr:row>
      <xdr:rowOff>217714</xdr:rowOff>
    </xdr:to>
    <xdr:sp macro="" textlink="">
      <xdr:nvSpPr>
        <xdr:cNvPr id="3" name="Text Box 6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4" name="Text Box 6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5" name="Text Box 6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104775</xdr:colOff>
      <xdr:row>19</xdr:row>
      <xdr:rowOff>217714</xdr:rowOff>
    </xdr:to>
    <xdr:sp macro="" textlink="">
      <xdr:nvSpPr>
        <xdr:cNvPr id="6" name="Text Box 68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104775</xdr:colOff>
      <xdr:row>19</xdr:row>
      <xdr:rowOff>217714</xdr:rowOff>
    </xdr:to>
    <xdr:sp macro="" textlink="">
      <xdr:nvSpPr>
        <xdr:cNvPr id="7" name="Text Box 69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9" name="Text Box 7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104775</xdr:colOff>
      <xdr:row>19</xdr:row>
      <xdr:rowOff>217714</xdr:rowOff>
    </xdr:to>
    <xdr:sp macro="" textlink="">
      <xdr:nvSpPr>
        <xdr:cNvPr id="10" name="Text Box 72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104775</xdr:colOff>
      <xdr:row>19</xdr:row>
      <xdr:rowOff>217714</xdr:rowOff>
    </xdr:to>
    <xdr:sp macro="" textlink="">
      <xdr:nvSpPr>
        <xdr:cNvPr id="11" name="Text Box 73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12" name="Text Box 74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13" name="Text Box 75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104775</xdr:colOff>
      <xdr:row>19</xdr:row>
      <xdr:rowOff>217714</xdr:rowOff>
    </xdr:to>
    <xdr:sp macro="" textlink="">
      <xdr:nvSpPr>
        <xdr:cNvPr id="14" name="Text Box 76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104775</xdr:colOff>
      <xdr:row>19</xdr:row>
      <xdr:rowOff>217714</xdr:rowOff>
    </xdr:to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16" name="Text Box 78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17" name="Text Box 79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104775</xdr:colOff>
      <xdr:row>19</xdr:row>
      <xdr:rowOff>217714</xdr:rowOff>
    </xdr:to>
    <xdr:sp macro="" textlink="">
      <xdr:nvSpPr>
        <xdr:cNvPr id="18" name="Text Box 8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19</xdr:row>
      <xdr:rowOff>0</xdr:rowOff>
    </xdr:from>
    <xdr:to>
      <xdr:col>14</xdr:col>
      <xdr:colOff>104775</xdr:colOff>
      <xdr:row>19</xdr:row>
      <xdr:rowOff>217714</xdr:rowOff>
    </xdr:to>
    <xdr:sp macro="" textlink="">
      <xdr:nvSpPr>
        <xdr:cNvPr id="19" name="Text Box 8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6086475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20" name="Text Box 82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104775</xdr:colOff>
      <xdr:row>19</xdr:row>
      <xdr:rowOff>217714</xdr:rowOff>
    </xdr:to>
    <xdr:sp macro="" textlink="">
      <xdr:nvSpPr>
        <xdr:cNvPr id="21" name="Text Box 83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5676900" y="20602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117021</xdr:colOff>
      <xdr:row>0</xdr:row>
      <xdr:rowOff>54429</xdr:rowOff>
    </xdr:from>
    <xdr:ext cx="1140279" cy="793296"/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021" y="54429"/>
          <a:ext cx="1140279" cy="793296"/>
        </a:xfrm>
        <a:prstGeom prst="rect">
          <a:avLst/>
        </a:prstGeom>
      </xdr:spPr>
    </xdr:pic>
    <xdr:clientData/>
  </xdr:oneCellAnchor>
  <xdr:twoCellAnchor>
    <xdr:from>
      <xdr:col>2</xdr:col>
      <xdr:colOff>28575</xdr:colOff>
      <xdr:row>23</xdr:row>
      <xdr:rowOff>19050</xdr:rowOff>
    </xdr:from>
    <xdr:to>
      <xdr:col>5</xdr:col>
      <xdr:colOff>316050</xdr:colOff>
      <xdr:row>23</xdr:row>
      <xdr:rowOff>19050</xdr:rowOff>
    </xdr:to>
    <xdr:cxnSp macro="">
      <xdr:nvCxnSpPr>
        <xdr:cNvPr id="27" name="Conector recto 10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CxnSpPr/>
      </xdr:nvCxnSpPr>
      <xdr:spPr>
        <a:xfrm>
          <a:off x="923925" y="6315075"/>
          <a:ext cx="1440000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95250</xdr:colOff>
      <xdr:row>22</xdr:row>
      <xdr:rowOff>533400</xdr:rowOff>
    </xdr:from>
    <xdr:to>
      <xdr:col>13</xdr:col>
      <xdr:colOff>132000</xdr:colOff>
      <xdr:row>22</xdr:row>
      <xdr:rowOff>533400</xdr:rowOff>
    </xdr:to>
    <xdr:cxnSp macro="">
      <xdr:nvCxnSpPr>
        <xdr:cNvPr id="29" name="Conector recto 10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CxnSpPr/>
      </xdr:nvCxnSpPr>
      <xdr:spPr>
        <a:xfrm>
          <a:off x="4152900" y="6286500"/>
          <a:ext cx="1656000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22</xdr:row>
          <xdr:rowOff>47625</xdr:rowOff>
        </xdr:from>
        <xdr:to>
          <xdr:col>5</xdr:col>
          <xdr:colOff>276225</xdr:colOff>
          <xdr:row>22</xdr:row>
          <xdr:rowOff>514350</xdr:rowOff>
        </xdr:to>
        <xdr:pic>
          <xdr:nvPicPr>
            <xdr:cNvPr id="30" name="Imagen 30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revisofirmas732" spid="_x0000_s135075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923925" y="5800725"/>
              <a:ext cx="1400175" cy="4667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22</xdr:row>
          <xdr:rowOff>9525</xdr:rowOff>
        </xdr:from>
        <xdr:to>
          <xdr:col>12</xdr:col>
          <xdr:colOff>495300</xdr:colOff>
          <xdr:row>22</xdr:row>
          <xdr:rowOff>514350</xdr:rowOff>
        </xdr:to>
        <xdr:pic>
          <xdr:nvPicPr>
            <xdr:cNvPr id="31" name="Imagen 37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aprobofirmas1" spid="_x0000_s1350753"/>
                </a:ext>
              </a:extLst>
            </xdr:cNvPicPr>
          </xdr:nvPicPr>
          <xdr:blipFill>
            <a:blip xmlns:r="http://schemas.openxmlformats.org/officeDocument/2006/relationships" r:embed="rId3">
              <a:clrChange>
                <a:clrFrom>
                  <a:srgbClr val="FEFEFE"/>
                </a:clrFrom>
                <a:clrTo>
                  <a:srgbClr val="FEFEFE">
                    <a:alpha val="0"/>
                  </a:srgbClr>
                </a:clrTo>
              </a:clrChange>
            </a:blip>
            <a:srcRect/>
            <a:stretch>
              <a:fillRect/>
            </a:stretch>
          </xdr:blipFill>
          <xdr:spPr bwMode="auto">
            <a:xfrm>
              <a:off x="4238625" y="5762625"/>
              <a:ext cx="1514475" cy="504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53" name="Text Box 33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104775" cy="217714"/>
    <xdr:sp macro="" textlink="">
      <xdr:nvSpPr>
        <xdr:cNvPr id="54" name="Text Box 65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>
          <a:spLocks noChangeArrowheads="1"/>
        </xdr:cNvSpPr>
      </xdr:nvSpPr>
      <xdr:spPr bwMode="auto">
        <a:xfrm>
          <a:off x="6086475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55" name="Text Box 66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56" name="Text Box 6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104775" cy="217714"/>
    <xdr:sp macro="" textlink="">
      <xdr:nvSpPr>
        <xdr:cNvPr id="57" name="Text Box 68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6086475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104775" cy="217714"/>
    <xdr:sp macro="" textlink="">
      <xdr:nvSpPr>
        <xdr:cNvPr id="58" name="Text Box 69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>
          <a:off x="6086475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59" name="Text Box 70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60" name="Text Box 71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104775" cy="217714"/>
    <xdr:sp macro="" textlink="">
      <xdr:nvSpPr>
        <xdr:cNvPr id="61" name="Text Box 72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>
          <a:spLocks noChangeArrowheads="1"/>
        </xdr:cNvSpPr>
      </xdr:nvSpPr>
      <xdr:spPr bwMode="auto">
        <a:xfrm>
          <a:off x="6086475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104775" cy="217714"/>
    <xdr:sp macro="" textlink="">
      <xdr:nvSpPr>
        <xdr:cNvPr id="62" name="Text Box 73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>
          <a:spLocks noChangeArrowheads="1"/>
        </xdr:cNvSpPr>
      </xdr:nvSpPr>
      <xdr:spPr bwMode="auto">
        <a:xfrm>
          <a:off x="6086475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63" name="Text Box 74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64" name="Text Box 75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104775" cy="217714"/>
    <xdr:sp macro="" textlink="">
      <xdr:nvSpPr>
        <xdr:cNvPr id="65" name="Text Box 76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>
          <a:spLocks noChangeArrowheads="1"/>
        </xdr:cNvSpPr>
      </xdr:nvSpPr>
      <xdr:spPr bwMode="auto">
        <a:xfrm>
          <a:off x="6086475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104775" cy="217714"/>
    <xdr:sp macro="" textlink="">
      <xdr:nvSpPr>
        <xdr:cNvPr id="66" name="Text Box 7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>
          <a:spLocks noChangeArrowheads="1"/>
        </xdr:cNvSpPr>
      </xdr:nvSpPr>
      <xdr:spPr bwMode="auto">
        <a:xfrm>
          <a:off x="6086475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67" name="Text Box 78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68" name="Text Box 79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104775" cy="217714"/>
    <xdr:sp macro="" textlink="">
      <xdr:nvSpPr>
        <xdr:cNvPr id="69" name="Text Box 80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>
          <a:spLocks noChangeArrowheads="1"/>
        </xdr:cNvSpPr>
      </xdr:nvSpPr>
      <xdr:spPr bwMode="auto">
        <a:xfrm>
          <a:off x="6086475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104775" cy="217714"/>
    <xdr:sp macro="" textlink="">
      <xdr:nvSpPr>
        <xdr:cNvPr id="70" name="Text Box 8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>
          <a:spLocks noChangeArrowheads="1"/>
        </xdr:cNvSpPr>
      </xdr:nvSpPr>
      <xdr:spPr bwMode="auto">
        <a:xfrm>
          <a:off x="6086475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71" name="Text Box 82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104775" cy="217714"/>
    <xdr:sp macro="" textlink="">
      <xdr:nvSpPr>
        <xdr:cNvPr id="72" name="Text Box 83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>
          <a:spLocks noChangeArrowheads="1"/>
        </xdr:cNvSpPr>
      </xdr:nvSpPr>
      <xdr:spPr bwMode="auto">
        <a:xfrm>
          <a:off x="5676900" y="96107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32</xdr:row>
      <xdr:rowOff>85725</xdr:rowOff>
    </xdr:from>
    <xdr:to>
      <xdr:col>14</xdr:col>
      <xdr:colOff>228600</xdr:colOff>
      <xdr:row>50</xdr:row>
      <xdr:rowOff>57150</xdr:rowOff>
    </xdr:to>
    <xdr:graphicFrame macro="">
      <xdr:nvGraphicFramePr>
        <xdr:cNvPr id="22" name="Chart 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117022</xdr:colOff>
      <xdr:row>0</xdr:row>
      <xdr:rowOff>54429</xdr:rowOff>
    </xdr:from>
    <xdr:ext cx="1061698" cy="793296"/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022" y="54429"/>
          <a:ext cx="1061698" cy="793296"/>
        </a:xfrm>
        <a:prstGeom prst="rect">
          <a:avLst/>
        </a:prstGeom>
      </xdr:spPr>
    </xdr:pic>
    <xdr:clientData/>
  </xdr:oneCellAnchor>
  <xdr:twoCellAnchor>
    <xdr:from>
      <xdr:col>1</xdr:col>
      <xdr:colOff>457200</xdr:colOff>
      <xdr:row>55</xdr:row>
      <xdr:rowOff>0</xdr:rowOff>
    </xdr:from>
    <xdr:to>
      <xdr:col>5</xdr:col>
      <xdr:colOff>254977</xdr:colOff>
      <xdr:row>55</xdr:row>
      <xdr:rowOff>0</xdr:rowOff>
    </xdr:to>
    <xdr:cxnSp macro="">
      <xdr:nvCxnSpPr>
        <xdr:cNvPr id="28" name="Conector recto 10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CxnSpPr/>
      </xdr:nvCxnSpPr>
      <xdr:spPr>
        <a:xfrm>
          <a:off x="885825" y="9439275"/>
          <a:ext cx="1417027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152400</xdr:colOff>
      <xdr:row>55</xdr:row>
      <xdr:rowOff>0</xdr:rowOff>
    </xdr:from>
    <xdr:to>
      <xdr:col>12</xdr:col>
      <xdr:colOff>435952</xdr:colOff>
      <xdr:row>55</xdr:row>
      <xdr:rowOff>0</xdr:rowOff>
    </xdr:to>
    <xdr:cxnSp macro="">
      <xdr:nvCxnSpPr>
        <xdr:cNvPr id="29" name="Conector recto 10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CxnSpPr/>
      </xdr:nvCxnSpPr>
      <xdr:spPr>
        <a:xfrm>
          <a:off x="4210050" y="9439275"/>
          <a:ext cx="1388452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54</xdr:row>
          <xdr:rowOff>9525</xdr:rowOff>
        </xdr:from>
        <xdr:to>
          <xdr:col>12</xdr:col>
          <xdr:colOff>400050</xdr:colOff>
          <xdr:row>54</xdr:row>
          <xdr:rowOff>514350</xdr:rowOff>
        </xdr:to>
        <xdr:pic>
          <xdr:nvPicPr>
            <xdr:cNvPr id="31" name="Imagen 37">
              <a:extLst>
                <a:ext uri="{FF2B5EF4-FFF2-40B4-BE49-F238E27FC236}">
                  <a16:creationId xmlns:a16="http://schemas.microsoft.com/office/drawing/2014/main" id="{00000000-0008-0000-0200-00001F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aprobofirmas782" spid="_x0000_s1345077"/>
                </a:ext>
              </a:extLst>
            </xdr:cNvPicPr>
          </xdr:nvPicPr>
          <xdr:blipFill>
            <a:blip xmlns:r="http://schemas.openxmlformats.org/officeDocument/2006/relationships" r:embed="rId3">
              <a:clrChange>
                <a:clrFrom>
                  <a:srgbClr val="FEFEFE"/>
                </a:clrFrom>
                <a:clrTo>
                  <a:srgbClr val="FEFEFE">
                    <a:alpha val="0"/>
                  </a:srgbClr>
                </a:clrTo>
              </a:clrChange>
            </a:blip>
            <a:srcRect/>
            <a:stretch>
              <a:fillRect/>
            </a:stretch>
          </xdr:blipFill>
          <xdr:spPr bwMode="auto">
            <a:xfrm>
              <a:off x="4124325" y="8915400"/>
              <a:ext cx="1514475" cy="504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447675</xdr:colOff>
          <xdr:row>53</xdr:row>
          <xdr:rowOff>142875</xdr:rowOff>
        </xdr:from>
        <xdr:to>
          <xdr:col>6</xdr:col>
          <xdr:colOff>21431</xdr:colOff>
          <xdr:row>54</xdr:row>
          <xdr:rowOff>495300</xdr:rowOff>
        </xdr:to>
        <xdr:pic>
          <xdr:nvPicPr>
            <xdr:cNvPr id="32" name="Picture 313">
              <a:extLst>
                <a:ext uri="{FF2B5EF4-FFF2-40B4-BE49-F238E27FC236}">
                  <a16:creationId xmlns:a16="http://schemas.microsoft.com/office/drawing/2014/main" id="{00000000-0008-0000-0200-000020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revisofirmas1" spid="_x0000_s1345078"/>
                </a:ext>
              </a:extLst>
            </xdr:cNvPicPr>
          </xdr:nvPicPr>
          <xdr:blipFill>
            <a:blip xmlns:r="http://schemas.openxmlformats.org/officeDocument/2006/relationships" r:embed="rId4">
              <a:clrChange>
                <a:clrFrom>
                  <a:srgbClr val="FEFEFE"/>
                </a:clrFrom>
                <a:clrTo>
                  <a:srgbClr val="FEFEFE">
                    <a:alpha val="0"/>
                  </a:srgbClr>
                </a:clrTo>
              </a:clrChange>
            </a:blip>
            <a:srcRect/>
            <a:stretch>
              <a:fillRect/>
            </a:stretch>
          </xdr:blipFill>
          <xdr:spPr bwMode="auto">
            <a:xfrm>
              <a:off x="876300" y="8886825"/>
              <a:ext cx="1514475" cy="5143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11" name="Text Box 33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04775" cy="217714"/>
    <xdr:sp macro="" textlink="">
      <xdr:nvSpPr>
        <xdr:cNvPr id="12" name="Text Box 65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6086475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13" name="Text Box 66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14" name="Text Box 6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04775" cy="217714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6086475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04775" cy="217714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6086475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17" name="Text Box 70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18" name="Text Box 71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04775" cy="217714"/>
    <xdr:sp macro="" textlink="">
      <xdr:nvSpPr>
        <xdr:cNvPr id="19" name="Text Box 72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6086475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04775" cy="217714"/>
    <xdr:sp macro="" textlink="">
      <xdr:nvSpPr>
        <xdr:cNvPr id="20" name="Text Box 73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6086475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21" name="Text Box 74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23" name="Text Box 75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04775" cy="217714"/>
    <xdr:sp macro="" textlink="">
      <xdr:nvSpPr>
        <xdr:cNvPr id="24" name="Text Box 76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>
          <a:spLocks noChangeArrowheads="1"/>
        </xdr:cNvSpPr>
      </xdr:nvSpPr>
      <xdr:spPr bwMode="auto">
        <a:xfrm>
          <a:off x="6086475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04775" cy="217714"/>
    <xdr:sp macro="" textlink="">
      <xdr:nvSpPr>
        <xdr:cNvPr id="33" name="Text Box 77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6086475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34" name="Text Box 78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35" name="Text Box 79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04775" cy="217714"/>
    <xdr:sp macro="" textlink="">
      <xdr:nvSpPr>
        <xdr:cNvPr id="36" name="Text Box 80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>
          <a:spLocks noChangeArrowheads="1"/>
        </xdr:cNvSpPr>
      </xdr:nvSpPr>
      <xdr:spPr bwMode="auto">
        <a:xfrm>
          <a:off x="6086475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57</xdr:row>
      <xdr:rowOff>0</xdr:rowOff>
    </xdr:from>
    <xdr:ext cx="104775" cy="217714"/>
    <xdr:sp macro="" textlink="">
      <xdr:nvSpPr>
        <xdr:cNvPr id="37" name="Text Box 8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 txBox="1">
          <a:spLocks noChangeArrowheads="1"/>
        </xdr:cNvSpPr>
      </xdr:nvSpPr>
      <xdr:spPr bwMode="auto">
        <a:xfrm>
          <a:off x="6086475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38" name="Text Box 82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57</xdr:row>
      <xdr:rowOff>0</xdr:rowOff>
    </xdr:from>
    <xdr:ext cx="104775" cy="217714"/>
    <xdr:sp macro="" textlink="">
      <xdr:nvSpPr>
        <xdr:cNvPr id="39" name="Text Box 83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 txBox="1">
          <a:spLocks noChangeArrowheads="1"/>
        </xdr:cNvSpPr>
      </xdr:nvSpPr>
      <xdr:spPr bwMode="auto">
        <a:xfrm>
          <a:off x="5676900" y="63531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0.0693</cdr:x>
      <cdr:y>0.01588</cdr:y>
    </cdr:from>
    <cdr:to>
      <cdr:x>0.0693</cdr:x>
      <cdr:y>0.03721</cdr:y>
    </cdr:to>
    <cdr:sp macro="" textlink="">
      <cdr:nvSpPr>
        <cdr:cNvPr id="202753" name="Texto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7633" y="53086"/>
          <a:ext cx="0" cy="67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MX" sz="6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N°200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2" name="Text Box 3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12</xdr:row>
      <xdr:rowOff>217714</xdr:rowOff>
    </xdr:to>
    <xdr:sp macro="" textlink="">
      <xdr:nvSpPr>
        <xdr:cNvPr id="3" name="Text Box 6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6086475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4" name="Text Box 66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5" name="Text Box 67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12</xdr:row>
      <xdr:rowOff>217714</xdr:rowOff>
    </xdr:to>
    <xdr:sp macro="" textlink="">
      <xdr:nvSpPr>
        <xdr:cNvPr id="6" name="Text Box 68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6086475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12</xdr:row>
      <xdr:rowOff>217714</xdr:rowOff>
    </xdr:to>
    <xdr:sp macro="" textlink="">
      <xdr:nvSpPr>
        <xdr:cNvPr id="7" name="Text Box 69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6086475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9" name="Text Box 7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12</xdr:row>
      <xdr:rowOff>217714</xdr:rowOff>
    </xdr:to>
    <xdr:sp macro="" textlink="">
      <xdr:nvSpPr>
        <xdr:cNvPr id="10" name="Text Box 72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6086475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12</xdr:row>
      <xdr:rowOff>217714</xdr:rowOff>
    </xdr:to>
    <xdr:sp macro="" textlink="">
      <xdr:nvSpPr>
        <xdr:cNvPr id="11" name="Text Box 73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6086475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12" name="Text Box 74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13" name="Text Box 75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12</xdr:row>
      <xdr:rowOff>217714</xdr:rowOff>
    </xdr:to>
    <xdr:sp macro="" textlink="">
      <xdr:nvSpPr>
        <xdr:cNvPr id="14" name="Text Box 76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>
          <a:spLocks noChangeArrowheads="1"/>
        </xdr:cNvSpPr>
      </xdr:nvSpPr>
      <xdr:spPr bwMode="auto">
        <a:xfrm>
          <a:off x="6086475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12</xdr:row>
      <xdr:rowOff>217714</xdr:rowOff>
    </xdr:to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>
          <a:spLocks noChangeArrowheads="1"/>
        </xdr:cNvSpPr>
      </xdr:nvSpPr>
      <xdr:spPr bwMode="auto">
        <a:xfrm>
          <a:off x="6086475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16" name="Text Box 78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17" name="Text Box 79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12</xdr:row>
      <xdr:rowOff>217714</xdr:rowOff>
    </xdr:to>
    <xdr:sp macro="" textlink="">
      <xdr:nvSpPr>
        <xdr:cNvPr id="18" name="Text Box 80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>
          <a:spLocks noChangeArrowheads="1"/>
        </xdr:cNvSpPr>
      </xdr:nvSpPr>
      <xdr:spPr bwMode="auto">
        <a:xfrm>
          <a:off x="6086475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20" name="Text Box 82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12</xdr:row>
      <xdr:rowOff>217714</xdr:rowOff>
    </xdr:to>
    <xdr:sp macro="" textlink="">
      <xdr:nvSpPr>
        <xdr:cNvPr id="21" name="Text Box 83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>
          <a:spLocks noChangeArrowheads="1"/>
        </xdr:cNvSpPr>
      </xdr:nvSpPr>
      <xdr:spPr bwMode="auto">
        <a:xfrm>
          <a:off x="5676900" y="19621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447675</xdr:colOff>
          <xdr:row>33</xdr:row>
          <xdr:rowOff>9525</xdr:rowOff>
        </xdr:from>
        <xdr:to>
          <xdr:col>12</xdr:col>
          <xdr:colOff>285750</xdr:colOff>
          <xdr:row>33</xdr:row>
          <xdr:rowOff>540290</xdr:rowOff>
        </xdr:to>
        <xdr:pic>
          <xdr:nvPicPr>
            <xdr:cNvPr id="28" name="Imagen 37">
              <a:extLst>
                <a:ext uri="{FF2B5EF4-FFF2-40B4-BE49-F238E27FC236}">
                  <a16:creationId xmlns:a16="http://schemas.microsoft.com/office/drawing/2014/main" id="{00000000-0008-0000-0300-00001C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aprobofirmas1" spid="_x0000_s1325325"/>
                </a:ext>
              </a:extLst>
            </xdr:cNvPicPr>
          </xdr:nvPicPr>
          <xdr:blipFill>
            <a:blip xmlns:r="http://schemas.openxmlformats.org/officeDocument/2006/relationships" r:embed="rId1">
              <a:clrChange>
                <a:clrFrom>
                  <a:srgbClr val="FEFEFE"/>
                </a:clrFrom>
                <a:clrTo>
                  <a:srgbClr val="FEFEFE">
                    <a:alpha val="0"/>
                  </a:srgbClr>
                </a:clrTo>
              </a:clrChange>
            </a:blip>
            <a:srcRect/>
            <a:stretch>
              <a:fillRect/>
            </a:stretch>
          </xdr:blipFill>
          <xdr:spPr bwMode="auto">
            <a:xfrm>
              <a:off x="4010025" y="8315325"/>
              <a:ext cx="1514475" cy="504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33</xdr:row>
          <xdr:rowOff>0</xdr:rowOff>
        </xdr:from>
        <xdr:to>
          <xdr:col>5</xdr:col>
          <xdr:colOff>314325</xdr:colOff>
          <xdr:row>33</xdr:row>
          <xdr:rowOff>530765</xdr:rowOff>
        </xdr:to>
        <xdr:pic>
          <xdr:nvPicPr>
            <xdr:cNvPr id="29" name="Picture 313">
              <a:extLst>
                <a:ext uri="{FF2B5EF4-FFF2-40B4-BE49-F238E27FC236}">
                  <a16:creationId xmlns:a16="http://schemas.microsoft.com/office/drawing/2014/main" id="{00000000-0008-0000-0300-00001D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revisofirmas1" spid="_x0000_s1325326"/>
                </a:ext>
              </a:extLst>
            </xdr:cNvPicPr>
          </xdr:nvPicPr>
          <xdr:blipFill>
            <a:blip xmlns:r="http://schemas.openxmlformats.org/officeDocument/2006/relationships" r:embed="rId2">
              <a:clrChange>
                <a:clrFrom>
                  <a:srgbClr val="FEFEFE"/>
                </a:clrFrom>
                <a:clrTo>
                  <a:srgbClr val="FEFEFE">
                    <a:alpha val="0"/>
                  </a:srgbClr>
                </a:clrTo>
              </a:clrChange>
            </a:blip>
            <a:srcRect/>
            <a:stretch>
              <a:fillRect/>
            </a:stretch>
          </xdr:blipFill>
          <xdr:spPr bwMode="auto">
            <a:xfrm>
              <a:off x="847725" y="8305800"/>
              <a:ext cx="1514475" cy="504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0</xdr:col>
      <xdr:colOff>19048</xdr:colOff>
      <xdr:row>0</xdr:row>
      <xdr:rowOff>66675</xdr:rowOff>
    </xdr:from>
    <xdr:to>
      <xdr:col>3</xdr:col>
      <xdr:colOff>318134</xdr:colOff>
      <xdr:row>4</xdr:row>
      <xdr:rowOff>151130</xdr:rowOff>
    </xdr:to>
    <xdr:grpSp>
      <xdr:nvGrpSpPr>
        <xdr:cNvPr id="25" name="Grupo 24">
          <a:extLst>
            <a:ext uri="{FF2B5EF4-FFF2-40B4-BE49-F238E27FC236}">
              <a16:creationId xmlns:a16="http://schemas.microsoft.com/office/drawing/2014/main" id="{6C944A2F-35E3-4C1A-B274-20B72BBF85E1}"/>
            </a:ext>
          </a:extLst>
        </xdr:cNvPr>
        <xdr:cNvGrpSpPr/>
      </xdr:nvGrpSpPr>
      <xdr:grpSpPr>
        <a:xfrm>
          <a:off x="19048" y="66675"/>
          <a:ext cx="1594486" cy="827405"/>
          <a:chOff x="9524" y="0"/>
          <a:chExt cx="1594587" cy="827405"/>
        </a:xfrm>
      </xdr:grpSpPr>
      <xdr:grpSp>
        <xdr:nvGrpSpPr>
          <xdr:cNvPr id="26" name="Grupo 25">
            <a:extLst>
              <a:ext uri="{FF2B5EF4-FFF2-40B4-BE49-F238E27FC236}">
                <a16:creationId xmlns:a16="http://schemas.microsoft.com/office/drawing/2014/main" id="{9A7BC701-83AA-4299-912C-C23B721DFFE0}"/>
              </a:ext>
            </a:extLst>
          </xdr:cNvPr>
          <xdr:cNvGrpSpPr/>
        </xdr:nvGrpSpPr>
        <xdr:grpSpPr>
          <a:xfrm>
            <a:off x="9524" y="20688"/>
            <a:ext cx="914401" cy="769620"/>
            <a:chOff x="0" y="0"/>
            <a:chExt cx="875761" cy="769620"/>
          </a:xfrm>
          <a:solidFill>
            <a:schemeClr val="bg1"/>
          </a:solidFill>
        </xdr:grpSpPr>
        <xdr:pic>
          <xdr:nvPicPr>
            <xdr:cNvPr id="30" name="Imagen 29">
              <a:extLst>
                <a:ext uri="{FF2B5EF4-FFF2-40B4-BE49-F238E27FC236}">
                  <a16:creationId xmlns:a16="http://schemas.microsoft.com/office/drawing/2014/main" id="{38540567-22F3-4EC7-9632-4A3886DB1FE1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r="31669"/>
            <a:stretch/>
          </xdr:blipFill>
          <xdr:spPr bwMode="auto">
            <a:xfrm>
              <a:off x="0" y="0"/>
              <a:ext cx="858520" cy="535940"/>
            </a:xfrm>
            <a:prstGeom prst="rect">
              <a:avLst/>
            </a:prstGeom>
            <a:grpFill/>
            <a:ln>
              <a:noFill/>
            </a:ln>
            <a:extLst>
              <a:ext uri="{53640926-AAD7-44D8-BBD7-CCE9431645EC}">
                <a14:shadowObscured xmlns:a14="http://schemas.microsoft.com/office/drawing/2010/main"/>
              </a:ext>
            </a:extLst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</xdr:pic>
        <xdr:sp macro="" textlink="">
          <xdr:nvSpPr>
            <xdr:cNvPr id="31" name="Cuadro de texto 20">
              <a:extLst>
                <a:ext uri="{FF2B5EF4-FFF2-40B4-BE49-F238E27FC236}">
                  <a16:creationId xmlns:a16="http://schemas.microsoft.com/office/drawing/2014/main" id="{35AEF3B8-EA63-48AE-9075-D9A1B30BDE9B}"/>
                </a:ext>
              </a:extLst>
            </xdr:cNvPr>
            <xdr:cNvSpPr txBox="1"/>
          </xdr:nvSpPr>
          <xdr:spPr>
            <a:xfrm>
              <a:off x="1" y="518160"/>
              <a:ext cx="875760" cy="251460"/>
            </a:xfrm>
            <a:prstGeom prst="rect">
              <a:avLst/>
            </a:prstGeom>
            <a:grpFill/>
            <a:ln>
              <a:noFill/>
            </a:ln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 algn="ctr">
                <a:lnSpc>
                  <a:spcPct val="107000"/>
                </a:lnSpc>
                <a:spcAft>
                  <a:spcPts val="0"/>
                </a:spcAft>
              </a:pPr>
              <a:r>
                <a:rPr lang="es-ES" sz="500">
                  <a:effectLst/>
                  <a:latin typeface="Century Gothic" panose="020B050202020202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ISO/IEC 17025:2017</a:t>
              </a:r>
              <a:endParaRPr lang="es-CO" sz="1100">
                <a:effectLst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algn="ctr">
                <a:lnSpc>
                  <a:spcPct val="107000"/>
                </a:lnSpc>
                <a:spcAft>
                  <a:spcPts val="0"/>
                </a:spcAft>
              </a:pPr>
              <a:r>
                <a:rPr lang="es-ES" sz="500">
                  <a:effectLst/>
                  <a:latin typeface="Century Gothic" panose="020B050202020202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19-LAB-016</a:t>
              </a:r>
              <a:endParaRPr lang="es-CO" sz="1100">
                <a:effectLst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xdr:grpSp>
      <xdr:pic>
        <xdr:nvPicPr>
          <xdr:cNvPr id="27" name="Imagen 26">
            <a:extLst>
              <a:ext uri="{FF2B5EF4-FFF2-40B4-BE49-F238E27FC236}">
                <a16:creationId xmlns:a16="http://schemas.microsoft.com/office/drawing/2014/main" id="{E8033E74-439B-4F64-B689-B46CA085B7F5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40" t="9419" r="1903" b="10248"/>
          <a:stretch/>
        </xdr:blipFill>
        <xdr:spPr bwMode="auto">
          <a:xfrm>
            <a:off x="955776" y="0"/>
            <a:ext cx="648335" cy="827405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32" name="Text Box 33">
          <a:extLst>
            <a:ext uri="{FF2B5EF4-FFF2-40B4-BE49-F238E27FC236}">
              <a16:creationId xmlns:a16="http://schemas.microsoft.com/office/drawing/2014/main" id="{487A6471-FBD8-4C9A-BD28-3CC4E3AF7476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36</xdr:row>
      <xdr:rowOff>0</xdr:rowOff>
    </xdr:from>
    <xdr:ext cx="104775" cy="217714"/>
    <xdr:sp macro="" textlink="">
      <xdr:nvSpPr>
        <xdr:cNvPr id="33" name="Text Box 65">
          <a:extLst>
            <a:ext uri="{FF2B5EF4-FFF2-40B4-BE49-F238E27FC236}">
              <a16:creationId xmlns:a16="http://schemas.microsoft.com/office/drawing/2014/main" id="{C2AF592E-AAAB-4C6C-9E25-10409D88E826}"/>
            </a:ext>
          </a:extLst>
        </xdr:cNvPr>
        <xdr:cNvSpPr txBox="1">
          <a:spLocks noChangeArrowheads="1"/>
        </xdr:cNvSpPr>
      </xdr:nvSpPr>
      <xdr:spPr bwMode="auto">
        <a:xfrm>
          <a:off x="6086475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34" name="Text Box 66">
          <a:extLst>
            <a:ext uri="{FF2B5EF4-FFF2-40B4-BE49-F238E27FC236}">
              <a16:creationId xmlns:a16="http://schemas.microsoft.com/office/drawing/2014/main" id="{D7631700-E6FC-4D2C-88AD-367B7D23C40A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35" name="Text Box 67">
          <a:extLst>
            <a:ext uri="{FF2B5EF4-FFF2-40B4-BE49-F238E27FC236}">
              <a16:creationId xmlns:a16="http://schemas.microsoft.com/office/drawing/2014/main" id="{F7062AF9-CB3D-41C6-8D7C-037AFF72E166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36</xdr:row>
      <xdr:rowOff>0</xdr:rowOff>
    </xdr:from>
    <xdr:ext cx="104775" cy="217714"/>
    <xdr:sp macro="" textlink="">
      <xdr:nvSpPr>
        <xdr:cNvPr id="36" name="Text Box 68">
          <a:extLst>
            <a:ext uri="{FF2B5EF4-FFF2-40B4-BE49-F238E27FC236}">
              <a16:creationId xmlns:a16="http://schemas.microsoft.com/office/drawing/2014/main" id="{4167B190-E840-46FF-80FE-6D939F381863}"/>
            </a:ext>
          </a:extLst>
        </xdr:cNvPr>
        <xdr:cNvSpPr txBox="1">
          <a:spLocks noChangeArrowheads="1"/>
        </xdr:cNvSpPr>
      </xdr:nvSpPr>
      <xdr:spPr bwMode="auto">
        <a:xfrm>
          <a:off x="6086475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36</xdr:row>
      <xdr:rowOff>0</xdr:rowOff>
    </xdr:from>
    <xdr:ext cx="104775" cy="217714"/>
    <xdr:sp macro="" textlink="">
      <xdr:nvSpPr>
        <xdr:cNvPr id="37" name="Text Box 69">
          <a:extLst>
            <a:ext uri="{FF2B5EF4-FFF2-40B4-BE49-F238E27FC236}">
              <a16:creationId xmlns:a16="http://schemas.microsoft.com/office/drawing/2014/main" id="{1E737738-4D0F-4AF2-90CB-7F149019E14F}"/>
            </a:ext>
          </a:extLst>
        </xdr:cNvPr>
        <xdr:cNvSpPr txBox="1">
          <a:spLocks noChangeArrowheads="1"/>
        </xdr:cNvSpPr>
      </xdr:nvSpPr>
      <xdr:spPr bwMode="auto">
        <a:xfrm>
          <a:off x="6086475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38" name="Text Box 70">
          <a:extLst>
            <a:ext uri="{FF2B5EF4-FFF2-40B4-BE49-F238E27FC236}">
              <a16:creationId xmlns:a16="http://schemas.microsoft.com/office/drawing/2014/main" id="{85B0D2E6-94CC-4415-B090-F9D76B79183E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39" name="Text Box 71">
          <a:extLst>
            <a:ext uri="{FF2B5EF4-FFF2-40B4-BE49-F238E27FC236}">
              <a16:creationId xmlns:a16="http://schemas.microsoft.com/office/drawing/2014/main" id="{457F3BF3-277E-478B-9952-EF8F7C7C118A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36</xdr:row>
      <xdr:rowOff>0</xdr:rowOff>
    </xdr:from>
    <xdr:ext cx="104775" cy="217714"/>
    <xdr:sp macro="" textlink="">
      <xdr:nvSpPr>
        <xdr:cNvPr id="40" name="Text Box 72">
          <a:extLst>
            <a:ext uri="{FF2B5EF4-FFF2-40B4-BE49-F238E27FC236}">
              <a16:creationId xmlns:a16="http://schemas.microsoft.com/office/drawing/2014/main" id="{C87D9DA5-DCD9-4C9A-A797-B214E504DF25}"/>
            </a:ext>
          </a:extLst>
        </xdr:cNvPr>
        <xdr:cNvSpPr txBox="1">
          <a:spLocks noChangeArrowheads="1"/>
        </xdr:cNvSpPr>
      </xdr:nvSpPr>
      <xdr:spPr bwMode="auto">
        <a:xfrm>
          <a:off x="6086475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36</xdr:row>
      <xdr:rowOff>0</xdr:rowOff>
    </xdr:from>
    <xdr:ext cx="104775" cy="217714"/>
    <xdr:sp macro="" textlink="">
      <xdr:nvSpPr>
        <xdr:cNvPr id="41" name="Text Box 73">
          <a:extLst>
            <a:ext uri="{FF2B5EF4-FFF2-40B4-BE49-F238E27FC236}">
              <a16:creationId xmlns:a16="http://schemas.microsoft.com/office/drawing/2014/main" id="{6EC579E2-0C95-404E-9966-9E9D1A8B2104}"/>
            </a:ext>
          </a:extLst>
        </xdr:cNvPr>
        <xdr:cNvSpPr txBox="1">
          <a:spLocks noChangeArrowheads="1"/>
        </xdr:cNvSpPr>
      </xdr:nvSpPr>
      <xdr:spPr bwMode="auto">
        <a:xfrm>
          <a:off x="6086475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42" name="Text Box 74">
          <a:extLst>
            <a:ext uri="{FF2B5EF4-FFF2-40B4-BE49-F238E27FC236}">
              <a16:creationId xmlns:a16="http://schemas.microsoft.com/office/drawing/2014/main" id="{E580384C-5E1D-4274-9C31-C6C7A95EAAFE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43" name="Text Box 75">
          <a:extLst>
            <a:ext uri="{FF2B5EF4-FFF2-40B4-BE49-F238E27FC236}">
              <a16:creationId xmlns:a16="http://schemas.microsoft.com/office/drawing/2014/main" id="{2D18E6FF-907F-4144-90C7-48C9DC6BB74D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36</xdr:row>
      <xdr:rowOff>0</xdr:rowOff>
    </xdr:from>
    <xdr:ext cx="104775" cy="217714"/>
    <xdr:sp macro="" textlink="">
      <xdr:nvSpPr>
        <xdr:cNvPr id="44" name="Text Box 76">
          <a:extLst>
            <a:ext uri="{FF2B5EF4-FFF2-40B4-BE49-F238E27FC236}">
              <a16:creationId xmlns:a16="http://schemas.microsoft.com/office/drawing/2014/main" id="{BBB3DE5C-E6A9-4DEB-A661-57D0A0C87A8F}"/>
            </a:ext>
          </a:extLst>
        </xdr:cNvPr>
        <xdr:cNvSpPr txBox="1">
          <a:spLocks noChangeArrowheads="1"/>
        </xdr:cNvSpPr>
      </xdr:nvSpPr>
      <xdr:spPr bwMode="auto">
        <a:xfrm>
          <a:off x="6086475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36</xdr:row>
      <xdr:rowOff>0</xdr:rowOff>
    </xdr:from>
    <xdr:ext cx="104775" cy="217714"/>
    <xdr:sp macro="" textlink="">
      <xdr:nvSpPr>
        <xdr:cNvPr id="45" name="Text Box 77">
          <a:extLst>
            <a:ext uri="{FF2B5EF4-FFF2-40B4-BE49-F238E27FC236}">
              <a16:creationId xmlns:a16="http://schemas.microsoft.com/office/drawing/2014/main" id="{D75CB49A-E099-44BD-B3BF-119B5C9D1FAA}"/>
            </a:ext>
          </a:extLst>
        </xdr:cNvPr>
        <xdr:cNvSpPr txBox="1">
          <a:spLocks noChangeArrowheads="1"/>
        </xdr:cNvSpPr>
      </xdr:nvSpPr>
      <xdr:spPr bwMode="auto">
        <a:xfrm>
          <a:off x="6086475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46" name="Text Box 78">
          <a:extLst>
            <a:ext uri="{FF2B5EF4-FFF2-40B4-BE49-F238E27FC236}">
              <a16:creationId xmlns:a16="http://schemas.microsoft.com/office/drawing/2014/main" id="{C1C5FE49-F50D-4F72-BB8E-B7B9BFFFF946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47" name="Text Box 79">
          <a:extLst>
            <a:ext uri="{FF2B5EF4-FFF2-40B4-BE49-F238E27FC236}">
              <a16:creationId xmlns:a16="http://schemas.microsoft.com/office/drawing/2014/main" id="{FB216FFF-E367-438E-9F25-83E74F9FE2B3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36</xdr:row>
      <xdr:rowOff>0</xdr:rowOff>
    </xdr:from>
    <xdr:ext cx="104775" cy="217714"/>
    <xdr:sp macro="" textlink="">
      <xdr:nvSpPr>
        <xdr:cNvPr id="48" name="Text Box 80">
          <a:extLst>
            <a:ext uri="{FF2B5EF4-FFF2-40B4-BE49-F238E27FC236}">
              <a16:creationId xmlns:a16="http://schemas.microsoft.com/office/drawing/2014/main" id="{B7525E59-7977-48DC-A705-75DFD9455445}"/>
            </a:ext>
          </a:extLst>
        </xdr:cNvPr>
        <xdr:cNvSpPr txBox="1">
          <a:spLocks noChangeArrowheads="1"/>
        </xdr:cNvSpPr>
      </xdr:nvSpPr>
      <xdr:spPr bwMode="auto">
        <a:xfrm>
          <a:off x="6086475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36</xdr:row>
      <xdr:rowOff>0</xdr:rowOff>
    </xdr:from>
    <xdr:ext cx="104775" cy="217714"/>
    <xdr:sp macro="" textlink="">
      <xdr:nvSpPr>
        <xdr:cNvPr id="49" name="Text Box 81">
          <a:extLst>
            <a:ext uri="{FF2B5EF4-FFF2-40B4-BE49-F238E27FC236}">
              <a16:creationId xmlns:a16="http://schemas.microsoft.com/office/drawing/2014/main" id="{8A126A6C-149B-49DD-AB2F-C5A41D33AA1E}"/>
            </a:ext>
          </a:extLst>
        </xdr:cNvPr>
        <xdr:cNvSpPr txBox="1">
          <a:spLocks noChangeArrowheads="1"/>
        </xdr:cNvSpPr>
      </xdr:nvSpPr>
      <xdr:spPr bwMode="auto">
        <a:xfrm>
          <a:off x="6086475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50" name="Text Box 82">
          <a:extLst>
            <a:ext uri="{FF2B5EF4-FFF2-40B4-BE49-F238E27FC236}">
              <a16:creationId xmlns:a16="http://schemas.microsoft.com/office/drawing/2014/main" id="{6252BC47-8DAD-48C3-BCA2-63323685E352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104775" cy="217714"/>
    <xdr:sp macro="" textlink="">
      <xdr:nvSpPr>
        <xdr:cNvPr id="51" name="Text Box 83">
          <a:extLst>
            <a:ext uri="{FF2B5EF4-FFF2-40B4-BE49-F238E27FC236}">
              <a16:creationId xmlns:a16="http://schemas.microsoft.com/office/drawing/2014/main" id="{43497882-35E9-471B-BB27-0CD7442D40F7}"/>
            </a:ext>
          </a:extLst>
        </xdr:cNvPr>
        <xdr:cNvSpPr txBox="1">
          <a:spLocks noChangeArrowheads="1"/>
        </xdr:cNvSpPr>
      </xdr:nvSpPr>
      <xdr:spPr bwMode="auto">
        <a:xfrm>
          <a:off x="5676900" y="98012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13</xdr:row>
      <xdr:rowOff>27214</xdr:rowOff>
    </xdr:to>
    <xdr:sp macro="" textlink="">
      <xdr:nvSpPr>
        <xdr:cNvPr id="2" name="Text Box 33">
          <a:extLst>
            <a:ext uri="{FF2B5EF4-FFF2-40B4-BE49-F238E27FC236}">
              <a16:creationId xmlns:a16="http://schemas.microsoft.com/office/drawing/2014/main" id="{3E7F3F19-A267-49A2-A710-646470D5AECD}"/>
            </a:ext>
          </a:extLst>
        </xdr:cNvPr>
        <xdr:cNvSpPr txBox="1">
          <a:spLocks noChangeArrowheads="1"/>
        </xdr:cNvSpPr>
      </xdr:nvSpPr>
      <xdr:spPr bwMode="auto">
        <a:xfrm>
          <a:off x="5676900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13</xdr:row>
      <xdr:rowOff>27214</xdr:rowOff>
    </xdr:to>
    <xdr:sp macro="" textlink="">
      <xdr:nvSpPr>
        <xdr:cNvPr id="3" name="Text Box 65">
          <a:extLst>
            <a:ext uri="{FF2B5EF4-FFF2-40B4-BE49-F238E27FC236}">
              <a16:creationId xmlns:a16="http://schemas.microsoft.com/office/drawing/2014/main" id="{93D7AC84-4A32-41C8-9D97-4B006DA7D10A}"/>
            </a:ext>
          </a:extLst>
        </xdr:cNvPr>
        <xdr:cNvSpPr txBox="1">
          <a:spLocks noChangeArrowheads="1"/>
        </xdr:cNvSpPr>
      </xdr:nvSpPr>
      <xdr:spPr bwMode="auto">
        <a:xfrm>
          <a:off x="6086475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13</xdr:row>
      <xdr:rowOff>27214</xdr:rowOff>
    </xdr:to>
    <xdr:sp macro="" textlink="">
      <xdr:nvSpPr>
        <xdr:cNvPr id="4" name="Text Box 66">
          <a:extLst>
            <a:ext uri="{FF2B5EF4-FFF2-40B4-BE49-F238E27FC236}">
              <a16:creationId xmlns:a16="http://schemas.microsoft.com/office/drawing/2014/main" id="{F27CF64C-D65C-4435-A19B-38D2184F60A4}"/>
            </a:ext>
          </a:extLst>
        </xdr:cNvPr>
        <xdr:cNvSpPr txBox="1">
          <a:spLocks noChangeArrowheads="1"/>
        </xdr:cNvSpPr>
      </xdr:nvSpPr>
      <xdr:spPr bwMode="auto">
        <a:xfrm>
          <a:off x="5676900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13</xdr:row>
      <xdr:rowOff>27214</xdr:rowOff>
    </xdr:to>
    <xdr:sp macro="" textlink="">
      <xdr:nvSpPr>
        <xdr:cNvPr id="5" name="Text Box 67">
          <a:extLst>
            <a:ext uri="{FF2B5EF4-FFF2-40B4-BE49-F238E27FC236}">
              <a16:creationId xmlns:a16="http://schemas.microsoft.com/office/drawing/2014/main" id="{A00A1520-13BD-4E0D-A095-8E1D6789DCB1}"/>
            </a:ext>
          </a:extLst>
        </xdr:cNvPr>
        <xdr:cNvSpPr txBox="1">
          <a:spLocks noChangeArrowheads="1"/>
        </xdr:cNvSpPr>
      </xdr:nvSpPr>
      <xdr:spPr bwMode="auto">
        <a:xfrm>
          <a:off x="5676900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13</xdr:row>
      <xdr:rowOff>27214</xdr:rowOff>
    </xdr:to>
    <xdr:sp macro="" textlink="">
      <xdr:nvSpPr>
        <xdr:cNvPr id="6" name="Text Box 68">
          <a:extLst>
            <a:ext uri="{FF2B5EF4-FFF2-40B4-BE49-F238E27FC236}">
              <a16:creationId xmlns:a16="http://schemas.microsoft.com/office/drawing/2014/main" id="{8E24FB7C-76F9-4F39-A3DB-2E8181E19405}"/>
            </a:ext>
          </a:extLst>
        </xdr:cNvPr>
        <xdr:cNvSpPr txBox="1">
          <a:spLocks noChangeArrowheads="1"/>
        </xdr:cNvSpPr>
      </xdr:nvSpPr>
      <xdr:spPr bwMode="auto">
        <a:xfrm>
          <a:off x="6086475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13</xdr:row>
      <xdr:rowOff>27214</xdr:rowOff>
    </xdr:to>
    <xdr:sp macro="" textlink="">
      <xdr:nvSpPr>
        <xdr:cNvPr id="7" name="Text Box 69">
          <a:extLst>
            <a:ext uri="{FF2B5EF4-FFF2-40B4-BE49-F238E27FC236}">
              <a16:creationId xmlns:a16="http://schemas.microsoft.com/office/drawing/2014/main" id="{42CA7EB0-6485-4385-A31E-78F7D0D5E503}"/>
            </a:ext>
          </a:extLst>
        </xdr:cNvPr>
        <xdr:cNvSpPr txBox="1">
          <a:spLocks noChangeArrowheads="1"/>
        </xdr:cNvSpPr>
      </xdr:nvSpPr>
      <xdr:spPr bwMode="auto">
        <a:xfrm>
          <a:off x="6086475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13</xdr:row>
      <xdr:rowOff>27214</xdr:rowOff>
    </xdr:to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68AFCF-DD74-42B0-BB06-90753E2B4055}"/>
            </a:ext>
          </a:extLst>
        </xdr:cNvPr>
        <xdr:cNvSpPr txBox="1">
          <a:spLocks noChangeArrowheads="1"/>
        </xdr:cNvSpPr>
      </xdr:nvSpPr>
      <xdr:spPr bwMode="auto">
        <a:xfrm>
          <a:off x="5676900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13</xdr:row>
      <xdr:rowOff>27214</xdr:rowOff>
    </xdr:to>
    <xdr:sp macro="" textlink="">
      <xdr:nvSpPr>
        <xdr:cNvPr id="9" name="Text Box 71">
          <a:extLst>
            <a:ext uri="{FF2B5EF4-FFF2-40B4-BE49-F238E27FC236}">
              <a16:creationId xmlns:a16="http://schemas.microsoft.com/office/drawing/2014/main" id="{9E2B98A7-05AD-4C30-A702-F567BA7CD7E1}"/>
            </a:ext>
          </a:extLst>
        </xdr:cNvPr>
        <xdr:cNvSpPr txBox="1">
          <a:spLocks noChangeArrowheads="1"/>
        </xdr:cNvSpPr>
      </xdr:nvSpPr>
      <xdr:spPr bwMode="auto">
        <a:xfrm>
          <a:off x="5676900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13</xdr:row>
      <xdr:rowOff>27214</xdr:rowOff>
    </xdr:to>
    <xdr:sp macro="" textlink="">
      <xdr:nvSpPr>
        <xdr:cNvPr id="10" name="Text Box 72">
          <a:extLst>
            <a:ext uri="{FF2B5EF4-FFF2-40B4-BE49-F238E27FC236}">
              <a16:creationId xmlns:a16="http://schemas.microsoft.com/office/drawing/2014/main" id="{9C34D879-DBF0-47CE-A2C3-40A8CCC57A36}"/>
            </a:ext>
          </a:extLst>
        </xdr:cNvPr>
        <xdr:cNvSpPr txBox="1">
          <a:spLocks noChangeArrowheads="1"/>
        </xdr:cNvSpPr>
      </xdr:nvSpPr>
      <xdr:spPr bwMode="auto">
        <a:xfrm>
          <a:off x="6086475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13</xdr:row>
      <xdr:rowOff>27214</xdr:rowOff>
    </xdr:to>
    <xdr:sp macro="" textlink="">
      <xdr:nvSpPr>
        <xdr:cNvPr id="11" name="Text Box 73">
          <a:extLst>
            <a:ext uri="{FF2B5EF4-FFF2-40B4-BE49-F238E27FC236}">
              <a16:creationId xmlns:a16="http://schemas.microsoft.com/office/drawing/2014/main" id="{53465445-3B68-4025-B2E7-3A80704E7D2E}"/>
            </a:ext>
          </a:extLst>
        </xdr:cNvPr>
        <xdr:cNvSpPr txBox="1">
          <a:spLocks noChangeArrowheads="1"/>
        </xdr:cNvSpPr>
      </xdr:nvSpPr>
      <xdr:spPr bwMode="auto">
        <a:xfrm>
          <a:off x="6086475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13</xdr:row>
      <xdr:rowOff>27214</xdr:rowOff>
    </xdr:to>
    <xdr:sp macro="" textlink="">
      <xdr:nvSpPr>
        <xdr:cNvPr id="12" name="Text Box 74">
          <a:extLst>
            <a:ext uri="{FF2B5EF4-FFF2-40B4-BE49-F238E27FC236}">
              <a16:creationId xmlns:a16="http://schemas.microsoft.com/office/drawing/2014/main" id="{1224D099-84AE-4577-9EB4-BCB6D7DFC268}"/>
            </a:ext>
          </a:extLst>
        </xdr:cNvPr>
        <xdr:cNvSpPr txBox="1">
          <a:spLocks noChangeArrowheads="1"/>
        </xdr:cNvSpPr>
      </xdr:nvSpPr>
      <xdr:spPr bwMode="auto">
        <a:xfrm>
          <a:off x="5676900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104775</xdr:colOff>
      <xdr:row>13</xdr:row>
      <xdr:rowOff>27214</xdr:rowOff>
    </xdr:to>
    <xdr:sp macro="" textlink="">
      <xdr:nvSpPr>
        <xdr:cNvPr id="13" name="Text Box 75">
          <a:extLst>
            <a:ext uri="{FF2B5EF4-FFF2-40B4-BE49-F238E27FC236}">
              <a16:creationId xmlns:a16="http://schemas.microsoft.com/office/drawing/2014/main" id="{BF95C3C0-0E7F-4BBC-988F-DC27FFB4A7B3}"/>
            </a:ext>
          </a:extLst>
        </xdr:cNvPr>
        <xdr:cNvSpPr txBox="1">
          <a:spLocks noChangeArrowheads="1"/>
        </xdr:cNvSpPr>
      </xdr:nvSpPr>
      <xdr:spPr bwMode="auto">
        <a:xfrm>
          <a:off x="5676900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13</xdr:row>
      <xdr:rowOff>27214</xdr:rowOff>
    </xdr:to>
    <xdr:sp macro="" textlink="">
      <xdr:nvSpPr>
        <xdr:cNvPr id="14" name="Text Box 76">
          <a:extLst>
            <a:ext uri="{FF2B5EF4-FFF2-40B4-BE49-F238E27FC236}">
              <a16:creationId xmlns:a16="http://schemas.microsoft.com/office/drawing/2014/main" id="{FB343326-173D-449A-9A2A-F6ABA96A9454}"/>
            </a:ext>
          </a:extLst>
        </xdr:cNvPr>
        <xdr:cNvSpPr txBox="1">
          <a:spLocks noChangeArrowheads="1"/>
        </xdr:cNvSpPr>
      </xdr:nvSpPr>
      <xdr:spPr bwMode="auto">
        <a:xfrm>
          <a:off x="6086475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13</xdr:row>
      <xdr:rowOff>27214</xdr:rowOff>
    </xdr:to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2FB2CDFA-ACD2-4193-B0DD-DF73C1C267FC}"/>
            </a:ext>
          </a:extLst>
        </xdr:cNvPr>
        <xdr:cNvSpPr txBox="1">
          <a:spLocks noChangeArrowheads="1"/>
        </xdr:cNvSpPr>
      </xdr:nvSpPr>
      <xdr:spPr bwMode="auto">
        <a:xfrm>
          <a:off x="6086475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13</xdr:row>
      <xdr:rowOff>27214</xdr:rowOff>
    </xdr:to>
    <xdr:sp macro="" textlink="">
      <xdr:nvSpPr>
        <xdr:cNvPr id="16" name="Text Box 80">
          <a:extLst>
            <a:ext uri="{FF2B5EF4-FFF2-40B4-BE49-F238E27FC236}">
              <a16:creationId xmlns:a16="http://schemas.microsoft.com/office/drawing/2014/main" id="{312F02C0-E3F6-4370-833E-F4F1CEF99EAC}"/>
            </a:ext>
          </a:extLst>
        </xdr:cNvPr>
        <xdr:cNvSpPr txBox="1">
          <a:spLocks noChangeArrowheads="1"/>
        </xdr:cNvSpPr>
      </xdr:nvSpPr>
      <xdr:spPr bwMode="auto">
        <a:xfrm>
          <a:off x="6086475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12</xdr:row>
      <xdr:rowOff>0</xdr:rowOff>
    </xdr:from>
    <xdr:to>
      <xdr:col>14</xdr:col>
      <xdr:colOff>104775</xdr:colOff>
      <xdr:row>13</xdr:row>
      <xdr:rowOff>27214</xdr:rowOff>
    </xdr:to>
    <xdr:sp macro="" textlink="">
      <xdr:nvSpPr>
        <xdr:cNvPr id="17" name="Text Box 81">
          <a:extLst>
            <a:ext uri="{FF2B5EF4-FFF2-40B4-BE49-F238E27FC236}">
              <a16:creationId xmlns:a16="http://schemas.microsoft.com/office/drawing/2014/main" id="{C800097B-837F-4E19-81BF-EA9E89D82F69}"/>
            </a:ext>
          </a:extLst>
        </xdr:cNvPr>
        <xdr:cNvSpPr txBox="1">
          <a:spLocks noChangeArrowheads="1"/>
        </xdr:cNvSpPr>
      </xdr:nvSpPr>
      <xdr:spPr bwMode="auto">
        <a:xfrm>
          <a:off x="6086475" y="21526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117021</xdr:colOff>
      <xdr:row>0</xdr:row>
      <xdr:rowOff>54429</xdr:rowOff>
    </xdr:from>
    <xdr:ext cx="1140279" cy="793296"/>
    <xdr:pic>
      <xdr:nvPicPr>
        <xdr:cNvPr id="19" name="Imagen 18">
          <a:extLst>
            <a:ext uri="{FF2B5EF4-FFF2-40B4-BE49-F238E27FC236}">
              <a16:creationId xmlns:a16="http://schemas.microsoft.com/office/drawing/2014/main" id="{AF581E20-4735-47C6-B884-5A6E46611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021" y="54429"/>
          <a:ext cx="1140279" cy="793296"/>
        </a:xfrm>
        <a:prstGeom prst="rect">
          <a:avLst/>
        </a:prstGeom>
      </xdr:spPr>
    </xdr:pic>
    <xdr:clientData/>
  </xdr:oneCellAnchor>
  <xdr:twoCellAnchor>
    <xdr:from>
      <xdr:col>1</xdr:col>
      <xdr:colOff>342900</xdr:colOff>
      <xdr:row>42</xdr:row>
      <xdr:rowOff>9525</xdr:rowOff>
    </xdr:from>
    <xdr:to>
      <xdr:col>5</xdr:col>
      <xdr:colOff>140677</xdr:colOff>
      <xdr:row>42</xdr:row>
      <xdr:rowOff>9525</xdr:rowOff>
    </xdr:to>
    <xdr:cxnSp macro="">
      <xdr:nvCxnSpPr>
        <xdr:cNvPr id="21" name="Conector recto 10">
          <a:extLst>
            <a:ext uri="{FF2B5EF4-FFF2-40B4-BE49-F238E27FC236}">
              <a16:creationId xmlns:a16="http://schemas.microsoft.com/office/drawing/2014/main" id="{808DF6D7-19C7-446D-9DB8-64A01B921B63}"/>
            </a:ext>
          </a:extLst>
        </xdr:cNvPr>
        <xdr:cNvCxnSpPr/>
      </xdr:nvCxnSpPr>
      <xdr:spPr>
        <a:xfrm>
          <a:off x="771525" y="8667750"/>
          <a:ext cx="1417027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95250</xdr:colOff>
      <xdr:row>42</xdr:row>
      <xdr:rowOff>0</xdr:rowOff>
    </xdr:from>
    <xdr:to>
      <xdr:col>12</xdr:col>
      <xdr:colOff>493102</xdr:colOff>
      <xdr:row>42</xdr:row>
      <xdr:rowOff>0</xdr:rowOff>
    </xdr:to>
    <xdr:cxnSp macro="">
      <xdr:nvCxnSpPr>
        <xdr:cNvPr id="22" name="Conector recto 10">
          <a:extLst>
            <a:ext uri="{FF2B5EF4-FFF2-40B4-BE49-F238E27FC236}">
              <a16:creationId xmlns:a16="http://schemas.microsoft.com/office/drawing/2014/main" id="{5BD8EB5F-F49E-4561-8093-2AF2A038E1F1}"/>
            </a:ext>
          </a:extLst>
        </xdr:cNvPr>
        <xdr:cNvCxnSpPr/>
      </xdr:nvCxnSpPr>
      <xdr:spPr>
        <a:xfrm>
          <a:off x="4152900" y="8658225"/>
          <a:ext cx="1502752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41</xdr:row>
          <xdr:rowOff>0</xdr:rowOff>
        </xdr:from>
        <xdr:to>
          <xdr:col>12</xdr:col>
          <xdr:colOff>419100</xdr:colOff>
          <xdr:row>41</xdr:row>
          <xdr:rowOff>504825</xdr:rowOff>
        </xdr:to>
        <xdr:pic>
          <xdr:nvPicPr>
            <xdr:cNvPr id="24" name="Imagen 37">
              <a:extLst>
                <a:ext uri="{FF2B5EF4-FFF2-40B4-BE49-F238E27FC236}">
                  <a16:creationId xmlns:a16="http://schemas.microsoft.com/office/drawing/2014/main" id="{E67E826E-7C37-4E99-A3EB-107AB5803D28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aprobofirmas748" spid="_x0000_s1330420"/>
                </a:ext>
              </a:extLst>
            </xdr:cNvPicPr>
          </xdr:nvPicPr>
          <xdr:blipFill>
            <a:blip xmlns:r="http://schemas.openxmlformats.org/officeDocument/2006/relationships" r:embed="rId2">
              <a:clrChange>
                <a:clrFrom>
                  <a:srgbClr val="FEFEFE"/>
                </a:clrFrom>
                <a:clrTo>
                  <a:srgbClr val="FEFEFE">
                    <a:alpha val="0"/>
                  </a:srgbClr>
                </a:clrTo>
              </a:clrChange>
            </a:blip>
            <a:srcRect/>
            <a:stretch>
              <a:fillRect/>
            </a:stretch>
          </xdr:blipFill>
          <xdr:spPr bwMode="auto">
            <a:xfrm>
              <a:off x="4152900" y="8086725"/>
              <a:ext cx="1514475" cy="504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371475</xdr:colOff>
          <xdr:row>41</xdr:row>
          <xdr:rowOff>38100</xdr:rowOff>
        </xdr:from>
        <xdr:to>
          <xdr:col>5</xdr:col>
          <xdr:colOff>266700</xdr:colOff>
          <xdr:row>41</xdr:row>
          <xdr:rowOff>542925</xdr:rowOff>
        </xdr:to>
        <xdr:pic>
          <xdr:nvPicPr>
            <xdr:cNvPr id="25" name="Picture 313">
              <a:extLst>
                <a:ext uri="{FF2B5EF4-FFF2-40B4-BE49-F238E27FC236}">
                  <a16:creationId xmlns:a16="http://schemas.microsoft.com/office/drawing/2014/main" id="{619E6938-B952-4CE5-90C6-C225EDA5AA8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revisofirmas1" spid="_x0000_s1330421"/>
                </a:ext>
              </a:extLst>
            </xdr:cNvPicPr>
          </xdr:nvPicPr>
          <xdr:blipFill>
            <a:blip xmlns:r="http://schemas.openxmlformats.org/officeDocument/2006/relationships" r:embed="rId3">
              <a:clrChange>
                <a:clrFrom>
                  <a:srgbClr val="FEFEFE"/>
                </a:clrFrom>
                <a:clrTo>
                  <a:srgbClr val="FEFEFE">
                    <a:alpha val="0"/>
                  </a:srgbClr>
                </a:clrTo>
              </a:clrChange>
            </a:blip>
            <a:srcRect/>
            <a:stretch>
              <a:fillRect/>
            </a:stretch>
          </xdr:blipFill>
          <xdr:spPr bwMode="auto">
            <a:xfrm>
              <a:off x="800100" y="8124825"/>
              <a:ext cx="1514475" cy="504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157885</xdr:colOff>
      <xdr:row>0</xdr:row>
      <xdr:rowOff>119497</xdr:rowOff>
    </xdr:from>
    <xdr:to>
      <xdr:col>3</xdr:col>
      <xdr:colOff>171451</xdr:colOff>
      <xdr:row>4</xdr:row>
      <xdr:rowOff>85725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885" y="119497"/>
          <a:ext cx="718416" cy="728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28</xdr:row>
      <xdr:rowOff>9525</xdr:rowOff>
    </xdr:from>
    <xdr:to>
      <xdr:col>2</xdr:col>
      <xdr:colOff>1314450</xdr:colOff>
      <xdr:row>28</xdr:row>
      <xdr:rowOff>485775</xdr:rowOff>
    </xdr:to>
    <xdr:pic>
      <xdr:nvPicPr>
        <xdr:cNvPr id="1278978" name="Picture 2">
          <a:extLst>
            <a:ext uri="{FF2B5EF4-FFF2-40B4-BE49-F238E27FC236}">
              <a16:creationId xmlns:a16="http://schemas.microsoft.com/office/drawing/2014/main" id="{00000000-0008-0000-0800-00000284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81325" y="12449175"/>
          <a:ext cx="1228725" cy="47625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38100</xdr:colOff>
      <xdr:row>33</xdr:row>
      <xdr:rowOff>57150</xdr:rowOff>
    </xdr:from>
    <xdr:to>
      <xdr:col>2</xdr:col>
      <xdr:colOff>1266825</xdr:colOff>
      <xdr:row>34</xdr:row>
      <xdr:rowOff>28575</xdr:rowOff>
    </xdr:to>
    <xdr:pic>
      <xdr:nvPicPr>
        <xdr:cNvPr id="27" name="Picture 2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33700" y="15020925"/>
          <a:ext cx="1228725" cy="47625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180976</xdr:colOff>
      <xdr:row>36</xdr:row>
      <xdr:rowOff>28576</xdr:rowOff>
    </xdr:from>
    <xdr:to>
      <xdr:col>2</xdr:col>
      <xdr:colOff>1209676</xdr:colOff>
      <xdr:row>36</xdr:row>
      <xdr:rowOff>476127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76576" y="17516476"/>
          <a:ext cx="1028700" cy="447551"/>
        </a:xfrm>
        <a:prstGeom prst="rect">
          <a:avLst/>
        </a:prstGeom>
      </xdr:spPr>
    </xdr:pic>
    <xdr:clientData/>
  </xdr:twoCellAnchor>
  <xdr:oneCellAnchor>
    <xdr:from>
      <xdr:col>2</xdr:col>
      <xdr:colOff>47625</xdr:colOff>
      <xdr:row>30</xdr:row>
      <xdr:rowOff>28575</xdr:rowOff>
    </xdr:from>
    <xdr:ext cx="1419225" cy="466725"/>
    <xdr:pic>
      <xdr:nvPicPr>
        <xdr:cNvPr id="26" name="Imagen 25">
          <a:extLst>
            <a:ext uri="{FF2B5EF4-FFF2-40B4-BE49-F238E27FC236}">
              <a16:creationId xmlns:a16="http://schemas.microsoft.com/office/drawing/2014/main" id="{37CBFBA6-281B-4D09-8D09-DB2D11AF5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3225" y="5400675"/>
          <a:ext cx="1419225" cy="466725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2</xdr:col>
      <xdr:colOff>285750</xdr:colOff>
      <xdr:row>3</xdr:row>
      <xdr:rowOff>28574</xdr:rowOff>
    </xdr:from>
    <xdr:to>
      <xdr:col>2</xdr:col>
      <xdr:colOff>1314449</xdr:colOff>
      <xdr:row>4</xdr:row>
      <xdr:rowOff>28575</xdr:rowOff>
    </xdr:to>
    <xdr:pic>
      <xdr:nvPicPr>
        <xdr:cNvPr id="32" name="Imagen 31">
          <a:extLst>
            <a:ext uri="{FF2B5EF4-FFF2-40B4-BE49-F238E27FC236}">
              <a16:creationId xmlns:a16="http://schemas.microsoft.com/office/drawing/2014/main" id="{D0FA2C09-9860-48F5-A901-21A81E60C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81350" y="695324"/>
          <a:ext cx="1028699" cy="504826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</xdr:col>
      <xdr:colOff>76200</xdr:colOff>
      <xdr:row>2</xdr:row>
      <xdr:rowOff>19050</xdr:rowOff>
    </xdr:from>
    <xdr:to>
      <xdr:col>2</xdr:col>
      <xdr:colOff>1438275</xdr:colOff>
      <xdr:row>3</xdr:row>
      <xdr:rowOff>25845</xdr:rowOff>
    </xdr:to>
    <xdr:pic>
      <xdr:nvPicPr>
        <xdr:cNvPr id="33" name="Imagen 32">
          <a:extLst>
            <a:ext uri="{FF2B5EF4-FFF2-40B4-BE49-F238E27FC236}">
              <a16:creationId xmlns:a16="http://schemas.microsoft.com/office/drawing/2014/main" id="{7BAAC03D-734A-4675-833D-CDCE88011C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8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71800" y="180975"/>
          <a:ext cx="1362075" cy="5116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</xdr:col>
      <xdr:colOff>86852</xdr:colOff>
      <xdr:row>7</xdr:row>
      <xdr:rowOff>78266</xdr:rowOff>
    </xdr:from>
    <xdr:to>
      <xdr:col>2</xdr:col>
      <xdr:colOff>1387552</xdr:colOff>
      <xdr:row>8</xdr:row>
      <xdr:rowOff>28575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B44188B6-E931-4AE1-8ACA-5A61F3EAD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clrChange>
            <a:clrFrom>
              <a:srgbClr val="E4E4E4"/>
            </a:clrFrom>
            <a:clrTo>
              <a:srgbClr val="E4E4E4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2452" y="2764316"/>
          <a:ext cx="1300700" cy="455134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</xdr:col>
      <xdr:colOff>142875</xdr:colOff>
      <xdr:row>6</xdr:row>
      <xdr:rowOff>19050</xdr:rowOff>
    </xdr:from>
    <xdr:to>
      <xdr:col>2</xdr:col>
      <xdr:colOff>1400175</xdr:colOff>
      <xdr:row>7</xdr:row>
      <xdr:rowOff>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362C4BA1-8BD5-4BC6-B9B9-DBFFFA2ED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8475" y="2200275"/>
          <a:ext cx="1257300" cy="485776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</xdr:col>
      <xdr:colOff>47625</xdr:colOff>
      <xdr:row>12</xdr:row>
      <xdr:rowOff>28575</xdr:rowOff>
    </xdr:from>
    <xdr:to>
      <xdr:col>2</xdr:col>
      <xdr:colOff>1466850</xdr:colOff>
      <xdr:row>12</xdr:row>
      <xdr:rowOff>495300</xdr:rowOff>
    </xdr:to>
    <xdr:pic>
      <xdr:nvPicPr>
        <xdr:cNvPr id="37" name="Imagen 6">
          <a:extLst>
            <a:ext uri="{FF2B5EF4-FFF2-40B4-BE49-F238E27FC236}">
              <a16:creationId xmlns:a16="http://schemas.microsoft.com/office/drawing/2014/main" id="{0FDBC45B-FA1A-4BB4-BC46-3EB3BDA92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3225" y="5238750"/>
          <a:ext cx="1419225" cy="46672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</xdr:col>
      <xdr:colOff>209551</xdr:colOff>
      <xdr:row>4</xdr:row>
      <xdr:rowOff>48102</xdr:rowOff>
    </xdr:from>
    <xdr:to>
      <xdr:col>2</xdr:col>
      <xdr:colOff>1247775</xdr:colOff>
      <xdr:row>5</xdr:row>
      <xdr:rowOff>9525</xdr:rowOff>
    </xdr:to>
    <xdr:pic>
      <xdr:nvPicPr>
        <xdr:cNvPr id="43" name="Imagen 7">
          <a:extLst>
            <a:ext uri="{FF2B5EF4-FFF2-40B4-BE49-F238E27FC236}">
              <a16:creationId xmlns:a16="http://schemas.microsoft.com/office/drawing/2014/main" id="{FAF95D5A-ADA9-4627-993B-17631A0D19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8469" t="20349" r="39447" b="15553"/>
        <a:stretch/>
      </xdr:blipFill>
      <xdr:spPr>
        <a:xfrm>
          <a:off x="3105151" y="1219677"/>
          <a:ext cx="1038224" cy="46624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</xdr:col>
      <xdr:colOff>416662</xdr:colOff>
      <xdr:row>10</xdr:row>
      <xdr:rowOff>14606</xdr:rowOff>
    </xdr:from>
    <xdr:to>
      <xdr:col>2</xdr:col>
      <xdr:colOff>1171575</xdr:colOff>
      <xdr:row>10</xdr:row>
      <xdr:rowOff>495300</xdr:rowOff>
    </xdr:to>
    <xdr:pic>
      <xdr:nvPicPr>
        <xdr:cNvPr id="44" name="Imagen 30">
          <a:extLst>
            <a:ext uri="{FF2B5EF4-FFF2-40B4-BE49-F238E27FC236}">
              <a16:creationId xmlns:a16="http://schemas.microsoft.com/office/drawing/2014/main" id="{45AE854A-17F9-47DF-9BE0-7608F0332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2262" y="4215131"/>
          <a:ext cx="754913" cy="480694"/>
        </a:xfrm>
        <a:prstGeom prst="rect">
          <a:avLst/>
        </a:prstGeom>
      </xdr:spPr>
    </xdr:pic>
    <xdr:clientData/>
  </xdr:twoCellAnchor>
  <xdr:twoCellAnchor editAs="oneCell">
    <xdr:from>
      <xdr:col>2</xdr:col>
      <xdr:colOff>133350</xdr:colOff>
      <xdr:row>5</xdr:row>
      <xdr:rowOff>28576</xdr:rowOff>
    </xdr:from>
    <xdr:to>
      <xdr:col>2</xdr:col>
      <xdr:colOff>1371600</xdr:colOff>
      <xdr:row>5</xdr:row>
      <xdr:rowOff>476250</xdr:rowOff>
    </xdr:to>
    <xdr:pic>
      <xdr:nvPicPr>
        <xdr:cNvPr id="45" name="Imagen 37">
          <a:extLst>
            <a:ext uri="{FF2B5EF4-FFF2-40B4-BE49-F238E27FC236}">
              <a16:creationId xmlns:a16="http://schemas.microsoft.com/office/drawing/2014/main" id="{0DADDC2B-226B-45B6-AF78-39EF599AD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3028950" y="1704976"/>
          <a:ext cx="1238250" cy="447674"/>
        </a:xfrm>
        <a:prstGeom prst="rect">
          <a:avLst/>
        </a:prstGeom>
      </xdr:spPr>
    </xdr:pic>
    <xdr:clientData/>
  </xdr:twoCellAnchor>
  <xdr:twoCellAnchor editAs="oneCell">
    <xdr:from>
      <xdr:col>2</xdr:col>
      <xdr:colOff>123826</xdr:colOff>
      <xdr:row>9</xdr:row>
      <xdr:rowOff>28575</xdr:rowOff>
    </xdr:from>
    <xdr:to>
      <xdr:col>2</xdr:col>
      <xdr:colOff>1333500</xdr:colOff>
      <xdr:row>9</xdr:row>
      <xdr:rowOff>495301</xdr:rowOff>
    </xdr:to>
    <xdr:pic>
      <xdr:nvPicPr>
        <xdr:cNvPr id="51" name="Imagen 38">
          <a:extLst>
            <a:ext uri="{FF2B5EF4-FFF2-40B4-BE49-F238E27FC236}">
              <a16:creationId xmlns:a16="http://schemas.microsoft.com/office/drawing/2014/main" id="{EBE1E89E-A2C5-4329-B024-E61B2E131E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4" cstate="print"/>
        <a:srcRect l="10185" t="6024" r="10185" b="9638"/>
        <a:stretch/>
      </xdr:blipFill>
      <xdr:spPr>
        <a:xfrm>
          <a:off x="3019426" y="3724275"/>
          <a:ext cx="1209674" cy="466726"/>
        </a:xfrm>
        <a:prstGeom prst="rect">
          <a:avLst/>
        </a:prstGeom>
      </xdr:spPr>
    </xdr:pic>
    <xdr:clientData/>
  </xdr:twoCellAnchor>
  <xdr:twoCellAnchor editAs="oneCell">
    <xdr:from>
      <xdr:col>2</xdr:col>
      <xdr:colOff>66675</xdr:colOff>
      <xdr:row>17</xdr:row>
      <xdr:rowOff>28576</xdr:rowOff>
    </xdr:from>
    <xdr:to>
      <xdr:col>2</xdr:col>
      <xdr:colOff>1476375</xdr:colOff>
      <xdr:row>17</xdr:row>
      <xdr:rowOff>476250</xdr:rowOff>
    </xdr:to>
    <xdr:pic>
      <xdr:nvPicPr>
        <xdr:cNvPr id="52" name="Imagen 44">
          <a:extLst>
            <a:ext uri="{FF2B5EF4-FFF2-40B4-BE49-F238E27FC236}">
              <a16:creationId xmlns:a16="http://schemas.microsoft.com/office/drawing/2014/main" id="{BE22E3FF-24C3-4EC1-AD86-44D56ED227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5" cstate="print"/>
        <a:srcRect l="4495" t="11280" r="5044" b="20291"/>
        <a:stretch/>
      </xdr:blipFill>
      <xdr:spPr>
        <a:xfrm>
          <a:off x="2962275" y="7762876"/>
          <a:ext cx="1409700" cy="447674"/>
        </a:xfrm>
        <a:prstGeom prst="rect">
          <a:avLst/>
        </a:prstGeom>
      </xdr:spPr>
    </xdr:pic>
    <xdr:clientData/>
  </xdr:twoCellAnchor>
  <xdr:twoCellAnchor editAs="oneCell">
    <xdr:from>
      <xdr:col>2</xdr:col>
      <xdr:colOff>257176</xdr:colOff>
      <xdr:row>19</xdr:row>
      <xdr:rowOff>50157</xdr:rowOff>
    </xdr:from>
    <xdr:to>
      <xdr:col>2</xdr:col>
      <xdr:colOff>1266826</xdr:colOff>
      <xdr:row>19</xdr:row>
      <xdr:rowOff>459129</xdr:rowOff>
    </xdr:to>
    <xdr:pic>
      <xdr:nvPicPr>
        <xdr:cNvPr id="53" name="Imagen 52">
          <a:extLst>
            <a:ext uri="{FF2B5EF4-FFF2-40B4-BE49-F238E27FC236}">
              <a16:creationId xmlns:a16="http://schemas.microsoft.com/office/drawing/2014/main" id="{C0130979-4270-4203-BF6E-23D7BD2FE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2776" y="8794107"/>
          <a:ext cx="1009650" cy="4089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133350</xdr:colOff>
      <xdr:row>23</xdr:row>
      <xdr:rowOff>85725</xdr:rowOff>
    </xdr:from>
    <xdr:to>
      <xdr:col>2</xdr:col>
      <xdr:colOff>981075</xdr:colOff>
      <xdr:row>23</xdr:row>
      <xdr:rowOff>487664</xdr:rowOff>
    </xdr:to>
    <xdr:pic>
      <xdr:nvPicPr>
        <xdr:cNvPr id="54" name="Imagen 53">
          <a:extLst>
            <a:ext uri="{FF2B5EF4-FFF2-40B4-BE49-F238E27FC236}">
              <a16:creationId xmlns:a16="http://schemas.microsoft.com/office/drawing/2014/main" id="{0C746BBE-6BC7-42E1-AF07-6AC0A9B57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10848975"/>
          <a:ext cx="847725" cy="4019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57150</xdr:colOff>
      <xdr:row>18</xdr:row>
      <xdr:rowOff>85725</xdr:rowOff>
    </xdr:from>
    <xdr:to>
      <xdr:col>2</xdr:col>
      <xdr:colOff>1495425</xdr:colOff>
      <xdr:row>18</xdr:row>
      <xdr:rowOff>371475</xdr:rowOff>
    </xdr:to>
    <xdr:pic>
      <xdr:nvPicPr>
        <xdr:cNvPr id="55" name="Imagen 54">
          <a:extLst>
            <a:ext uri="{FF2B5EF4-FFF2-40B4-BE49-F238E27FC236}">
              <a16:creationId xmlns:a16="http://schemas.microsoft.com/office/drawing/2014/main" id="{997EB325-C41E-468A-9EDD-5A23F0523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8324850"/>
          <a:ext cx="1438275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47625</xdr:colOff>
      <xdr:row>11</xdr:row>
      <xdr:rowOff>39780</xdr:rowOff>
    </xdr:from>
    <xdr:ext cx="1419225" cy="466725"/>
    <xdr:pic>
      <xdr:nvPicPr>
        <xdr:cNvPr id="56" name="Imagen 6">
          <a:extLst>
            <a:ext uri="{FF2B5EF4-FFF2-40B4-BE49-F238E27FC236}">
              <a16:creationId xmlns:a16="http://schemas.microsoft.com/office/drawing/2014/main" id="{0A6295EE-0F26-47D6-92B3-A8ED66DD9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3225" y="4745130"/>
          <a:ext cx="1419225" cy="466725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2</xdr:col>
      <xdr:colOff>416662</xdr:colOff>
      <xdr:row>9</xdr:row>
      <xdr:rowOff>14606</xdr:rowOff>
    </xdr:from>
    <xdr:ext cx="754913" cy="480694"/>
    <xdr:pic>
      <xdr:nvPicPr>
        <xdr:cNvPr id="57" name="Imagen 56">
          <a:extLst>
            <a:ext uri="{FF2B5EF4-FFF2-40B4-BE49-F238E27FC236}">
              <a16:creationId xmlns:a16="http://schemas.microsoft.com/office/drawing/2014/main" id="{087785A6-F4B5-4ADB-A8CD-D3DD32330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2262" y="3710306"/>
          <a:ext cx="754913" cy="480694"/>
        </a:xfrm>
        <a:prstGeom prst="rect">
          <a:avLst/>
        </a:prstGeom>
      </xdr:spPr>
    </xdr:pic>
    <xdr:clientData/>
  </xdr:oneCellAnchor>
  <xdr:oneCellAnchor>
    <xdr:from>
      <xdr:col>2</xdr:col>
      <xdr:colOff>123826</xdr:colOff>
      <xdr:row>8</xdr:row>
      <xdr:rowOff>28575</xdr:rowOff>
    </xdr:from>
    <xdr:ext cx="1209674" cy="466726"/>
    <xdr:pic>
      <xdr:nvPicPr>
        <xdr:cNvPr id="58" name="Imagen 38">
          <a:extLst>
            <a:ext uri="{FF2B5EF4-FFF2-40B4-BE49-F238E27FC236}">
              <a16:creationId xmlns:a16="http://schemas.microsoft.com/office/drawing/2014/main" id="{24C4A146-5D97-401F-A524-D660FFDAAD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4" cstate="print"/>
        <a:srcRect l="10185" t="6024" r="10185" b="9638"/>
        <a:stretch/>
      </xdr:blipFill>
      <xdr:spPr>
        <a:xfrm>
          <a:off x="3019426" y="3219450"/>
          <a:ext cx="1209674" cy="466726"/>
        </a:xfrm>
        <a:prstGeom prst="rect">
          <a:avLst/>
        </a:prstGeom>
      </xdr:spPr>
    </xdr:pic>
    <xdr:clientData/>
  </xdr:oneCellAnchor>
  <xdr:oneCellAnchor>
    <xdr:from>
      <xdr:col>2</xdr:col>
      <xdr:colOff>123825</xdr:colOff>
      <xdr:row>10</xdr:row>
      <xdr:rowOff>28576</xdr:rowOff>
    </xdr:from>
    <xdr:ext cx="1171575" cy="450380"/>
    <xdr:pic>
      <xdr:nvPicPr>
        <xdr:cNvPr id="59" name="Imagen 39">
          <a:extLst>
            <a:ext uri="{FF2B5EF4-FFF2-40B4-BE49-F238E27FC236}">
              <a16:creationId xmlns:a16="http://schemas.microsoft.com/office/drawing/2014/main" id="{7EFAD362-C9CF-4EF2-8535-A03334A615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9" cstate="print"/>
        <a:srcRect l="4762" t="5883" r="11418" b="10283"/>
        <a:stretch/>
      </xdr:blipFill>
      <xdr:spPr>
        <a:xfrm>
          <a:off x="3019425" y="4229101"/>
          <a:ext cx="1171575" cy="450380"/>
        </a:xfrm>
        <a:prstGeom prst="rect">
          <a:avLst/>
        </a:prstGeom>
      </xdr:spPr>
    </xdr:pic>
    <xdr:clientData/>
  </xdr:oneCellAnchor>
  <xdr:oneCellAnchor>
    <xdr:from>
      <xdr:col>2</xdr:col>
      <xdr:colOff>85724</xdr:colOff>
      <xdr:row>12</xdr:row>
      <xdr:rowOff>38100</xdr:rowOff>
    </xdr:from>
    <xdr:ext cx="1333501" cy="428625"/>
    <xdr:pic>
      <xdr:nvPicPr>
        <xdr:cNvPr id="60" name="Imagen 48">
          <a:extLst>
            <a:ext uri="{FF2B5EF4-FFF2-40B4-BE49-F238E27FC236}">
              <a16:creationId xmlns:a16="http://schemas.microsoft.com/office/drawing/2014/main" id="{4C4DBB36-246D-468F-BFF6-BE8850DFED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0" cstate="print"/>
        <a:srcRect l="13910" t="26171" r="17208" b="35506"/>
        <a:stretch/>
      </xdr:blipFill>
      <xdr:spPr>
        <a:xfrm>
          <a:off x="2981324" y="5248275"/>
          <a:ext cx="1333501" cy="428625"/>
        </a:xfrm>
        <a:prstGeom prst="rect">
          <a:avLst/>
        </a:prstGeom>
      </xdr:spPr>
    </xdr:pic>
    <xdr:clientData/>
  </xdr:oneCellAnchor>
  <xdr:oneCellAnchor>
    <xdr:from>
      <xdr:col>2</xdr:col>
      <xdr:colOff>142875</xdr:colOff>
      <xdr:row>24</xdr:row>
      <xdr:rowOff>57150</xdr:rowOff>
    </xdr:from>
    <xdr:ext cx="1247775" cy="393716"/>
    <xdr:pic>
      <xdr:nvPicPr>
        <xdr:cNvPr id="61" name="Imagen 60">
          <a:extLst>
            <a:ext uri="{FF2B5EF4-FFF2-40B4-BE49-F238E27FC236}">
              <a16:creationId xmlns:a16="http://schemas.microsoft.com/office/drawing/2014/main" id="{B72F9565-CAED-4FC6-AF06-3598E0149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3038475" y="11325225"/>
          <a:ext cx="1247775" cy="393716"/>
        </a:xfrm>
        <a:prstGeom prst="rect">
          <a:avLst/>
        </a:prstGeom>
      </xdr:spPr>
    </xdr:pic>
    <xdr:clientData/>
  </xdr:oneCellAnchor>
  <xdr:twoCellAnchor editAs="oneCell">
    <xdr:from>
      <xdr:col>2</xdr:col>
      <xdr:colOff>295275</xdr:colOff>
      <xdr:row>22</xdr:row>
      <xdr:rowOff>66675</xdr:rowOff>
    </xdr:from>
    <xdr:to>
      <xdr:col>2</xdr:col>
      <xdr:colOff>1308735</xdr:colOff>
      <xdr:row>22</xdr:row>
      <xdr:rowOff>457200</xdr:rowOff>
    </xdr:to>
    <xdr:pic>
      <xdr:nvPicPr>
        <xdr:cNvPr id="62" name="Imagen 61">
          <a:extLst>
            <a:ext uri="{FF2B5EF4-FFF2-40B4-BE49-F238E27FC236}">
              <a16:creationId xmlns:a16="http://schemas.microsoft.com/office/drawing/2014/main" id="{36B49095-D8C1-4E8A-B1BC-53B601A6C7AF}"/>
            </a:ext>
          </a:extLst>
        </xdr:cNvPr>
        <xdr:cNvPicPr/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0875" y="10325100"/>
          <a:ext cx="101346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323850</xdr:colOff>
      <xdr:row>16</xdr:row>
      <xdr:rowOff>66675</xdr:rowOff>
    </xdr:from>
    <xdr:to>
      <xdr:col>2</xdr:col>
      <xdr:colOff>1133475</xdr:colOff>
      <xdr:row>17</xdr:row>
      <xdr:rowOff>4445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87961599-5DDD-4AE3-9F0C-703F982E5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3219450" y="7296150"/>
          <a:ext cx="809625" cy="442595"/>
        </a:xfrm>
        <a:prstGeom prst="rect">
          <a:avLst/>
        </a:prstGeom>
      </xdr:spPr>
    </xdr:pic>
    <xdr:clientData/>
  </xdr:twoCellAnchor>
  <xdr:twoCellAnchor editAs="oneCell">
    <xdr:from>
      <xdr:col>2</xdr:col>
      <xdr:colOff>123825</xdr:colOff>
      <xdr:row>20</xdr:row>
      <xdr:rowOff>57150</xdr:rowOff>
    </xdr:from>
    <xdr:to>
      <xdr:col>2</xdr:col>
      <xdr:colOff>1247775</xdr:colOff>
      <xdr:row>20</xdr:row>
      <xdr:rowOff>495300</xdr:rowOff>
    </xdr:to>
    <xdr:pic>
      <xdr:nvPicPr>
        <xdr:cNvPr id="65" name="Imagen 64">
          <a:extLst>
            <a:ext uri="{FF2B5EF4-FFF2-40B4-BE49-F238E27FC236}">
              <a16:creationId xmlns:a16="http://schemas.microsoft.com/office/drawing/2014/main" id="{9E8B6B23-2878-4448-89A8-031A0FC70136}"/>
            </a:ext>
          </a:extLst>
        </xdr:cNvPr>
        <xdr:cNvPicPr/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9305925"/>
          <a:ext cx="1123950" cy="4381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209550</xdr:colOff>
      <xdr:row>24</xdr:row>
      <xdr:rowOff>495300</xdr:rowOff>
    </xdr:from>
    <xdr:to>
      <xdr:col>2</xdr:col>
      <xdr:colOff>1219200</xdr:colOff>
      <xdr:row>25</xdr:row>
      <xdr:rowOff>447675</xdr:rowOff>
    </xdr:to>
    <xdr:pic>
      <xdr:nvPicPr>
        <xdr:cNvPr id="66" name="Imagen 65">
          <a:extLst>
            <a:ext uri="{FF2B5EF4-FFF2-40B4-BE49-F238E27FC236}">
              <a16:creationId xmlns:a16="http://schemas.microsoft.com/office/drawing/2014/main" id="{66CD7AE6-5EEE-498B-A700-6ACCFD3B2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3105150" y="11763375"/>
          <a:ext cx="1009650" cy="457200"/>
        </a:xfrm>
        <a:prstGeom prst="rect">
          <a:avLst/>
        </a:prstGeom>
      </xdr:spPr>
    </xdr:pic>
    <xdr:clientData/>
  </xdr:twoCellAnchor>
  <xdr:twoCellAnchor editAs="oneCell">
    <xdr:from>
      <xdr:col>2</xdr:col>
      <xdr:colOff>19051</xdr:colOff>
      <xdr:row>14</xdr:row>
      <xdr:rowOff>76200</xdr:rowOff>
    </xdr:from>
    <xdr:to>
      <xdr:col>2</xdr:col>
      <xdr:colOff>1504951</xdr:colOff>
      <xdr:row>14</xdr:row>
      <xdr:rowOff>466725</xdr:rowOff>
    </xdr:to>
    <xdr:pic>
      <xdr:nvPicPr>
        <xdr:cNvPr id="68" name="Imagen 67">
          <a:extLst>
            <a:ext uri="{FF2B5EF4-FFF2-40B4-BE49-F238E27FC236}">
              <a16:creationId xmlns:a16="http://schemas.microsoft.com/office/drawing/2014/main" id="{E169048C-C20B-46F6-A583-51FB92C61979}"/>
            </a:ext>
          </a:extLst>
        </xdr:cNvPr>
        <xdr:cNvPicPr/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4651" y="6296025"/>
          <a:ext cx="1485900" cy="39052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2</xdr:col>
      <xdr:colOff>314325</xdr:colOff>
      <xdr:row>28</xdr:row>
      <xdr:rowOff>19050</xdr:rowOff>
    </xdr:from>
    <xdr:ext cx="542925" cy="461195"/>
    <xdr:pic>
      <xdr:nvPicPr>
        <xdr:cNvPr id="70" name="Imagen 69">
          <a:extLst>
            <a:ext uri="{FF2B5EF4-FFF2-40B4-BE49-F238E27FC236}">
              <a16:creationId xmlns:a16="http://schemas.microsoft.com/office/drawing/2014/main" id="{0033B280-3FD4-401C-A734-1F965BE7B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3209925" y="13306425"/>
          <a:ext cx="542925" cy="461195"/>
        </a:xfrm>
        <a:prstGeom prst="rect">
          <a:avLst/>
        </a:prstGeom>
      </xdr:spPr>
    </xdr:pic>
    <xdr:clientData/>
  </xdr:oneCellAnchor>
  <xdr:twoCellAnchor editAs="oneCell">
    <xdr:from>
      <xdr:col>2</xdr:col>
      <xdr:colOff>190500</xdr:colOff>
      <xdr:row>26</xdr:row>
      <xdr:rowOff>28575</xdr:rowOff>
    </xdr:from>
    <xdr:to>
      <xdr:col>2</xdr:col>
      <xdr:colOff>1266690</xdr:colOff>
      <xdr:row>26</xdr:row>
      <xdr:rowOff>485718</xdr:rowOff>
    </xdr:to>
    <xdr:pic>
      <xdr:nvPicPr>
        <xdr:cNvPr id="71" name="Imagen 70">
          <a:extLst>
            <a:ext uri="{FF2B5EF4-FFF2-40B4-BE49-F238E27FC236}">
              <a16:creationId xmlns:a16="http://schemas.microsoft.com/office/drawing/2014/main" id="{6F1F6DB1-1787-4B8C-987B-A27622B54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3086100" y="12306300"/>
          <a:ext cx="1076190" cy="457143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104775</xdr:colOff>
      <xdr:row>27</xdr:row>
      <xdr:rowOff>19050</xdr:rowOff>
    </xdr:from>
    <xdr:to>
      <xdr:col>2</xdr:col>
      <xdr:colOff>1057274</xdr:colOff>
      <xdr:row>27</xdr:row>
      <xdr:rowOff>450904</xdr:rowOff>
    </xdr:to>
    <xdr:pic>
      <xdr:nvPicPr>
        <xdr:cNvPr id="72" name="Imagen 71">
          <a:extLst>
            <a:ext uri="{FF2B5EF4-FFF2-40B4-BE49-F238E27FC236}">
              <a16:creationId xmlns:a16="http://schemas.microsoft.com/office/drawing/2014/main" id="{54BCAC94-E165-4474-B49E-F86E20B7A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3000375" y="12801600"/>
          <a:ext cx="952499" cy="431854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</xdr:colOff>
      <xdr:row>33</xdr:row>
      <xdr:rowOff>57150</xdr:rowOff>
    </xdr:from>
    <xdr:to>
      <xdr:col>2</xdr:col>
      <xdr:colOff>1266825</xdr:colOff>
      <xdr:row>34</xdr:row>
      <xdr:rowOff>28575</xdr:rowOff>
    </xdr:to>
    <xdr:pic>
      <xdr:nvPicPr>
        <xdr:cNvPr id="38" name="Picture 2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33700" y="14859000"/>
          <a:ext cx="1228725" cy="47625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38100</xdr:colOff>
      <xdr:row>33</xdr:row>
      <xdr:rowOff>57150</xdr:rowOff>
    </xdr:from>
    <xdr:to>
      <xdr:col>2</xdr:col>
      <xdr:colOff>1266825</xdr:colOff>
      <xdr:row>34</xdr:row>
      <xdr:rowOff>28575</xdr:rowOff>
    </xdr:to>
    <xdr:pic>
      <xdr:nvPicPr>
        <xdr:cNvPr id="39" name="Picture 2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33700" y="14859000"/>
          <a:ext cx="1228725" cy="47625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38100</xdr:colOff>
      <xdr:row>33</xdr:row>
      <xdr:rowOff>57150</xdr:rowOff>
    </xdr:from>
    <xdr:to>
      <xdr:col>2</xdr:col>
      <xdr:colOff>1266825</xdr:colOff>
      <xdr:row>34</xdr:row>
      <xdr:rowOff>28575</xdr:rowOff>
    </xdr:to>
    <xdr:pic>
      <xdr:nvPicPr>
        <xdr:cNvPr id="40" name="Picture 2">
          <a:extLst>
            <a:ext uri="{FF2B5EF4-FFF2-40B4-BE49-F238E27FC236}">
              <a16:creationId xmlns:a16="http://schemas.microsoft.com/office/drawing/2014/main" id="{D46BF68B-8BE2-486E-9861-9277688DA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33700" y="14859000"/>
          <a:ext cx="1228725" cy="47625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38100</xdr:colOff>
      <xdr:row>33</xdr:row>
      <xdr:rowOff>57150</xdr:rowOff>
    </xdr:from>
    <xdr:to>
      <xdr:col>2</xdr:col>
      <xdr:colOff>1266825</xdr:colOff>
      <xdr:row>34</xdr:row>
      <xdr:rowOff>28575</xdr:rowOff>
    </xdr:to>
    <xdr:pic>
      <xdr:nvPicPr>
        <xdr:cNvPr id="41" name="Picture 2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33700" y="14859000"/>
          <a:ext cx="1228725" cy="47625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247650</xdr:colOff>
      <xdr:row>35</xdr:row>
      <xdr:rowOff>47625</xdr:rowOff>
    </xdr:from>
    <xdr:to>
      <xdr:col>2</xdr:col>
      <xdr:colOff>1266825</xdr:colOff>
      <xdr:row>35</xdr:row>
      <xdr:rowOff>476250</xdr:rowOff>
    </xdr:to>
    <xdr:pic>
      <xdr:nvPicPr>
        <xdr:cNvPr id="42" name="Imagen 41">
          <a:extLst>
            <a:ext uri="{FF2B5EF4-FFF2-40B4-BE49-F238E27FC236}">
              <a16:creationId xmlns:a16="http://schemas.microsoft.com/office/drawing/2014/main" id="{9003FD31-1D1D-46E3-A953-F144E6434BA2}"/>
            </a:ext>
          </a:extLst>
        </xdr:cNvPr>
        <xdr:cNvPicPr/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0" y="15859125"/>
          <a:ext cx="1019175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38100</xdr:colOff>
      <xdr:row>31</xdr:row>
      <xdr:rowOff>76200</xdr:rowOff>
    </xdr:from>
    <xdr:to>
      <xdr:col>2</xdr:col>
      <xdr:colOff>1466671</xdr:colOff>
      <xdr:row>31</xdr:row>
      <xdr:rowOff>438105</xdr:rowOff>
    </xdr:to>
    <xdr:pic>
      <xdr:nvPicPr>
        <xdr:cNvPr id="46" name="Imagen 45"/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933700" y="13868400"/>
          <a:ext cx="1428571" cy="361905"/>
        </a:xfrm>
        <a:prstGeom prst="rect">
          <a:avLst/>
        </a:prstGeom>
      </xdr:spPr>
    </xdr:pic>
    <xdr:clientData/>
  </xdr:twoCellAnchor>
  <xdr:twoCellAnchor editAs="oneCell">
    <xdr:from>
      <xdr:col>2</xdr:col>
      <xdr:colOff>152400</xdr:colOff>
      <xdr:row>13</xdr:row>
      <xdr:rowOff>47625</xdr:rowOff>
    </xdr:from>
    <xdr:to>
      <xdr:col>2</xdr:col>
      <xdr:colOff>1338865</xdr:colOff>
      <xdr:row>13</xdr:row>
      <xdr:rowOff>466725</xdr:rowOff>
    </xdr:to>
    <xdr:pic>
      <xdr:nvPicPr>
        <xdr:cNvPr id="47" name="Imagen 46"/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6267450"/>
          <a:ext cx="1186465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iuBPMarco9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6\Users\Documents%20and%20Settings\DIANA%20PAO\Configuraci&#243;n%20local\Archivos%20temporales%20de%20Internet\Content.IE5\S1MFOXQ3\DATOS\Equipos\COSTO%20DE%20PROPIEDA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0445B2B\COSTO%20DE%20PROPIEDA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disco%20duro\irina\CLAS-BO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Y.SASTOQUE\Documents\Laboratorio2\9.%20Acreditacion\1.%20Control%20de%20documentos\2.%20Aprobaciones\Julio\GLAB-FM-099%20V1%20Inf.%20Control%20de%20la%20%20calidad%20de%20la%20%20mezcla%20asf&#225;ltic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MV\ESCRITORIO\Formatos%20acreditaci&#243;n\GLAB-FM-099%20V2%20Control%20de%20la%20calidad%20de%20la%20mezcla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Laboratorio/9.%20Acreditacion/1.%20Control%20de%20documentos/2.%20Aprobaciones/33.%20Aprobaciones%20marzo%202021/GLAB-FM-029%20V5%20Formato%20Inf.%20Tracci&#243;n%20Indirecta%20TS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U"/>
      <sheetName val="Program"/>
      <sheetName val="COSTOS"/>
      <sheetName val="EVA"/>
    </sheetNames>
    <sheetDataSet>
      <sheetData sheetId="0" refreshError="1">
        <row r="12">
          <cell r="D12">
            <v>3</v>
          </cell>
        </row>
        <row r="338">
          <cell r="C338" t="str">
            <v>Activos</v>
          </cell>
          <cell r="D338">
            <v>9750</v>
          </cell>
        </row>
        <row r="339">
          <cell r="C339" t="str">
            <v>Direcc.</v>
          </cell>
          <cell r="D339">
            <v>53970</v>
          </cell>
        </row>
        <row r="340">
          <cell r="C340" t="str">
            <v>Admon</v>
          </cell>
          <cell r="D340">
            <v>48583.5</v>
          </cell>
        </row>
        <row r="341">
          <cell r="C341" t="str">
            <v>Topog</v>
          </cell>
          <cell r="D341">
            <v>0</v>
          </cell>
        </row>
        <row r="342">
          <cell r="C342" t="str">
            <v>Taller</v>
          </cell>
          <cell r="D342">
            <v>2898</v>
          </cell>
        </row>
        <row r="343">
          <cell r="C343" t="str">
            <v>Operad.</v>
          </cell>
          <cell r="D343">
            <v>0</v>
          </cell>
        </row>
        <row r="344">
          <cell r="C344" t="str">
            <v>Vigilan.</v>
          </cell>
          <cell r="D344">
            <v>10836</v>
          </cell>
        </row>
        <row r="345">
          <cell r="C345" t="str">
            <v>Prestac</v>
          </cell>
          <cell r="D345">
            <v>66283.875</v>
          </cell>
        </row>
        <row r="346">
          <cell r="C346" t="str">
            <v>Honor</v>
          </cell>
          <cell r="D346">
            <v>6700</v>
          </cell>
        </row>
        <row r="347">
          <cell r="C347" t="str">
            <v>Impues</v>
          </cell>
          <cell r="D347">
            <v>98630.90675611388</v>
          </cell>
        </row>
        <row r="348">
          <cell r="C348" t="str">
            <v>Arrend</v>
          </cell>
          <cell r="D348">
            <v>11295</v>
          </cell>
        </row>
        <row r="349">
          <cell r="C349" t="str">
            <v>Segur</v>
          </cell>
          <cell r="D349">
            <v>30840.71727788596</v>
          </cell>
        </row>
        <row r="350">
          <cell r="C350" t="str">
            <v>Sevic</v>
          </cell>
          <cell r="D350">
            <v>7366.9087499999996</v>
          </cell>
        </row>
        <row r="351">
          <cell r="C351" t="str">
            <v>Legal</v>
          </cell>
          <cell r="D351">
            <v>1.1868038433000001</v>
          </cell>
        </row>
        <row r="352">
          <cell r="C352" t="str">
            <v>Manten</v>
          </cell>
          <cell r="D352">
            <v>1283.2009599999999</v>
          </cell>
        </row>
        <row r="353">
          <cell r="C353" t="str">
            <v>Adecu</v>
          </cell>
          <cell r="D353">
            <v>6090</v>
          </cell>
        </row>
        <row r="354">
          <cell r="C354" t="str">
            <v>Viaje</v>
          </cell>
          <cell r="D354">
            <v>3030</v>
          </cell>
        </row>
        <row r="355">
          <cell r="C355" t="str">
            <v>Divers</v>
          </cell>
          <cell r="D355">
            <v>132161.02532999997</v>
          </cell>
        </row>
        <row r="356">
          <cell r="C356" t="str">
            <v>Financ.</v>
          </cell>
          <cell r="D356">
            <v>360.00599999999997</v>
          </cell>
        </row>
        <row r="357">
          <cell r="C357" t="str">
            <v>Costos</v>
          </cell>
          <cell r="D357">
            <v>68623.484200000006</v>
          </cell>
        </row>
      </sheetData>
      <sheetData sheetId="1" refreshError="1">
        <row r="3">
          <cell r="B3">
            <v>3</v>
          </cell>
        </row>
        <row r="120">
          <cell r="B120">
            <v>608.87199999999996</v>
          </cell>
          <cell r="C120">
            <v>1834.31</v>
          </cell>
          <cell r="D120">
            <v>1512.259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</row>
      </sheetData>
      <sheetData sheetId="2" refreshError="1"/>
      <sheetData sheetId="3" refreshError="1">
        <row r="6">
          <cell r="D6">
            <v>1</v>
          </cell>
          <cell r="E6">
            <v>2</v>
          </cell>
          <cell r="F6">
            <v>3</v>
          </cell>
          <cell r="G6">
            <v>4</v>
          </cell>
          <cell r="H6">
            <v>5</v>
          </cell>
          <cell r="I6">
            <v>6</v>
          </cell>
          <cell r="J6">
            <v>7</v>
          </cell>
          <cell r="K6">
            <v>8</v>
          </cell>
          <cell r="L6">
            <v>9</v>
          </cell>
          <cell r="M6">
            <v>10</v>
          </cell>
          <cell r="N6">
            <v>11</v>
          </cell>
          <cell r="O6">
            <v>12</v>
          </cell>
          <cell r="P6">
            <v>13</v>
          </cell>
          <cell r="Q6">
            <v>14</v>
          </cell>
          <cell r="R6">
            <v>15</v>
          </cell>
          <cell r="S6">
            <v>16</v>
          </cell>
          <cell r="T6">
            <v>17</v>
          </cell>
          <cell r="U6">
            <v>18</v>
          </cell>
          <cell r="V6">
            <v>19</v>
          </cell>
          <cell r="W6">
            <v>20</v>
          </cell>
          <cell r="X6">
            <v>21</v>
          </cell>
          <cell r="Y6">
            <v>22</v>
          </cell>
          <cell r="Z6">
            <v>23</v>
          </cell>
          <cell r="AA6">
            <v>24</v>
          </cell>
          <cell r="AB6">
            <v>25</v>
          </cell>
          <cell r="AC6">
            <v>26</v>
          </cell>
          <cell r="AD6">
            <v>27</v>
          </cell>
        </row>
        <row r="39">
          <cell r="D39">
            <v>1730.192047133291</v>
          </cell>
          <cell r="E39">
            <v>0</v>
          </cell>
          <cell r="F39">
            <v>568.1776190974831</v>
          </cell>
          <cell r="G39">
            <v>1711.712623485239</v>
          </cell>
          <cell r="H39">
            <v>1411.1861246349654</v>
          </cell>
          <cell r="I39">
            <v>288.36534118888187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-163.02452898987548</v>
          </cell>
        </row>
        <row r="56">
          <cell r="D56">
            <v>-767.6282221604198</v>
          </cell>
          <cell r="E56">
            <v>-974.18899821035302</v>
          </cell>
          <cell r="F56">
            <v>-1650.8315993601529</v>
          </cell>
          <cell r="G56">
            <v>-1128.6689947358216</v>
          </cell>
          <cell r="H56">
            <v>-362.41393413528147</v>
          </cell>
          <cell r="I56">
            <v>0</v>
          </cell>
          <cell r="J56">
            <v>0</v>
          </cell>
          <cell r="K56">
            <v>-0.16814699999999999</v>
          </cell>
          <cell r="L56">
            <v>0</v>
          </cell>
          <cell r="M56">
            <v>-0.61653900000000006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-4.0400000000000001E-9</v>
          </cell>
        </row>
        <row r="58">
          <cell r="D58">
            <v>962.5638249728712</v>
          </cell>
          <cell r="E58">
            <v>-11.625173237481818</v>
          </cell>
          <cell r="F58">
            <v>-1094.2791535001516</v>
          </cell>
          <cell r="G58">
            <v>-511.23552475073416</v>
          </cell>
          <cell r="H58">
            <v>537.53666574894964</v>
          </cell>
          <cell r="I58">
            <v>825.90200693783152</v>
          </cell>
          <cell r="J58">
            <v>825.90200693783152</v>
          </cell>
          <cell r="K58">
            <v>825.73385993783154</v>
          </cell>
          <cell r="L58">
            <v>825.73385993783154</v>
          </cell>
          <cell r="M58">
            <v>825.11732093783155</v>
          </cell>
          <cell r="N58">
            <v>825.11732093783155</v>
          </cell>
          <cell r="O58">
            <v>825.11732093783155</v>
          </cell>
          <cell r="P58">
            <v>825.11732093783155</v>
          </cell>
          <cell r="Q58">
            <v>825.11732093783155</v>
          </cell>
          <cell r="R58">
            <v>825.11732093783155</v>
          </cell>
          <cell r="S58">
            <v>825.11732093783155</v>
          </cell>
          <cell r="T58">
            <v>825.11732093783155</v>
          </cell>
          <cell r="U58">
            <v>825.11732093783155</v>
          </cell>
          <cell r="V58">
            <v>825.11732093783155</v>
          </cell>
          <cell r="W58">
            <v>825.11732093783155</v>
          </cell>
          <cell r="X58">
            <v>825.11732093783155</v>
          </cell>
          <cell r="Y58">
            <v>825.11732093783155</v>
          </cell>
          <cell r="Z58">
            <v>825.11732093783155</v>
          </cell>
          <cell r="AA58">
            <v>825.11732093783155</v>
          </cell>
          <cell r="AB58">
            <v>825.11732093783155</v>
          </cell>
          <cell r="AC58">
            <v>825.11732093783155</v>
          </cell>
          <cell r="AD58">
            <v>662.09279194391604</v>
          </cell>
        </row>
        <row r="61">
          <cell r="D61">
            <v>962.5638249728712</v>
          </cell>
          <cell r="E61">
            <v>254.53053020849541</v>
          </cell>
          <cell r="F61">
            <v>-292.44877143628497</v>
          </cell>
          <cell r="G61">
            <v>149.81697550795735</v>
          </cell>
          <cell r="H61">
            <v>681.71933634339052</v>
          </cell>
          <cell r="I61">
            <v>825.90200693783152</v>
          </cell>
          <cell r="J61">
            <v>825.90200693783152</v>
          </cell>
          <cell r="K61">
            <v>825.73385993783154</v>
          </cell>
          <cell r="L61">
            <v>825.73385993783154</v>
          </cell>
          <cell r="M61">
            <v>825.11732093783155</v>
          </cell>
          <cell r="N61">
            <v>825.11732093783155</v>
          </cell>
          <cell r="O61">
            <v>825.11732093783155</v>
          </cell>
          <cell r="P61">
            <v>825.11732093783155</v>
          </cell>
          <cell r="Q61">
            <v>825.11732093783155</v>
          </cell>
          <cell r="R61">
            <v>825.11732093783155</v>
          </cell>
          <cell r="S61">
            <v>825.11732093783155</v>
          </cell>
          <cell r="T61">
            <v>825.11732093783155</v>
          </cell>
          <cell r="U61">
            <v>825.11732093783155</v>
          </cell>
          <cell r="V61">
            <v>825.11732093783155</v>
          </cell>
          <cell r="W61">
            <v>825.11732093783155</v>
          </cell>
          <cell r="X61">
            <v>825.11732093783155</v>
          </cell>
          <cell r="Y61">
            <v>825.11732093783155</v>
          </cell>
          <cell r="Z61">
            <v>825.11732093783155</v>
          </cell>
          <cell r="AA61">
            <v>825.11732093783155</v>
          </cell>
          <cell r="AB61">
            <v>825.11732093783155</v>
          </cell>
          <cell r="AC61">
            <v>825.11732093783155</v>
          </cell>
          <cell r="AD61">
            <v>662.09279194391604</v>
          </cell>
        </row>
        <row r="95">
          <cell r="F95">
            <v>412.9</v>
          </cell>
          <cell r="G95">
            <v>367</v>
          </cell>
          <cell r="H95">
            <v>321.10000000000002</v>
          </cell>
          <cell r="I95">
            <v>232</v>
          </cell>
          <cell r="K95">
            <v>3.0149999999999997</v>
          </cell>
        </row>
        <row r="96">
          <cell r="F96">
            <v>404.6</v>
          </cell>
          <cell r="G96">
            <v>358.70000000000005</v>
          </cell>
          <cell r="H96">
            <v>312.8</v>
          </cell>
          <cell r="I96">
            <v>223.7</v>
          </cell>
        </row>
        <row r="97">
          <cell r="F97">
            <v>396.3</v>
          </cell>
          <cell r="G97">
            <v>350.4</v>
          </cell>
          <cell r="H97">
            <v>304.5</v>
          </cell>
          <cell r="I97">
            <v>215.3</v>
          </cell>
        </row>
        <row r="98">
          <cell r="H98">
            <v>5339</v>
          </cell>
          <cell r="I98">
            <v>7.0000000000000007E-2</v>
          </cell>
        </row>
        <row r="99">
          <cell r="F99" t="str">
            <v>Localizacion Dato</v>
          </cell>
          <cell r="H99">
            <v>404.642</v>
          </cell>
          <cell r="I99">
            <v>404.642</v>
          </cell>
        </row>
        <row r="103">
          <cell r="F103">
            <v>30</v>
          </cell>
          <cell r="G103">
            <v>45</v>
          </cell>
          <cell r="H103">
            <v>60</v>
          </cell>
          <cell r="I103">
            <v>90</v>
          </cell>
        </row>
        <row r="104">
          <cell r="F104">
            <v>146.9</v>
          </cell>
          <cell r="G104">
            <v>119.85</v>
          </cell>
          <cell r="H104">
            <v>92.8</v>
          </cell>
          <cell r="I104">
            <v>40.4</v>
          </cell>
        </row>
        <row r="105">
          <cell r="F105">
            <v>412.9</v>
          </cell>
          <cell r="G105">
            <v>367</v>
          </cell>
          <cell r="H105">
            <v>321.10000000000002</v>
          </cell>
          <cell r="I105">
            <v>232</v>
          </cell>
        </row>
        <row r="106">
          <cell r="F106">
            <v>487.4</v>
          </cell>
          <cell r="G106">
            <v>457.25</v>
          </cell>
          <cell r="H106">
            <v>427.1</v>
          </cell>
          <cell r="I106">
            <v>368.5</v>
          </cell>
        </row>
        <row r="109">
          <cell r="G109">
            <v>0</v>
          </cell>
          <cell r="H109">
            <v>3752.1</v>
          </cell>
        </row>
        <row r="110">
          <cell r="G110">
            <v>7.0000000000000007E-2</v>
          </cell>
          <cell r="H110">
            <v>5339</v>
          </cell>
        </row>
        <row r="111">
          <cell r="G111">
            <v>0.1</v>
          </cell>
          <cell r="H111">
            <v>4193.5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"/>
      <sheetName val="Recipiente"/>
      <sheetName val="Guia rec."/>
      <sheetName val="MEZCLAS"/>
      <sheetName val="Módulo1"/>
      <sheetName val="Módulo11"/>
      <sheetName val="2-6"/>
      <sheetName val="LIMITE"/>
      <sheetName val="Hoja1"/>
      <sheetName val="CLAS-BOG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732"/>
      <sheetName val="782"/>
      <sheetName val="733 "/>
      <sheetName val="748"/>
      <sheetName val="MD-12 UMV  (6)"/>
      <sheetName val="TSR"/>
      <sheetName val="firmas"/>
      <sheetName val="Hoja1"/>
      <sheetName val="Formato"/>
    </sheetNames>
    <sheetDataSet>
      <sheetData sheetId="0">
        <row r="10">
          <cell r="E10">
            <v>0</v>
          </cell>
        </row>
      </sheetData>
      <sheetData sheetId="1">
        <row r="17">
          <cell r="M17" t="str">
            <v/>
          </cell>
        </row>
      </sheetData>
      <sheetData sheetId="2">
        <row r="16">
          <cell r="M16" t="str">
            <v/>
          </cell>
        </row>
      </sheetData>
      <sheetData sheetId="3"/>
      <sheetData sheetId="4">
        <row r="35">
          <cell r="G35" t="str">
            <v/>
          </cell>
        </row>
      </sheetData>
      <sheetData sheetId="5"/>
      <sheetData sheetId="6">
        <row r="51">
          <cell r="F51" t="str">
            <v>--</v>
          </cell>
          <cell r="N51" t="str">
            <v>--</v>
          </cell>
          <cell r="V51" t="str">
            <v>--</v>
          </cell>
        </row>
      </sheetData>
      <sheetData sheetId="7">
        <row r="3">
          <cell r="A3" t="str">
            <v>CHAPARRO CARLOS</v>
          </cell>
          <cell r="C3">
            <v>2</v>
          </cell>
        </row>
        <row r="4">
          <cell r="A4" t="str">
            <v>CORDOBA ALEXANDER</v>
          </cell>
          <cell r="C4">
            <v>3</v>
          </cell>
        </row>
        <row r="5">
          <cell r="A5" t="str">
            <v>CRISTANCHO VICTOR</v>
          </cell>
          <cell r="C5">
            <v>7</v>
          </cell>
        </row>
        <row r="6">
          <cell r="A6" t="str">
            <v>DIAZ CESAR</v>
          </cell>
        </row>
        <row r="7">
          <cell r="A7" t="str">
            <v>FLOREZ KAREN</v>
          </cell>
          <cell r="C7">
            <v>6</v>
          </cell>
        </row>
        <row r="8">
          <cell r="A8" t="str">
            <v>GALVIS DAVID</v>
          </cell>
          <cell r="C8">
            <v>4</v>
          </cell>
        </row>
        <row r="9">
          <cell r="A9" t="str">
            <v>ACHIARDI LEONARDO</v>
          </cell>
          <cell r="C9">
            <v>8</v>
          </cell>
        </row>
        <row r="10">
          <cell r="A10" t="str">
            <v>OSPINA JUAN GABRIEL</v>
          </cell>
        </row>
        <row r="11">
          <cell r="A11" t="str">
            <v>SUAREZ  WILLIAM</v>
          </cell>
          <cell r="C11">
            <v>9</v>
          </cell>
        </row>
        <row r="12">
          <cell r="A12" t="str">
            <v>YARA FABIAN</v>
          </cell>
        </row>
        <row r="13">
          <cell r="A13" t="str">
            <v>RINCON SATURNINO</v>
          </cell>
          <cell r="C13">
            <v>1</v>
          </cell>
        </row>
        <row r="14">
          <cell r="A14" t="str">
            <v xml:space="preserve">MOLINA JOSE </v>
          </cell>
        </row>
        <row r="15">
          <cell r="A15" t="str">
            <v>ALBARRACIN JAIRO</v>
          </cell>
        </row>
        <row r="16">
          <cell r="A16" t="str">
            <v>ALMONACID JIMMY</v>
          </cell>
        </row>
        <row r="17">
          <cell r="A17" t="str">
            <v>CANO LUIS EDUARDO</v>
          </cell>
        </row>
        <row r="19">
          <cell r="A19" t="str">
            <v>GOMEZ LUIS CARLOS</v>
          </cell>
        </row>
        <row r="21">
          <cell r="A21" t="str">
            <v>PATIÑO MARLON</v>
          </cell>
        </row>
        <row r="22">
          <cell r="A22" t="str">
            <v>PRIETO YULY PAOLA</v>
          </cell>
        </row>
        <row r="23">
          <cell r="A23" t="str">
            <v>SASTOQUE CINDY</v>
          </cell>
        </row>
        <row r="24">
          <cell r="A24" t="str">
            <v>TEUTA DIEGO</v>
          </cell>
        </row>
        <row r="25">
          <cell r="A25" t="str">
            <v>VARGAS RODOLFO</v>
          </cell>
        </row>
        <row r="26">
          <cell r="A26" t="str">
            <v>VILLANUEVA BRAYAN</v>
          </cell>
        </row>
        <row r="27">
          <cell r="A27" t="str">
            <v>--</v>
          </cell>
        </row>
        <row r="29">
          <cell r="A29" t="str">
            <v>ARIAS JENNIFER</v>
          </cell>
        </row>
        <row r="30">
          <cell r="A30" t="str">
            <v xml:space="preserve">VARGAS PABLO </v>
          </cell>
        </row>
        <row r="31">
          <cell r="C31">
            <v>1</v>
          </cell>
        </row>
        <row r="32">
          <cell r="A32" t="str">
            <v>--</v>
          </cell>
        </row>
        <row r="34">
          <cell r="A34" t="str">
            <v xml:space="preserve">VARGAS PABLO </v>
          </cell>
        </row>
        <row r="35">
          <cell r="A35" t="str">
            <v>CONTRERAS WILINTONG</v>
          </cell>
        </row>
        <row r="36">
          <cell r="A36" t="str">
            <v>--</v>
          </cell>
        </row>
      </sheetData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732"/>
      <sheetName val="782"/>
      <sheetName val="TSR (2)"/>
      <sheetName val="firmas (2)"/>
      <sheetName val="748"/>
      <sheetName val="TSR"/>
      <sheetName val="firmas"/>
      <sheetName val="Hoja1"/>
    </sheetNames>
    <sheetDataSet>
      <sheetData sheetId="0">
        <row r="6">
          <cell r="E6" t="str">
            <v/>
          </cell>
        </row>
      </sheetData>
      <sheetData sheetId="1"/>
      <sheetData sheetId="2"/>
      <sheetData sheetId="3"/>
      <sheetData sheetId="4"/>
      <sheetData sheetId="5"/>
      <sheetData sheetId="6">
        <row r="51">
          <cell r="F51" t="str">
            <v>ACHIARDI LEONARDO</v>
          </cell>
          <cell r="N51" t="str">
            <v xml:space="preserve">VARGAS PABLO </v>
          </cell>
          <cell r="V51" t="str">
            <v>CONTRERAS WILINTONG</v>
          </cell>
        </row>
      </sheetData>
      <sheetData sheetId="7">
        <row r="3">
          <cell r="A3" t="str">
            <v>CHAPARRO CARLOS</v>
          </cell>
          <cell r="C3">
            <v>2</v>
          </cell>
        </row>
        <row r="4">
          <cell r="A4" t="str">
            <v>CORDOBA ALEXANDER</v>
          </cell>
          <cell r="C4">
            <v>3</v>
          </cell>
        </row>
        <row r="5">
          <cell r="A5" t="str">
            <v>CRISTANCHO VICTOR</v>
          </cell>
          <cell r="C5">
            <v>7</v>
          </cell>
        </row>
        <row r="6">
          <cell r="A6" t="str">
            <v>DIAZ CESAR</v>
          </cell>
        </row>
        <row r="7">
          <cell r="A7" t="str">
            <v>FLOREZ KAREN</v>
          </cell>
          <cell r="C7">
            <v>6</v>
          </cell>
        </row>
        <row r="8">
          <cell r="A8" t="str">
            <v>GALVIS DAVID</v>
          </cell>
          <cell r="C8">
            <v>4</v>
          </cell>
        </row>
        <row r="9">
          <cell r="A9" t="str">
            <v>ACHIARDI LEONARDO</v>
          </cell>
          <cell r="C9">
            <v>8</v>
          </cell>
        </row>
        <row r="10">
          <cell r="A10" t="str">
            <v>OSPINA JUAN GABRIEL</v>
          </cell>
        </row>
        <row r="11">
          <cell r="A11" t="str">
            <v>SUAREZ  WILLIAM</v>
          </cell>
          <cell r="C11">
            <v>9</v>
          </cell>
        </row>
        <row r="12">
          <cell r="A12" t="str">
            <v>YARA FABIAN</v>
          </cell>
        </row>
        <row r="13">
          <cell r="A13" t="str">
            <v>RINCON SATURNINO</v>
          </cell>
          <cell r="C13">
            <v>1</v>
          </cell>
        </row>
        <row r="14">
          <cell r="A14" t="str">
            <v xml:space="preserve">MOLINA JOSE </v>
          </cell>
        </row>
        <row r="15">
          <cell r="A15" t="str">
            <v>ALBARRACIN JAIRO</v>
          </cell>
        </row>
        <row r="16">
          <cell r="A16" t="str">
            <v>ALMONACID JIMMY</v>
          </cell>
        </row>
        <row r="17">
          <cell r="A17" t="str">
            <v>CANO LUIS EDUARDO</v>
          </cell>
        </row>
        <row r="19">
          <cell r="A19" t="str">
            <v>GOMEZ LUIS CARLOS</v>
          </cell>
        </row>
        <row r="21">
          <cell r="A21" t="str">
            <v>PATIÑO MARLON</v>
          </cell>
        </row>
        <row r="22">
          <cell r="A22" t="str">
            <v>PRIETO YULY PAOLA</v>
          </cell>
        </row>
        <row r="23">
          <cell r="A23" t="str">
            <v>SASTOQUE CINDY</v>
          </cell>
        </row>
        <row r="24">
          <cell r="A24" t="str">
            <v>TEUTA DIEGO</v>
          </cell>
        </row>
        <row r="25">
          <cell r="A25" t="str">
            <v>VARGAS RODOLFO</v>
          </cell>
        </row>
        <row r="26">
          <cell r="A26" t="str">
            <v>VILLANUEVA BRAYAN</v>
          </cell>
        </row>
        <row r="27">
          <cell r="A27" t="str">
            <v>--</v>
          </cell>
        </row>
        <row r="29">
          <cell r="A29" t="str">
            <v>ARIAS JENNIFER</v>
          </cell>
        </row>
        <row r="30">
          <cell r="A30" t="str">
            <v xml:space="preserve">VARGAS PABLO </v>
          </cell>
        </row>
        <row r="31">
          <cell r="A31" t="str">
            <v>--</v>
          </cell>
          <cell r="C31">
            <v>1</v>
          </cell>
        </row>
        <row r="32">
          <cell r="A32" t="str">
            <v>--</v>
          </cell>
        </row>
        <row r="34">
          <cell r="A34" t="str">
            <v xml:space="preserve">VARGAS PABLO </v>
          </cell>
        </row>
        <row r="35">
          <cell r="A35" t="str">
            <v>CONTRERAS WILINTONG</v>
          </cell>
        </row>
        <row r="36">
          <cell r="A36" t="str">
            <v>--</v>
          </cell>
        </row>
      </sheetData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732"/>
      <sheetName val="782"/>
      <sheetName val="733 - 735"/>
      <sheetName val="748"/>
      <sheetName val="TSR"/>
      <sheetName val="firmas"/>
      <sheetName val="Hoja1"/>
    </sheetNames>
    <sheetDataSet>
      <sheetData sheetId="0">
        <row r="5">
          <cell r="R5" t="str">
            <v>Gerencia de Producción</v>
          </cell>
        </row>
      </sheetData>
      <sheetData sheetId="1"/>
      <sheetData sheetId="2"/>
      <sheetData sheetId="3">
        <row r="30">
          <cell r="G30" t="str">
            <v/>
          </cell>
        </row>
        <row r="35">
          <cell r="I35" t="str">
            <v>--</v>
          </cell>
        </row>
      </sheetData>
      <sheetData sheetId="4"/>
      <sheetData sheetId="5"/>
      <sheetData sheetId="6">
        <row r="3">
          <cell r="A3" t="str">
            <v>CHAPARRO CARLOS</v>
          </cell>
          <cell r="C3">
            <v>2</v>
          </cell>
        </row>
        <row r="4">
          <cell r="A4" t="str">
            <v>CORDOBA ALEXANDER</v>
          </cell>
          <cell r="C4">
            <v>3</v>
          </cell>
        </row>
        <row r="5">
          <cell r="A5" t="str">
            <v>CRISTANCHO VICTOR</v>
          </cell>
          <cell r="C5">
            <v>7</v>
          </cell>
        </row>
        <row r="6">
          <cell r="A6" t="str">
            <v>DIAZ CESAR</v>
          </cell>
        </row>
        <row r="7">
          <cell r="A7" t="str">
            <v>FLOREZ KAREN</v>
          </cell>
          <cell r="C7">
            <v>6</v>
          </cell>
        </row>
        <row r="8">
          <cell r="A8" t="str">
            <v>GALVIS DAVID</v>
          </cell>
          <cell r="C8">
            <v>4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</row>
        <row r="12">
          <cell r="A12" t="str">
            <v>RINCON SATURNINO</v>
          </cell>
          <cell r="C12">
            <v>1</v>
          </cell>
        </row>
        <row r="13">
          <cell r="A13" t="str">
            <v>ACHIARDI LEONARDO</v>
          </cell>
        </row>
        <row r="15">
          <cell r="A15" t="str">
            <v>PRADA CESAR</v>
          </cell>
        </row>
        <row r="17">
          <cell r="A17" t="str">
            <v>CANO LUIS EDUARDO</v>
          </cell>
        </row>
        <row r="18">
          <cell r="A18" t="str">
            <v>GALVIS DANIEL</v>
          </cell>
        </row>
        <row r="19">
          <cell r="A19" t="str">
            <v>GOMEZ LUIS CARLOS</v>
          </cell>
        </row>
        <row r="20">
          <cell r="A20" t="str">
            <v xml:space="preserve">VELASQUEZ JUAN CAMILO </v>
          </cell>
        </row>
        <row r="21">
          <cell r="A21" t="str">
            <v xml:space="preserve">QUIÑONES ETIEL </v>
          </cell>
        </row>
        <row r="23">
          <cell r="A23" t="str">
            <v>RIOS JOSE</v>
          </cell>
        </row>
        <row r="24">
          <cell r="A24" t="str">
            <v xml:space="preserve">VAQUIRO JUAN CAMILO </v>
          </cell>
        </row>
        <row r="25">
          <cell r="A25" t="str">
            <v xml:space="preserve">RINCON ALVARO JOSE </v>
          </cell>
        </row>
        <row r="26">
          <cell r="A26" t="str">
            <v>CABALLERO YESID</v>
          </cell>
        </row>
        <row r="27">
          <cell r="A27" t="str">
            <v xml:space="preserve">ACERO ROBERTO </v>
          </cell>
        </row>
        <row r="28">
          <cell r="A28" t="str">
            <v>GONZALEZ CAMILO</v>
          </cell>
        </row>
        <row r="29">
          <cell r="A29" t="str">
            <v>GARCIA JOSE</v>
          </cell>
        </row>
        <row r="31">
          <cell r="A31" t="str">
            <v>RINCON SATURNINO</v>
          </cell>
          <cell r="C31">
            <v>1</v>
          </cell>
        </row>
        <row r="32">
          <cell r="A32" t="str">
            <v>JENNYFER ARIAS</v>
          </cell>
        </row>
        <row r="33">
          <cell r="C33">
            <v>1</v>
          </cell>
        </row>
        <row r="34">
          <cell r="A34" t="str">
            <v>--</v>
          </cell>
        </row>
        <row r="36">
          <cell r="A36" t="str">
            <v>CINDY NATHALY SASTOQUE</v>
          </cell>
        </row>
        <row r="37">
          <cell r="A37" t="str">
            <v>CONTRERAS WILINTONG</v>
          </cell>
        </row>
        <row r="38">
          <cell r="A38" t="str">
            <v>--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BG67"/>
  <sheetViews>
    <sheetView showGridLines="0" view="pageBreakPreview" zoomScaleSheetLayoutView="100" workbookViewId="0">
      <selection activeCell="E8" sqref="E8:J8"/>
    </sheetView>
  </sheetViews>
  <sheetFormatPr baseColWidth="10" defaultRowHeight="12.75" x14ac:dyDescent="0.2"/>
  <cols>
    <col min="1" max="1" width="6.42578125" style="11" customWidth="1"/>
    <col min="2" max="2" width="7" style="11" customWidth="1"/>
    <col min="3" max="3" width="10" style="11" customWidth="1"/>
    <col min="4" max="4" width="0.85546875" style="11" hidden="1" customWidth="1"/>
    <col min="5" max="5" width="6.5703125" style="11" customWidth="1"/>
    <col min="6" max="6" width="5.140625" style="11" customWidth="1"/>
    <col min="7" max="7" width="5" style="11" customWidth="1"/>
    <col min="8" max="8" width="5.85546875" style="11" customWidth="1"/>
    <col min="9" max="9" width="4.7109375" style="11" customWidth="1"/>
    <col min="10" max="10" width="8.85546875" style="11" customWidth="1"/>
    <col min="11" max="12" width="8.7109375" style="11" customWidth="1"/>
    <col min="13" max="15" width="6.7109375" style="11" customWidth="1"/>
    <col min="16" max="16" width="11" style="11" customWidth="1"/>
    <col min="17" max="17" width="22.140625" style="11" customWidth="1"/>
    <col min="18" max="18" width="17.140625" style="11" customWidth="1"/>
    <col min="19" max="21" width="11.42578125" style="11" customWidth="1"/>
    <col min="22" max="22" width="11.42578125" style="453" customWidth="1"/>
    <col min="23" max="24" width="11.42578125" style="11" customWidth="1"/>
    <col min="25" max="25" width="6.28515625" style="11" customWidth="1"/>
    <col min="26" max="26" width="18.85546875" style="11" customWidth="1"/>
    <col min="27" max="27" width="11.42578125" style="11" customWidth="1"/>
    <col min="28" max="28" width="11.42578125" style="453" customWidth="1"/>
    <col min="29" max="33" width="11.42578125" style="11" customWidth="1"/>
    <col min="34" max="34" width="11.42578125" style="453" customWidth="1"/>
    <col min="35" max="39" width="11.42578125" style="11" customWidth="1"/>
    <col min="40" max="40" width="11.42578125" style="453" customWidth="1"/>
    <col min="41" max="45" width="11.42578125" style="11" customWidth="1"/>
    <col min="46" max="46" width="11.42578125" style="453" customWidth="1"/>
    <col min="47" max="48" width="11.42578125" style="11" customWidth="1"/>
    <col min="49" max="16384" width="11.42578125" style="11"/>
  </cols>
  <sheetData>
    <row r="1" spans="1:55" ht="15" customHeight="1" x14ac:dyDescent="0.2">
      <c r="A1" s="1004"/>
      <c r="B1" s="1005"/>
      <c r="C1" s="1006"/>
      <c r="D1" s="1029" t="s">
        <v>331</v>
      </c>
      <c r="E1" s="1030"/>
      <c r="F1" s="1030"/>
      <c r="G1" s="1030"/>
      <c r="H1" s="1030"/>
      <c r="I1" s="1030"/>
      <c r="J1" s="1030"/>
      <c r="K1" s="1030"/>
      <c r="L1" s="1030"/>
      <c r="M1" s="1030"/>
      <c r="N1" s="1030"/>
      <c r="O1" s="1031"/>
      <c r="P1" s="455"/>
      <c r="Q1" s="456"/>
      <c r="R1" s="456"/>
      <c r="S1" s="456"/>
      <c r="T1" s="456"/>
      <c r="U1" s="456"/>
      <c r="V1" s="456"/>
      <c r="W1" s="456"/>
      <c r="X1" s="456"/>
      <c r="Y1" s="456"/>
      <c r="Z1" s="456"/>
      <c r="AA1" s="456"/>
      <c r="AB1" s="456"/>
      <c r="AC1" s="456"/>
      <c r="AD1" s="456"/>
      <c r="AE1" s="456"/>
      <c r="AF1" s="456"/>
      <c r="AG1" s="456"/>
      <c r="AH1" s="456"/>
      <c r="AI1" s="456"/>
      <c r="AJ1" s="456"/>
      <c r="AK1" s="456"/>
      <c r="AL1" s="456"/>
      <c r="AM1" s="456"/>
      <c r="AN1" s="456"/>
      <c r="AO1" s="456"/>
      <c r="AP1" s="456"/>
      <c r="AQ1" s="456"/>
      <c r="AR1" s="456"/>
      <c r="AS1" s="456"/>
      <c r="AT1" s="456"/>
      <c r="AU1" s="456"/>
      <c r="AV1" s="46"/>
      <c r="AW1" s="46"/>
      <c r="AX1" s="46"/>
      <c r="AY1" s="46"/>
      <c r="AZ1" s="46"/>
      <c r="BA1" s="46"/>
      <c r="BB1" s="46"/>
      <c r="BC1" s="46"/>
    </row>
    <row r="2" spans="1:55" ht="15" customHeight="1" x14ac:dyDescent="0.2">
      <c r="A2" s="1007"/>
      <c r="B2" s="1008"/>
      <c r="C2" s="1009"/>
      <c r="D2" s="1032"/>
      <c r="E2" s="1033"/>
      <c r="F2" s="1033"/>
      <c r="G2" s="1033"/>
      <c r="H2" s="1033"/>
      <c r="I2" s="1033"/>
      <c r="J2" s="1033"/>
      <c r="K2" s="1033"/>
      <c r="L2" s="1033"/>
      <c r="M2" s="1033"/>
      <c r="N2" s="1033"/>
      <c r="O2" s="1034"/>
      <c r="P2" s="457"/>
      <c r="Q2" s="456"/>
      <c r="R2" s="456"/>
      <c r="S2" s="456"/>
      <c r="T2" s="456"/>
      <c r="U2" s="456"/>
      <c r="V2" s="456"/>
      <c r="W2" s="456"/>
      <c r="X2" s="456"/>
      <c r="Y2" s="456"/>
      <c r="Z2" s="456"/>
      <c r="AA2" s="456"/>
      <c r="AB2" s="456"/>
      <c r="AC2" s="456"/>
      <c r="AD2" s="456"/>
      <c r="AE2" s="456"/>
      <c r="AF2" s="456"/>
      <c r="AG2" s="456"/>
      <c r="AH2" s="456"/>
      <c r="AI2" s="456"/>
      <c r="AJ2" s="456"/>
      <c r="AK2" s="456"/>
      <c r="AL2" s="456"/>
      <c r="AM2" s="456"/>
      <c r="AN2" s="456"/>
      <c r="AO2" s="456"/>
      <c r="AP2" s="456"/>
      <c r="AQ2" s="456"/>
      <c r="AR2" s="456"/>
      <c r="AS2" s="456"/>
      <c r="AT2" s="456"/>
      <c r="AU2" s="456"/>
      <c r="AV2" s="46"/>
      <c r="AW2" s="46"/>
      <c r="AX2" s="46"/>
      <c r="AY2" s="46"/>
      <c r="AZ2" s="46"/>
      <c r="BA2" s="46"/>
      <c r="BB2" s="46"/>
      <c r="BC2" s="46"/>
    </row>
    <row r="3" spans="1:55" ht="15" customHeight="1" x14ac:dyDescent="0.2">
      <c r="A3" s="1007"/>
      <c r="B3" s="1008"/>
      <c r="C3" s="1009"/>
      <c r="D3" s="1035"/>
      <c r="E3" s="1036"/>
      <c r="F3" s="1036"/>
      <c r="G3" s="1036"/>
      <c r="H3" s="1036"/>
      <c r="I3" s="1036"/>
      <c r="J3" s="1036"/>
      <c r="K3" s="1036"/>
      <c r="L3" s="1036"/>
      <c r="M3" s="1036"/>
      <c r="N3" s="1036"/>
      <c r="O3" s="1037"/>
      <c r="P3" s="457"/>
      <c r="Q3" s="456"/>
      <c r="R3" s="456"/>
      <c r="S3" s="456"/>
      <c r="T3" s="456"/>
      <c r="U3" s="456"/>
      <c r="V3" s="456"/>
      <c r="W3" s="456"/>
      <c r="X3" s="382"/>
      <c r="Y3" s="382"/>
      <c r="Z3" s="382"/>
      <c r="AA3" s="382"/>
      <c r="AB3" s="382"/>
      <c r="AC3" s="382"/>
      <c r="AD3" s="382"/>
      <c r="AE3" s="382"/>
      <c r="AF3" s="382"/>
      <c r="AG3" s="382"/>
      <c r="AH3" s="382"/>
      <c r="AI3" s="382"/>
      <c r="AJ3" s="382"/>
      <c r="AK3" s="382"/>
      <c r="AL3" s="382"/>
      <c r="AM3" s="456"/>
      <c r="AN3" s="456"/>
      <c r="AO3" s="456"/>
      <c r="AP3" s="456"/>
      <c r="AQ3" s="456"/>
      <c r="AR3" s="456"/>
      <c r="AS3" s="456"/>
      <c r="AT3" s="456"/>
      <c r="AU3" s="456"/>
      <c r="AV3" s="46"/>
      <c r="AW3" s="46"/>
      <c r="AX3" s="46"/>
      <c r="AY3" s="46"/>
      <c r="AZ3" s="46"/>
      <c r="BA3" s="46"/>
      <c r="BB3" s="46"/>
      <c r="BC3" s="46"/>
    </row>
    <row r="4" spans="1:55" ht="14.1" customHeight="1" x14ac:dyDescent="0.2">
      <c r="A4" s="1007"/>
      <c r="B4" s="1008"/>
      <c r="C4" s="1009"/>
      <c r="D4" s="1013" t="s">
        <v>199</v>
      </c>
      <c r="E4" s="1014"/>
      <c r="F4" s="1014"/>
      <c r="G4" s="1014"/>
      <c r="H4" s="1014"/>
      <c r="I4" s="1014"/>
      <c r="J4" s="1014"/>
      <c r="K4" s="1014"/>
      <c r="L4" s="1015"/>
      <c r="M4" s="1013" t="s">
        <v>362</v>
      </c>
      <c r="N4" s="1014"/>
      <c r="O4" s="1015"/>
      <c r="P4" s="458"/>
      <c r="Q4" s="456"/>
      <c r="R4" s="1148" t="s">
        <v>274</v>
      </c>
      <c r="S4" s="1149"/>
      <c r="T4" s="1149"/>
      <c r="U4" s="1150"/>
      <c r="V4" s="459" t="s">
        <v>380</v>
      </c>
      <c r="W4" s="460"/>
      <c r="X4" s="460"/>
      <c r="Y4" s="460"/>
      <c r="Z4" s="461" t="str">
        <f>A8</f>
        <v>Tipo de mezcla asfáltica:</v>
      </c>
      <c r="AA4" s="462"/>
      <c r="AB4" s="462"/>
      <c r="AC4" s="462"/>
      <c r="AD4" s="514"/>
      <c r="AE4" s="676" t="s">
        <v>275</v>
      </c>
      <c r="AF4" s="463"/>
      <c r="AG4" s="464" t="s">
        <v>279</v>
      </c>
      <c r="AH4" s="511" t="s">
        <v>278</v>
      </c>
      <c r="AI4" s="678"/>
      <c r="AJ4" s="678"/>
      <c r="AK4" s="512"/>
      <c r="AN4" s="456"/>
      <c r="AO4" s="456"/>
      <c r="AP4" s="456"/>
      <c r="AQ4" s="456"/>
      <c r="AR4" s="456"/>
      <c r="AS4" s="456"/>
      <c r="AT4" s="456"/>
      <c r="AU4" s="456"/>
      <c r="AV4" s="46"/>
      <c r="AW4" s="46"/>
      <c r="AX4" s="46"/>
      <c r="AY4" s="46"/>
      <c r="AZ4" s="46"/>
      <c r="BA4" s="46"/>
      <c r="BB4" s="46"/>
      <c r="BC4" s="46"/>
    </row>
    <row r="5" spans="1:55" ht="14.1" customHeight="1" x14ac:dyDescent="0.2">
      <c r="A5" s="1010"/>
      <c r="B5" s="1011"/>
      <c r="C5" s="1012"/>
      <c r="D5" s="1013" t="s">
        <v>363</v>
      </c>
      <c r="E5" s="1014"/>
      <c r="F5" s="1014"/>
      <c r="G5" s="1014"/>
      <c r="H5" s="1014"/>
      <c r="I5" s="1014"/>
      <c r="J5" s="1014"/>
      <c r="K5" s="1014"/>
      <c r="L5" s="1014"/>
      <c r="M5" s="1014"/>
      <c r="N5" s="1014"/>
      <c r="O5" s="1015"/>
      <c r="P5" s="458"/>
      <c r="Q5" s="456"/>
      <c r="R5" s="465" t="s">
        <v>208</v>
      </c>
      <c r="S5" s="466"/>
      <c r="T5" s="467"/>
      <c r="U5" s="468"/>
      <c r="V5" s="472" t="s">
        <v>206</v>
      </c>
      <c r="W5" s="467"/>
      <c r="X5" s="467"/>
      <c r="Y5" s="467"/>
      <c r="Z5" s="469" t="s">
        <v>123</v>
      </c>
      <c r="AA5" s="470"/>
      <c r="AB5" s="470"/>
      <c r="AC5" s="470"/>
      <c r="AD5" s="471"/>
      <c r="AE5" s="467" t="s">
        <v>201</v>
      </c>
      <c r="AF5" s="473"/>
      <c r="AG5" s="474" t="s">
        <v>251</v>
      </c>
      <c r="AH5" s="673" t="s">
        <v>381</v>
      </c>
      <c r="AI5" s="466"/>
      <c r="AJ5" s="466"/>
      <c r="AK5" s="473"/>
      <c r="AN5" s="456"/>
      <c r="AO5" s="456"/>
      <c r="AP5" s="456"/>
      <c r="AQ5" s="456"/>
      <c r="AR5" s="456"/>
      <c r="AS5" s="456"/>
      <c r="AT5" s="456"/>
      <c r="AU5" s="456"/>
      <c r="AV5" s="46"/>
      <c r="AW5" s="46"/>
      <c r="AX5" s="46"/>
      <c r="AY5" s="46"/>
      <c r="AZ5" s="46"/>
      <c r="BA5" s="46"/>
      <c r="BB5" s="46"/>
      <c r="BC5" s="46"/>
    </row>
    <row r="6" spans="1:55" ht="14.1" customHeight="1" x14ac:dyDescent="0.2">
      <c r="A6" s="1023" t="s">
        <v>41</v>
      </c>
      <c r="B6" s="1024"/>
      <c r="C6" s="1024"/>
      <c r="D6" s="1024"/>
      <c r="E6" s="1025" t="str">
        <f>+IF(E7="","",IF(E7=V5,R5,IF(E7=V6,R6,IF(E7=V7,R7))))</f>
        <v/>
      </c>
      <c r="F6" s="1025"/>
      <c r="G6" s="1025"/>
      <c r="H6" s="1025"/>
      <c r="I6" s="1025"/>
      <c r="J6" s="1025"/>
      <c r="K6" s="885" t="s">
        <v>59</v>
      </c>
      <c r="L6" s="886"/>
      <c r="M6" s="1026"/>
      <c r="N6" s="1026"/>
      <c r="O6" s="1027"/>
      <c r="P6" s="475"/>
      <c r="Q6" s="456"/>
      <c r="R6" s="465" t="s">
        <v>209</v>
      </c>
      <c r="S6" s="466"/>
      <c r="T6" s="467"/>
      <c r="U6" s="468"/>
      <c r="V6" s="472" t="s">
        <v>207</v>
      </c>
      <c r="W6" s="467"/>
      <c r="X6" s="467"/>
      <c r="Y6" s="467"/>
      <c r="Z6" s="476" t="s">
        <v>35</v>
      </c>
      <c r="AA6" s="477"/>
      <c r="AB6" s="477"/>
      <c r="AC6" s="477"/>
      <c r="AD6" s="478"/>
      <c r="AE6" s="467" t="s">
        <v>202</v>
      </c>
      <c r="AF6" s="473"/>
      <c r="AG6" s="479" t="s">
        <v>252</v>
      </c>
      <c r="AH6" s="674" t="s">
        <v>382</v>
      </c>
      <c r="AI6" s="481"/>
      <c r="AJ6" s="481"/>
      <c r="AK6" s="483"/>
      <c r="AN6" s="456"/>
      <c r="AO6" s="456"/>
      <c r="AP6" s="456"/>
      <c r="AQ6" s="456"/>
      <c r="AR6" s="456"/>
      <c r="AS6" s="456"/>
      <c r="AT6" s="456"/>
      <c r="AU6" s="456"/>
      <c r="AV6" s="46"/>
      <c r="AW6" s="46"/>
      <c r="AX6" s="46"/>
      <c r="AY6" s="46"/>
      <c r="AZ6" s="46"/>
      <c r="BA6" s="46"/>
      <c r="BB6" s="46"/>
      <c r="BC6" s="46"/>
    </row>
    <row r="7" spans="1:55" ht="14.1" customHeight="1" x14ac:dyDescent="0.2">
      <c r="A7" s="1016" t="s">
        <v>42</v>
      </c>
      <c r="B7" s="1017"/>
      <c r="C7" s="1017"/>
      <c r="D7" s="1017"/>
      <c r="E7" s="1018"/>
      <c r="F7" s="1018"/>
      <c r="G7" s="1018"/>
      <c r="H7" s="1018"/>
      <c r="I7" s="1018"/>
      <c r="J7" s="1018"/>
      <c r="K7" s="887" t="s">
        <v>47</v>
      </c>
      <c r="L7" s="888"/>
      <c r="M7" s="1018"/>
      <c r="N7" s="1018"/>
      <c r="O7" s="1028"/>
      <c r="P7" s="382"/>
      <c r="Q7" s="456"/>
      <c r="R7" s="480" t="s">
        <v>276</v>
      </c>
      <c r="S7" s="481"/>
      <c r="T7" s="482"/>
      <c r="U7" s="483"/>
      <c r="V7" s="480" t="s">
        <v>277</v>
      </c>
      <c r="W7" s="482"/>
      <c r="X7" s="482"/>
      <c r="Y7" s="482"/>
      <c r="Z7" s="476" t="s">
        <v>125</v>
      </c>
      <c r="AA7" s="477"/>
      <c r="AB7" s="477"/>
      <c r="AC7" s="477"/>
      <c r="AD7" s="478"/>
      <c r="AE7" s="677" t="s">
        <v>203</v>
      </c>
      <c r="AF7" s="319"/>
      <c r="AG7" s="382"/>
      <c r="AJ7" s="382"/>
      <c r="AK7" s="382"/>
      <c r="AL7" s="382"/>
      <c r="AM7" s="456"/>
      <c r="AN7" s="456"/>
      <c r="AO7" s="456"/>
      <c r="AP7" s="456"/>
      <c r="AQ7" s="456"/>
      <c r="AR7" s="456"/>
      <c r="AS7" s="456"/>
      <c r="AT7" s="456"/>
      <c r="AU7" s="456"/>
      <c r="AV7" s="46"/>
      <c r="AW7" s="46"/>
      <c r="AX7" s="46"/>
      <c r="AY7" s="46"/>
      <c r="AZ7" s="46"/>
      <c r="BA7" s="46"/>
      <c r="BB7" s="46"/>
      <c r="BC7" s="46"/>
    </row>
    <row r="8" spans="1:55" ht="14.1" customHeight="1" x14ac:dyDescent="0.2">
      <c r="A8" s="1016" t="s">
        <v>56</v>
      </c>
      <c r="B8" s="1017"/>
      <c r="C8" s="1017"/>
      <c r="D8" s="1017"/>
      <c r="E8" s="1018"/>
      <c r="F8" s="1018"/>
      <c r="G8" s="1018"/>
      <c r="H8" s="1018"/>
      <c r="I8" s="1018"/>
      <c r="J8" s="1018"/>
      <c r="K8" s="887" t="s">
        <v>60</v>
      </c>
      <c r="L8" s="888"/>
      <c r="M8" s="1019"/>
      <c r="N8" s="1019"/>
      <c r="O8" s="1020"/>
      <c r="P8" s="382"/>
      <c r="Q8" s="456"/>
      <c r="R8" s="456"/>
      <c r="S8" s="456"/>
      <c r="T8" s="456"/>
      <c r="U8" s="456"/>
      <c r="V8" s="456"/>
      <c r="W8" s="456"/>
      <c r="X8" s="456"/>
      <c r="Y8" s="456"/>
      <c r="Z8" s="672" t="s">
        <v>384</v>
      </c>
      <c r="AA8" s="295"/>
      <c r="AB8" s="295"/>
      <c r="AC8" s="295"/>
      <c r="AD8" s="454"/>
      <c r="AE8" s="11" t="s">
        <v>49</v>
      </c>
      <c r="AF8" s="456"/>
      <c r="AG8" s="382"/>
      <c r="AH8" s="382"/>
      <c r="AI8" s="382"/>
      <c r="AJ8" s="382"/>
      <c r="AK8" s="382"/>
      <c r="AL8" s="382"/>
      <c r="AM8" s="456"/>
      <c r="AN8" s="456"/>
      <c r="AO8" s="456"/>
      <c r="AP8" s="456"/>
      <c r="AQ8" s="456"/>
      <c r="AR8" s="456"/>
      <c r="AS8" s="456"/>
      <c r="AT8" s="456"/>
      <c r="AU8" s="456"/>
      <c r="AV8" s="46"/>
      <c r="AW8" s="46"/>
      <c r="AX8" s="46"/>
      <c r="AY8" s="46"/>
      <c r="AZ8" s="46"/>
      <c r="BA8" s="46"/>
      <c r="BB8" s="46"/>
      <c r="BC8" s="46"/>
    </row>
    <row r="9" spans="1:55" ht="14.1" customHeight="1" x14ac:dyDescent="0.2">
      <c r="A9" s="1021" t="s">
        <v>387</v>
      </c>
      <c r="B9" s="1022"/>
      <c r="C9" s="1022"/>
      <c r="D9" s="1022"/>
      <c r="E9" s="1018"/>
      <c r="F9" s="1018"/>
      <c r="G9" s="1018"/>
      <c r="H9" s="1018"/>
      <c r="I9" s="1018"/>
      <c r="J9" s="1018"/>
      <c r="K9" s="887" t="s">
        <v>61</v>
      </c>
      <c r="L9" s="888"/>
      <c r="M9" s="1019"/>
      <c r="N9" s="1019"/>
      <c r="O9" s="1020"/>
      <c r="P9" s="484"/>
      <c r="Q9" s="456"/>
      <c r="R9" s="456"/>
      <c r="S9" s="456"/>
      <c r="T9" s="456"/>
      <c r="U9" s="456"/>
      <c r="V9" s="456"/>
      <c r="W9" s="456"/>
      <c r="X9" s="456"/>
      <c r="Y9" s="456"/>
      <c r="Z9" s="298" t="s">
        <v>346</v>
      </c>
      <c r="AA9" s="477"/>
      <c r="AB9" s="477"/>
      <c r="AC9" s="477"/>
      <c r="AD9" s="478"/>
      <c r="AF9" s="456"/>
      <c r="AG9" s="382"/>
      <c r="AH9" s="456"/>
      <c r="AI9" s="456"/>
      <c r="AJ9" s="456"/>
      <c r="AK9" s="456"/>
      <c r="AL9" s="456"/>
      <c r="AM9" s="456"/>
      <c r="AN9" s="456"/>
      <c r="AO9" s="456"/>
      <c r="AP9" s="456"/>
      <c r="AQ9" s="456"/>
      <c r="AR9" s="456"/>
      <c r="AS9" s="456"/>
      <c r="AT9" s="456"/>
      <c r="AU9" s="456"/>
      <c r="AV9" s="46"/>
      <c r="AW9" s="46"/>
      <c r="AX9" s="46"/>
      <c r="AY9" s="46"/>
      <c r="AZ9" s="46"/>
      <c r="BA9" s="46"/>
      <c r="BB9" s="46"/>
      <c r="BC9" s="46"/>
    </row>
    <row r="10" spans="1:55" ht="14.1" customHeight="1" x14ac:dyDescent="0.2">
      <c r="A10" s="1021" t="s">
        <v>196</v>
      </c>
      <c r="B10" s="1022"/>
      <c r="C10" s="1022"/>
      <c r="D10" s="1022"/>
      <c r="E10" s="1018"/>
      <c r="F10" s="1018"/>
      <c r="G10" s="1018"/>
      <c r="H10" s="1018"/>
      <c r="I10" s="1018"/>
      <c r="J10" s="1018"/>
      <c r="K10" s="887" t="s">
        <v>53</v>
      </c>
      <c r="L10" s="888"/>
      <c r="M10" s="1019"/>
      <c r="N10" s="1019"/>
      <c r="O10" s="1020"/>
      <c r="P10" s="484"/>
      <c r="Q10" s="456"/>
      <c r="R10" s="456"/>
      <c r="S10" s="456"/>
      <c r="T10" s="456"/>
      <c r="U10" s="456"/>
      <c r="V10" s="456"/>
      <c r="W10" s="456"/>
      <c r="X10" s="456"/>
      <c r="Y10" s="456"/>
      <c r="Z10" s="299" t="s">
        <v>347</v>
      </c>
      <c r="AA10" s="485"/>
      <c r="AB10" s="485"/>
      <c r="AC10" s="485"/>
      <c r="AD10" s="486"/>
      <c r="AF10" s="456"/>
      <c r="AG10" s="456"/>
      <c r="AH10" s="456"/>
      <c r="AI10" s="456"/>
      <c r="AJ10" s="456"/>
      <c r="AK10" s="456"/>
      <c r="AL10" s="456"/>
      <c r="AM10" s="456"/>
      <c r="AN10" s="456"/>
      <c r="AO10" s="456"/>
      <c r="AP10" s="456"/>
      <c r="AQ10" s="456"/>
      <c r="AR10" s="456"/>
      <c r="AS10" s="456"/>
      <c r="AT10" s="456"/>
      <c r="AU10" s="456"/>
      <c r="AV10" s="46"/>
      <c r="AW10" s="46"/>
      <c r="AX10" s="46"/>
      <c r="AY10" s="46"/>
      <c r="AZ10" s="46"/>
      <c r="BA10" s="46"/>
      <c r="BB10" s="46"/>
      <c r="BC10" s="46"/>
    </row>
    <row r="11" spans="1:55" ht="14.1" customHeight="1" x14ac:dyDescent="0.2">
      <c r="A11" s="1021" t="s">
        <v>91</v>
      </c>
      <c r="B11" s="1022"/>
      <c r="C11" s="1022"/>
      <c r="D11" s="887"/>
      <c r="E11" s="1018"/>
      <c r="F11" s="1018"/>
      <c r="G11" s="1018"/>
      <c r="H11" s="1018"/>
      <c r="I11" s="1018"/>
      <c r="J11" s="1018"/>
      <c r="K11" s="887" t="s">
        <v>164</v>
      </c>
      <c r="L11" s="888"/>
      <c r="M11" s="1019"/>
      <c r="N11" s="1019"/>
      <c r="O11" s="1020"/>
      <c r="P11" s="484"/>
      <c r="Q11" s="456"/>
      <c r="R11" s="456"/>
      <c r="S11" s="456"/>
      <c r="T11" s="456"/>
      <c r="U11" s="456"/>
      <c r="V11" s="456"/>
      <c r="W11" s="456"/>
      <c r="X11" s="456"/>
      <c r="Y11" s="456"/>
      <c r="Z11" s="456"/>
      <c r="AA11" s="456"/>
      <c r="AB11" s="456"/>
      <c r="AC11" s="456"/>
      <c r="AD11" s="456"/>
      <c r="AE11" s="456"/>
      <c r="AF11" s="456"/>
      <c r="AG11" s="456"/>
      <c r="AH11" s="456"/>
      <c r="AI11" s="456"/>
      <c r="AJ11" s="456"/>
      <c r="AK11" s="456"/>
      <c r="AL11" s="456"/>
      <c r="AM11" s="456"/>
      <c r="AN11" s="456"/>
      <c r="AO11" s="456"/>
      <c r="AP11" s="456"/>
      <c r="AQ11" s="456"/>
      <c r="AR11" s="456"/>
      <c r="AS11" s="456"/>
      <c r="AT11" s="456"/>
      <c r="AU11" s="456"/>
      <c r="AV11" s="46"/>
      <c r="AW11" s="46"/>
      <c r="AX11" s="46"/>
      <c r="AY11" s="46"/>
      <c r="AZ11" s="46"/>
      <c r="BA11" s="46"/>
      <c r="BB11" s="46"/>
      <c r="BC11" s="46"/>
    </row>
    <row r="12" spans="1:55" s="453" customFormat="1" ht="15.75" customHeight="1" x14ac:dyDescent="0.2">
      <c r="A12" s="1021"/>
      <c r="B12" s="1022"/>
      <c r="C12" s="1022"/>
      <c r="D12" s="887"/>
      <c r="E12" s="1018"/>
      <c r="F12" s="1018"/>
      <c r="G12" s="1018"/>
      <c r="H12" s="1018"/>
      <c r="I12" s="1018"/>
      <c r="J12" s="1018"/>
      <c r="K12" s="889" t="s">
        <v>163</v>
      </c>
      <c r="L12" s="890"/>
      <c r="M12" s="1002"/>
      <c r="N12" s="1002"/>
      <c r="O12" s="1003"/>
      <c r="P12" s="487"/>
      <c r="Q12" s="456"/>
      <c r="R12" s="456"/>
      <c r="S12" s="456"/>
      <c r="T12" s="456"/>
      <c r="U12" s="456"/>
      <c r="V12" s="456"/>
      <c r="W12" s="456"/>
      <c r="X12" s="456"/>
      <c r="Y12" s="456"/>
      <c r="Z12" s="456"/>
      <c r="AA12" s="456"/>
      <c r="AB12" s="456"/>
      <c r="AC12" s="456"/>
      <c r="AD12" s="456"/>
      <c r="AE12" s="456"/>
      <c r="AF12" s="456"/>
      <c r="AG12" s="456"/>
      <c r="AH12" s="456"/>
      <c r="AI12" s="456"/>
      <c r="AJ12" s="456"/>
      <c r="AK12" s="456"/>
      <c r="AL12" s="456"/>
      <c r="AM12" s="456"/>
      <c r="AN12" s="456"/>
      <c r="AO12" s="456"/>
      <c r="AP12" s="456"/>
      <c r="AQ12" s="456"/>
      <c r="AR12" s="456"/>
      <c r="AS12" s="456"/>
      <c r="AT12" s="456"/>
      <c r="AU12" s="456"/>
      <c r="AV12" s="46"/>
      <c r="AW12" s="46"/>
      <c r="AX12" s="46"/>
      <c r="AY12" s="46"/>
      <c r="AZ12" s="46"/>
      <c r="BA12" s="46"/>
      <c r="BB12" s="46"/>
      <c r="BC12" s="46"/>
    </row>
    <row r="13" spans="1:55" ht="15.75" customHeight="1" x14ac:dyDescent="0.2">
      <c r="A13" s="1070" t="s">
        <v>330</v>
      </c>
      <c r="B13" s="1071"/>
      <c r="C13" s="1071"/>
      <c r="D13" s="671"/>
      <c r="E13" s="1072" t="str">
        <f>IF(E8="","",+IF(E8=Z8,AH6,AH5))</f>
        <v/>
      </c>
      <c r="F13" s="1072"/>
      <c r="G13" s="1072"/>
      <c r="H13" s="1072"/>
      <c r="I13" s="1072"/>
      <c r="J13" s="1072"/>
      <c r="K13" s="1072"/>
      <c r="L13" s="1072"/>
      <c r="M13" s="1072"/>
      <c r="N13" s="1072"/>
      <c r="O13" s="1073"/>
      <c r="P13" s="487"/>
      <c r="Q13" s="456"/>
      <c r="R13" s="456"/>
      <c r="S13" s="456"/>
      <c r="T13" s="456"/>
      <c r="U13" s="456"/>
      <c r="V13" s="456"/>
      <c r="W13" s="456"/>
      <c r="X13" s="456"/>
      <c r="Y13" s="456"/>
      <c r="Z13" s="456"/>
      <c r="AA13" s="456"/>
      <c r="AB13" s="456"/>
      <c r="AC13" s="456"/>
      <c r="AD13" s="456"/>
      <c r="AE13" s="456"/>
      <c r="AF13" s="456"/>
      <c r="AG13" s="456"/>
      <c r="AH13" s="456"/>
      <c r="AI13" s="456"/>
      <c r="AJ13" s="456"/>
      <c r="AK13" s="456"/>
      <c r="AL13" s="456"/>
      <c r="AM13" s="456"/>
      <c r="AN13" s="456"/>
      <c r="AO13" s="456"/>
      <c r="AP13" s="456"/>
      <c r="AQ13" s="456"/>
      <c r="AR13" s="456"/>
      <c r="AS13" s="456"/>
      <c r="AT13" s="456"/>
      <c r="AU13" s="456"/>
      <c r="AV13" s="46"/>
      <c r="AW13" s="46"/>
      <c r="AX13" s="46"/>
      <c r="AY13" s="46"/>
      <c r="AZ13" s="46"/>
      <c r="BA13" s="46"/>
      <c r="BB13" s="46"/>
      <c r="BC13" s="46"/>
    </row>
    <row r="14" spans="1:55" ht="24.95" customHeight="1" x14ac:dyDescent="0.2">
      <c r="A14" s="1038" t="s">
        <v>84</v>
      </c>
      <c r="B14" s="1039"/>
      <c r="C14" s="1039"/>
      <c r="D14" s="1039"/>
      <c r="E14" s="1039"/>
      <c r="F14" s="1042" t="s">
        <v>67</v>
      </c>
      <c r="G14" s="1042"/>
      <c r="H14" s="1044" t="s">
        <v>80</v>
      </c>
      <c r="I14" s="1046" t="s">
        <v>79</v>
      </c>
      <c r="J14" s="1047"/>
      <c r="K14" s="1046" t="s">
        <v>222</v>
      </c>
      <c r="L14" s="1050"/>
      <c r="M14" s="1047"/>
      <c r="N14" s="1058" t="s">
        <v>7</v>
      </c>
      <c r="O14" s="1059"/>
      <c r="P14" s="1060" t="s">
        <v>204</v>
      </c>
      <c r="Q14" s="456"/>
      <c r="R14" s="1051" t="s">
        <v>29</v>
      </c>
      <c r="S14" s="1052"/>
      <c r="T14" s="1052"/>
      <c r="U14" s="1052"/>
      <c r="V14" s="1052"/>
      <c r="W14" s="1052"/>
      <c r="X14" s="1052"/>
      <c r="Y14" s="1052"/>
      <c r="Z14" s="1052"/>
      <c r="AA14" s="1052"/>
      <c r="AB14" s="1052"/>
      <c r="AC14" s="1052"/>
      <c r="AD14" s="1052"/>
      <c r="AE14" s="1052"/>
      <c r="AF14" s="1052"/>
      <c r="AG14" s="1052"/>
      <c r="AH14" s="1052"/>
      <c r="AI14" s="1053"/>
      <c r="AJ14" s="1067" t="s">
        <v>278</v>
      </c>
      <c r="AK14" s="1068"/>
      <c r="AL14" s="1068"/>
      <c r="AM14" s="1068"/>
      <c r="AN14" s="1068"/>
      <c r="AO14" s="1068"/>
      <c r="AP14" s="1068"/>
      <c r="AQ14" s="1068"/>
      <c r="AR14" s="1068"/>
      <c r="AS14" s="1068"/>
      <c r="AT14" s="1068"/>
      <c r="AU14" s="1069"/>
      <c r="AV14" s="46"/>
      <c r="AW14" s="46"/>
      <c r="AX14" s="46"/>
      <c r="AY14" s="46"/>
      <c r="AZ14" s="46"/>
      <c r="BA14" s="46"/>
      <c r="BB14" s="46"/>
      <c r="BC14" s="46"/>
    </row>
    <row r="15" spans="1:55" ht="24.95" customHeight="1" x14ac:dyDescent="0.2">
      <c r="A15" s="1040"/>
      <c r="B15" s="1041"/>
      <c r="C15" s="1041"/>
      <c r="D15" s="1041"/>
      <c r="E15" s="1041"/>
      <c r="F15" s="1043"/>
      <c r="G15" s="1043"/>
      <c r="H15" s="1045"/>
      <c r="I15" s="1048"/>
      <c r="J15" s="1049"/>
      <c r="K15" s="21" t="s">
        <v>46</v>
      </c>
      <c r="L15" s="22" t="s">
        <v>383</v>
      </c>
      <c r="M15" s="23" t="s">
        <v>223</v>
      </c>
      <c r="N15" s="160" t="s">
        <v>383</v>
      </c>
      <c r="O15" s="161" t="s">
        <v>223</v>
      </c>
      <c r="P15" s="1061"/>
      <c r="Q15" s="456"/>
      <c r="R15" s="1062" t="s">
        <v>46</v>
      </c>
      <c r="S15" s="1063"/>
      <c r="T15" s="1063"/>
      <c r="U15" s="1063"/>
      <c r="V15" s="1063"/>
      <c r="W15" s="1063"/>
      <c r="X15" s="1064" t="s">
        <v>43</v>
      </c>
      <c r="Y15" s="1065"/>
      <c r="Z15" s="1065"/>
      <c r="AA15" s="1065"/>
      <c r="AB15" s="1065"/>
      <c r="AC15" s="1066"/>
      <c r="AD15" s="1065" t="s">
        <v>57</v>
      </c>
      <c r="AE15" s="1065"/>
      <c r="AF15" s="1065"/>
      <c r="AG15" s="1065"/>
      <c r="AH15" s="1065"/>
      <c r="AI15" s="1066"/>
      <c r="AJ15" s="1051" t="s">
        <v>43</v>
      </c>
      <c r="AK15" s="1052"/>
      <c r="AL15" s="1052"/>
      <c r="AM15" s="1052"/>
      <c r="AN15" s="1052"/>
      <c r="AO15" s="1052"/>
      <c r="AP15" s="1051" t="s">
        <v>58</v>
      </c>
      <c r="AQ15" s="1052"/>
      <c r="AR15" s="1052"/>
      <c r="AS15" s="1052"/>
      <c r="AT15" s="1052"/>
      <c r="AU15" s="1053"/>
      <c r="AV15" s="46"/>
      <c r="AW15" s="46"/>
      <c r="AX15" s="46"/>
      <c r="AY15" s="46"/>
      <c r="AZ15" s="46"/>
      <c r="BA15" s="46"/>
      <c r="BB15" s="46"/>
      <c r="BC15" s="46"/>
    </row>
    <row r="16" spans="1:55" ht="24.95" customHeight="1" x14ac:dyDescent="0.2">
      <c r="A16" s="1054" t="s">
        <v>112</v>
      </c>
      <c r="B16" s="1055"/>
      <c r="C16" s="1055"/>
      <c r="D16" s="1055"/>
      <c r="E16" s="1055"/>
      <c r="F16" s="1055"/>
      <c r="G16" s="1055"/>
      <c r="H16" s="1056"/>
      <c r="I16" s="1056"/>
      <c r="J16" s="1056"/>
      <c r="K16" s="1056"/>
      <c r="L16" s="1056"/>
      <c r="M16" s="1056"/>
      <c r="N16" s="1056"/>
      <c r="O16" s="1057"/>
      <c r="P16" s="668"/>
      <c r="Q16" s="456">
        <v>1</v>
      </c>
      <c r="R16" s="488" t="s">
        <v>123</v>
      </c>
      <c r="S16" s="489" t="s">
        <v>35</v>
      </c>
      <c r="T16" s="490" t="s">
        <v>347</v>
      </c>
      <c r="U16" s="489" t="s">
        <v>125</v>
      </c>
      <c r="V16" s="490" t="s">
        <v>346</v>
      </c>
      <c r="W16" s="705" t="s">
        <v>384</v>
      </c>
      <c r="X16" s="491" t="s">
        <v>123</v>
      </c>
      <c r="Y16" s="489" t="s">
        <v>35</v>
      </c>
      <c r="Z16" s="492" t="s">
        <v>347</v>
      </c>
      <c r="AA16" s="489" t="s">
        <v>125</v>
      </c>
      <c r="AB16" s="492" t="s">
        <v>346</v>
      </c>
      <c r="AC16" s="715" t="s">
        <v>384</v>
      </c>
      <c r="AD16" s="489" t="s">
        <v>123</v>
      </c>
      <c r="AE16" s="489" t="s">
        <v>35</v>
      </c>
      <c r="AF16" s="490" t="s">
        <v>347</v>
      </c>
      <c r="AG16" s="489" t="s">
        <v>125</v>
      </c>
      <c r="AH16" s="490" t="s">
        <v>346</v>
      </c>
      <c r="AI16" s="679" t="s">
        <v>123</v>
      </c>
      <c r="AJ16" s="491" t="s">
        <v>123</v>
      </c>
      <c r="AK16" s="489" t="s">
        <v>35</v>
      </c>
      <c r="AL16" s="493" t="s">
        <v>347</v>
      </c>
      <c r="AM16" s="489" t="s">
        <v>125</v>
      </c>
      <c r="AN16" s="493" t="s">
        <v>346</v>
      </c>
      <c r="AO16" s="715" t="s">
        <v>384</v>
      </c>
      <c r="AP16" s="491" t="s">
        <v>123</v>
      </c>
      <c r="AQ16" s="489" t="s">
        <v>35</v>
      </c>
      <c r="AR16" s="492" t="s">
        <v>347</v>
      </c>
      <c r="AS16" s="489" t="s">
        <v>125</v>
      </c>
      <c r="AT16" s="493" t="s">
        <v>346</v>
      </c>
      <c r="AU16" s="723" t="s">
        <v>384</v>
      </c>
      <c r="AV16" s="274"/>
      <c r="AW16" s="46"/>
      <c r="AX16" s="46"/>
      <c r="AY16" s="46"/>
      <c r="AZ16" s="46"/>
      <c r="BA16" s="46"/>
      <c r="BB16" s="46"/>
      <c r="BC16" s="46"/>
    </row>
    <row r="17" spans="1:55" ht="24.95" customHeight="1" x14ac:dyDescent="0.2">
      <c r="A17" s="1090" t="s">
        <v>63</v>
      </c>
      <c r="B17" s="1091"/>
      <c r="C17" s="1091"/>
      <c r="D17" s="1091"/>
      <c r="E17" s="163" t="s">
        <v>39</v>
      </c>
      <c r="F17" s="1092" t="s">
        <v>69</v>
      </c>
      <c r="G17" s="1093"/>
      <c r="H17" s="24" t="str">
        <f>IF('732'!M18="","",'732'!M18)</f>
        <v/>
      </c>
      <c r="I17" s="1094" t="s">
        <v>126</v>
      </c>
      <c r="J17" s="1095"/>
      <c r="K17" s="25" t="str">
        <f>IF(E8="","",HLOOKUP($E$8,$R$16:$AP$32,Q17,0))</f>
        <v/>
      </c>
      <c r="L17" s="26" t="str">
        <f>IF(OR(K17="",K17="--"),"",K17-0.3)</f>
        <v/>
      </c>
      <c r="M17" s="27" t="str">
        <f>IF(OR(K17="",K17="--"),"",K17+0.3)</f>
        <v/>
      </c>
      <c r="N17" s="1096"/>
      <c r="O17" s="1097"/>
      <c r="P17" s="669" t="str">
        <f>+IF(H17="","",(IF(AND(H17&gt;L17,H17&lt;M17),"","No cumple")))</f>
        <v/>
      </c>
      <c r="Q17" s="456">
        <v>2</v>
      </c>
      <c r="R17" s="680">
        <v>6.7</v>
      </c>
      <c r="S17" s="681">
        <v>5.9</v>
      </c>
      <c r="T17" s="681">
        <v>6.1</v>
      </c>
      <c r="U17" s="682">
        <v>5.4</v>
      </c>
      <c r="V17" s="682">
        <v>6.7</v>
      </c>
      <c r="W17" s="825" t="s">
        <v>154</v>
      </c>
      <c r="X17" s="683"/>
      <c r="Y17" s="684"/>
      <c r="Z17" s="684"/>
      <c r="AA17" s="684"/>
      <c r="AB17" s="684"/>
      <c r="AC17" s="716"/>
      <c r="AD17" s="686"/>
      <c r="AE17" s="686"/>
      <c r="AF17" s="686"/>
      <c r="AG17" s="686"/>
      <c r="AH17" s="686"/>
      <c r="AI17" s="685"/>
      <c r="AJ17" s="465"/>
      <c r="AK17" s="467"/>
      <c r="AL17" s="467"/>
      <c r="AM17" s="467"/>
      <c r="AN17" s="467"/>
      <c r="AO17" s="859">
        <v>6</v>
      </c>
      <c r="AP17" s="860"/>
      <c r="AQ17" s="861"/>
      <c r="AR17" s="861"/>
      <c r="AS17" s="861"/>
      <c r="AT17" s="861"/>
      <c r="AU17" s="862">
        <v>9</v>
      </c>
      <c r="AV17" s="274"/>
      <c r="AW17" s="46"/>
      <c r="AX17" s="46"/>
      <c r="AY17" s="46"/>
      <c r="AZ17" s="46"/>
      <c r="BA17" s="46"/>
      <c r="BB17" s="46"/>
      <c r="BC17" s="46"/>
    </row>
    <row r="18" spans="1:55" ht="24.95" customHeight="1" x14ac:dyDescent="0.2">
      <c r="A18" s="158" t="s">
        <v>361</v>
      </c>
      <c r="B18" s="159"/>
      <c r="C18" s="159"/>
      <c r="D18" s="159"/>
      <c r="E18" s="165" t="s">
        <v>39</v>
      </c>
      <c r="F18" s="871"/>
      <c r="G18" s="166"/>
      <c r="H18" s="28" t="str">
        <f>+IF(H17="","",IF(E8=Z8,H17/(1-(Q34/100)),"N.A"))</f>
        <v/>
      </c>
      <c r="I18" s="1074" t="s">
        <v>119</v>
      </c>
      <c r="J18" s="1075"/>
      <c r="K18" s="25" t="str">
        <f>IF(OR(E8="",E8=R16,E8=S16,E8=T16,E8=U16,E8=V16),"",HLOOKUP($E$8,$R$16:$AP$32,Q18,0))</f>
        <v/>
      </c>
      <c r="L18" s="26" t="str">
        <f>IF(OR(K18="",K18="--",K18=0),"",K18-0.3)</f>
        <v/>
      </c>
      <c r="M18" s="27" t="str">
        <f>IF(OR(K18="",K18="--",K18=0),"",K18+0.3)</f>
        <v/>
      </c>
      <c r="N18" s="167"/>
      <c r="O18" s="168"/>
      <c r="P18" s="669" t="str">
        <f t="shared" ref="P18:P23" si="0">+IF(H18="","",(IF(AND(H18&gt;L18,H18&lt;M18),"","No cumple")))</f>
        <v/>
      </c>
      <c r="Q18" s="456">
        <v>3</v>
      </c>
      <c r="R18" s="687"/>
      <c r="S18" s="686"/>
      <c r="T18" s="686"/>
      <c r="U18" s="684"/>
      <c r="V18" s="684"/>
      <c r="W18" s="706">
        <v>7.5</v>
      </c>
      <c r="X18" s="683"/>
      <c r="Y18" s="684"/>
      <c r="Z18" s="684"/>
      <c r="AA18" s="684"/>
      <c r="AB18" s="684"/>
      <c r="AC18" s="716"/>
      <c r="AD18" s="686"/>
      <c r="AE18" s="686"/>
      <c r="AF18" s="686"/>
      <c r="AG18" s="686"/>
      <c r="AH18" s="686"/>
      <c r="AI18" s="685"/>
      <c r="AJ18" s="465"/>
      <c r="AK18" s="467"/>
      <c r="AL18" s="467"/>
      <c r="AM18" s="467"/>
      <c r="AN18" s="467"/>
      <c r="AO18" s="265"/>
      <c r="AP18" s="465"/>
      <c r="AQ18" s="467"/>
      <c r="AR18" s="467"/>
      <c r="AS18" s="467"/>
      <c r="AT18" s="467"/>
      <c r="AU18" s="718"/>
      <c r="AV18" s="274"/>
      <c r="AW18" s="46"/>
      <c r="AX18" s="46"/>
      <c r="AY18" s="46"/>
      <c r="AZ18" s="46"/>
      <c r="BA18" s="46"/>
      <c r="BB18" s="46"/>
      <c r="BC18" s="46"/>
    </row>
    <row r="19" spans="1:55" ht="24.95" customHeight="1" x14ac:dyDescent="0.2">
      <c r="A19" s="1076" t="s">
        <v>113</v>
      </c>
      <c r="B19" s="1077"/>
      <c r="C19" s="1077"/>
      <c r="D19" s="1077"/>
      <c r="E19" s="169"/>
      <c r="F19" s="1078" t="s">
        <v>94</v>
      </c>
      <c r="G19" s="1079"/>
      <c r="H19" s="1080" t="str">
        <f>IF(E8="","",HLOOKUP($E$8,$R$16:$AP$32,Q19,0))</f>
        <v/>
      </c>
      <c r="I19" s="1081"/>
      <c r="J19" s="1081"/>
      <c r="K19" s="1081"/>
      <c r="L19" s="1081"/>
      <c r="M19" s="1081"/>
      <c r="N19" s="1081"/>
      <c r="O19" s="1082"/>
      <c r="P19" s="669"/>
      <c r="Q19" s="456">
        <v>4</v>
      </c>
      <c r="R19" s="680" t="s">
        <v>95</v>
      </c>
      <c r="S19" s="681" t="s">
        <v>95</v>
      </c>
      <c r="T19" s="681" t="s">
        <v>95</v>
      </c>
      <c r="U19" s="682" t="s">
        <v>95</v>
      </c>
      <c r="V19" s="682" t="s">
        <v>95</v>
      </c>
      <c r="W19" s="706" t="s">
        <v>95</v>
      </c>
      <c r="X19" s="683"/>
      <c r="Y19" s="684"/>
      <c r="Z19" s="684"/>
      <c r="AA19" s="684"/>
      <c r="AB19" s="684"/>
      <c r="AC19" s="706" t="s">
        <v>95</v>
      </c>
      <c r="AD19" s="686"/>
      <c r="AE19" s="686"/>
      <c r="AF19" s="686"/>
      <c r="AG19" s="686"/>
      <c r="AH19" s="686"/>
      <c r="AI19" s="706" t="s">
        <v>95</v>
      </c>
      <c r="AJ19" s="465"/>
      <c r="AK19" s="467"/>
      <c r="AL19" s="467"/>
      <c r="AM19" s="467"/>
      <c r="AN19" s="467"/>
      <c r="AO19" s="718"/>
      <c r="AP19" s="465"/>
      <c r="AQ19" s="467"/>
      <c r="AR19" s="467"/>
      <c r="AS19" s="467"/>
      <c r="AT19" s="467"/>
      <c r="AU19" s="718"/>
      <c r="AV19" s="274"/>
      <c r="AW19" s="46"/>
      <c r="AX19" s="46"/>
      <c r="AY19" s="46"/>
      <c r="AZ19" s="46"/>
      <c r="BA19" s="46"/>
      <c r="BB19" s="46"/>
      <c r="BC19" s="46"/>
    </row>
    <row r="20" spans="1:55" ht="24.95" customHeight="1" x14ac:dyDescent="0.2">
      <c r="A20" s="1083" t="s">
        <v>93</v>
      </c>
      <c r="B20" s="1084"/>
      <c r="C20" s="1084"/>
      <c r="D20" s="1084"/>
      <c r="E20" s="1084"/>
      <c r="F20" s="1084"/>
      <c r="G20" s="1084"/>
      <c r="H20" s="1085"/>
      <c r="I20" s="1085"/>
      <c r="J20" s="1085"/>
      <c r="K20" s="1085"/>
      <c r="L20" s="1085"/>
      <c r="M20" s="1085"/>
      <c r="N20" s="1085"/>
      <c r="O20" s="1086"/>
      <c r="P20" s="669"/>
      <c r="Q20" s="456">
        <v>5</v>
      </c>
      <c r="R20" s="680"/>
      <c r="S20" s="684"/>
      <c r="T20" s="684"/>
      <c r="U20" s="684"/>
      <c r="V20" s="684"/>
      <c r="W20" s="706"/>
      <c r="X20" s="688"/>
      <c r="Y20" s="682"/>
      <c r="Z20" s="682"/>
      <c r="AA20" s="682"/>
      <c r="AB20" s="682"/>
      <c r="AC20" s="706"/>
      <c r="AD20" s="682"/>
      <c r="AE20" s="682"/>
      <c r="AF20" s="682"/>
      <c r="AG20" s="682"/>
      <c r="AH20" s="682"/>
      <c r="AI20" s="706"/>
      <c r="AJ20" s="495"/>
      <c r="AK20" s="494"/>
      <c r="AL20" s="494"/>
      <c r="AM20" s="494"/>
      <c r="AN20" s="494"/>
      <c r="AO20" s="719"/>
      <c r="AP20" s="495"/>
      <c r="AQ20" s="494"/>
      <c r="AR20" s="494"/>
      <c r="AS20" s="494"/>
      <c r="AT20" s="494"/>
      <c r="AU20" s="719"/>
      <c r="AV20" s="274"/>
      <c r="AW20" s="46"/>
      <c r="AX20" s="46"/>
      <c r="AY20" s="46"/>
      <c r="AZ20" s="46"/>
      <c r="BA20" s="46"/>
      <c r="BB20" s="46"/>
      <c r="BC20" s="46"/>
    </row>
    <row r="21" spans="1:55" ht="21.95" customHeight="1" x14ac:dyDescent="0.2">
      <c r="A21" s="1090" t="s">
        <v>81</v>
      </c>
      <c r="B21" s="1091"/>
      <c r="C21" s="1091"/>
      <c r="D21" s="1110" t="s">
        <v>65</v>
      </c>
      <c r="E21" s="1110"/>
      <c r="F21" s="1092" t="s">
        <v>68</v>
      </c>
      <c r="G21" s="1111"/>
      <c r="H21" s="29" t="str">
        <f>IF(K21="","",K21)</f>
        <v/>
      </c>
      <c r="I21" s="1096"/>
      <c r="J21" s="1112"/>
      <c r="K21" s="1087" t="str">
        <f>IF(E8="","",HLOOKUP($E$8,$R$16:$AP$32,Q21,0))</f>
        <v/>
      </c>
      <c r="L21" s="1088"/>
      <c r="M21" s="1089"/>
      <c r="N21" s="1113" t="str">
        <f>IF(E8="","",HLOOKUP($E$8,$AJ$16:$AO$32,Q21,0))</f>
        <v/>
      </c>
      <c r="O21" s="1093"/>
      <c r="P21" s="669"/>
      <c r="Q21" s="456">
        <v>6</v>
      </c>
      <c r="R21" s="689">
        <v>75</v>
      </c>
      <c r="S21" s="690">
        <v>75</v>
      </c>
      <c r="T21" s="690">
        <v>75</v>
      </c>
      <c r="U21" s="690">
        <v>75</v>
      </c>
      <c r="V21" s="690">
        <v>75</v>
      </c>
      <c r="W21" s="707">
        <v>75</v>
      </c>
      <c r="X21" s="689"/>
      <c r="Y21" s="690"/>
      <c r="Z21" s="690"/>
      <c r="AA21" s="690"/>
      <c r="AB21" s="690"/>
      <c r="AC21" s="707"/>
      <c r="AD21" s="690"/>
      <c r="AE21" s="690"/>
      <c r="AF21" s="690"/>
      <c r="AG21" s="690"/>
      <c r="AH21" s="690"/>
      <c r="AI21" s="707"/>
      <c r="AJ21" s="497">
        <v>75</v>
      </c>
      <c r="AK21" s="498">
        <v>75</v>
      </c>
      <c r="AL21" s="498">
        <v>75</v>
      </c>
      <c r="AM21" s="498">
        <v>75</v>
      </c>
      <c r="AN21" s="498">
        <v>75</v>
      </c>
      <c r="AO21" s="863">
        <v>75</v>
      </c>
      <c r="AP21" s="497"/>
      <c r="AQ21" s="498"/>
      <c r="AR21" s="498"/>
      <c r="AS21" s="498"/>
      <c r="AT21" s="498"/>
      <c r="AU21" s="720"/>
      <c r="AV21" s="274"/>
      <c r="AW21" s="46"/>
      <c r="AX21" s="46"/>
      <c r="AY21" s="46"/>
      <c r="AZ21" s="46"/>
      <c r="BA21" s="46"/>
      <c r="BB21" s="46"/>
      <c r="BC21" s="46"/>
    </row>
    <row r="22" spans="1:55" ht="21.95" customHeight="1" x14ac:dyDescent="0.2">
      <c r="A22" s="1105" t="s">
        <v>44</v>
      </c>
      <c r="B22" s="1106"/>
      <c r="C22" s="1106"/>
      <c r="D22" s="1106"/>
      <c r="E22" s="171" t="s">
        <v>62</v>
      </c>
      <c r="F22" s="1107" t="s">
        <v>68</v>
      </c>
      <c r="G22" s="1107"/>
      <c r="H22" s="30" t="str">
        <f>IF('748'!N25="","",'748'!N25)</f>
        <v/>
      </c>
      <c r="I22" s="1108" t="s">
        <v>110</v>
      </c>
      <c r="J22" s="1109"/>
      <c r="K22" s="79" t="str">
        <f>IF($E$8="","",HLOOKUP($E$8,$R$16:$W$32,Q22,0))</f>
        <v/>
      </c>
      <c r="L22" s="81" t="str">
        <f>IF(K22="","",K22*0.9)</f>
        <v/>
      </c>
      <c r="M22" s="31"/>
      <c r="N22" s="172" t="str">
        <f>IF(E8="","",HLOOKUP($E$8,$AJ$16:$AO$32,Q22,0))</f>
        <v/>
      </c>
      <c r="O22" s="173" t="str">
        <f>IF(E8="","",HLOOKUP($E$8,$AP$16:$AU$32,Q22,0))</f>
        <v/>
      </c>
      <c r="P22" s="669" t="str">
        <f>+IF(H22="","",(IF(H22&gt;N22,"","No cumple")))</f>
        <v/>
      </c>
      <c r="Q22" s="456">
        <v>7</v>
      </c>
      <c r="R22" s="689">
        <v>1490</v>
      </c>
      <c r="S22" s="690">
        <v>1400</v>
      </c>
      <c r="T22" s="690">
        <v>1500</v>
      </c>
      <c r="U22" s="690">
        <v>1390</v>
      </c>
      <c r="V22" s="690">
        <v>1470</v>
      </c>
      <c r="W22" s="707">
        <v>1457</v>
      </c>
      <c r="X22" s="691">
        <f>IF(R22="","",R22*0.9)</f>
        <v>1341</v>
      </c>
      <c r="Y22" s="692">
        <f>IF(S22="","",S22*0.9)</f>
        <v>1260</v>
      </c>
      <c r="Z22" s="692">
        <f>IF(T22="","",T22*0.9)</f>
        <v>1350</v>
      </c>
      <c r="AA22" s="692">
        <f>IF(U22="","",U22*0.9)</f>
        <v>1251</v>
      </c>
      <c r="AB22" s="692">
        <f>IF(V22="","",V22*0.9)</f>
        <v>1323</v>
      </c>
      <c r="AC22" s="710" t="s">
        <v>124</v>
      </c>
      <c r="AD22" s="692" t="s">
        <v>49</v>
      </c>
      <c r="AE22" s="692" t="s">
        <v>49</v>
      </c>
      <c r="AF22" s="692" t="s">
        <v>49</v>
      </c>
      <c r="AG22" s="692" t="s">
        <v>49</v>
      </c>
      <c r="AH22" s="692" t="s">
        <v>49</v>
      </c>
      <c r="AI22" s="710" t="s">
        <v>161</v>
      </c>
      <c r="AJ22" s="499">
        <v>900</v>
      </c>
      <c r="AK22" s="500">
        <v>900</v>
      </c>
      <c r="AL22" s="500">
        <v>750</v>
      </c>
      <c r="AM22" s="500">
        <v>750</v>
      </c>
      <c r="AN22" s="500">
        <v>750</v>
      </c>
      <c r="AO22" s="863">
        <v>842</v>
      </c>
      <c r="AP22" s="499" t="s">
        <v>49</v>
      </c>
      <c r="AQ22" s="500" t="s">
        <v>49</v>
      </c>
      <c r="AR22" s="500" t="s">
        <v>49</v>
      </c>
      <c r="AS22" s="500" t="s">
        <v>49</v>
      </c>
      <c r="AT22" s="500" t="s">
        <v>49</v>
      </c>
      <c r="AU22" s="863" t="s">
        <v>49</v>
      </c>
      <c r="AV22" s="274"/>
      <c r="AW22" s="46"/>
      <c r="AX22" s="46"/>
      <c r="AY22" s="46"/>
      <c r="AZ22" s="46"/>
      <c r="BA22" s="46"/>
      <c r="BB22" s="46"/>
      <c r="BC22" s="46"/>
    </row>
    <row r="23" spans="1:55" ht="21.95" hidden="1" customHeight="1" x14ac:dyDescent="0.2">
      <c r="A23" s="869" t="s">
        <v>114</v>
      </c>
      <c r="B23" s="870"/>
      <c r="C23" s="870"/>
      <c r="D23" s="870"/>
      <c r="E23" s="171"/>
      <c r="F23" s="871"/>
      <c r="G23" s="871"/>
      <c r="H23" s="32" t="e">
        <f>IF(#REF!="","",IF(OR(#REF!&gt;1,#REF!&gt;0),"No cumple","Cumple"))</f>
        <v>#REF!</v>
      </c>
      <c r="I23" s="1098" t="s">
        <v>111</v>
      </c>
      <c r="J23" s="1099"/>
      <c r="K23" s="1100"/>
      <c r="L23" s="1101"/>
      <c r="M23" s="1102"/>
      <c r="N23" s="1103"/>
      <c r="O23" s="1104"/>
      <c r="P23" s="669" t="e">
        <f t="shared" si="0"/>
        <v>#REF!</v>
      </c>
      <c r="Q23" s="456">
        <v>8</v>
      </c>
      <c r="R23" s="693"/>
      <c r="S23" s="694"/>
      <c r="T23" s="694"/>
      <c r="U23" s="694"/>
      <c r="V23" s="694"/>
      <c r="W23" s="708"/>
      <c r="X23" s="695"/>
      <c r="Y23" s="696"/>
      <c r="Z23" s="696"/>
      <c r="AA23" s="696"/>
      <c r="AB23" s="696"/>
      <c r="AC23" s="717"/>
      <c r="AD23" s="694"/>
      <c r="AE23" s="694"/>
      <c r="AF23" s="694"/>
      <c r="AG23" s="694"/>
      <c r="AH23" s="694"/>
      <c r="AI23" s="708"/>
      <c r="AJ23" s="501"/>
      <c r="AK23" s="502"/>
      <c r="AL23" s="502"/>
      <c r="AM23" s="502"/>
      <c r="AN23" s="502"/>
      <c r="AO23" s="864"/>
      <c r="AP23" s="501"/>
      <c r="AQ23" s="502"/>
      <c r="AR23" s="502"/>
      <c r="AS23" s="502"/>
      <c r="AT23" s="502"/>
      <c r="AU23" s="864"/>
      <c r="AV23" s="274"/>
      <c r="AW23" s="46"/>
      <c r="AX23" s="46"/>
      <c r="AY23" s="46"/>
      <c r="AZ23" s="46"/>
      <c r="BA23" s="46"/>
      <c r="BB23" s="46"/>
      <c r="BC23" s="46"/>
    </row>
    <row r="24" spans="1:55" ht="21.95" customHeight="1" x14ac:dyDescent="0.2">
      <c r="A24" s="1105" t="s">
        <v>45</v>
      </c>
      <c r="B24" s="1106"/>
      <c r="C24" s="1106"/>
      <c r="D24" s="1106"/>
      <c r="E24" s="171" t="s">
        <v>11</v>
      </c>
      <c r="F24" s="1107" t="s">
        <v>68</v>
      </c>
      <c r="G24" s="1107"/>
      <c r="H24" s="33" t="str">
        <f>IF('748'!N29="","",'748'!N29)</f>
        <v/>
      </c>
      <c r="I24" s="1108" t="s">
        <v>103</v>
      </c>
      <c r="J24" s="1109"/>
      <c r="K24" s="80" t="str">
        <f>IF(E8="","",HLOOKUP($E$8,$R$16:$W$32,Q24,0))</f>
        <v/>
      </c>
      <c r="L24" s="80" t="str">
        <f>IF(K24="","",K24*0.8)</f>
        <v/>
      </c>
      <c r="M24" s="34" t="str">
        <f>IF(K24="","",K24*1.19)</f>
        <v/>
      </c>
      <c r="N24" s="174" t="str">
        <f>IF(E8="","",HLOOKUP($E$8,$AJ$16:$AO$32,Q24,0))</f>
        <v/>
      </c>
      <c r="O24" s="166" t="str">
        <f>IF(E8="","",HLOOKUP($E$8,$AP$16:$AU$32,Q24,0))</f>
        <v/>
      </c>
      <c r="P24" s="669" t="str">
        <f>+IF(H24="","",(IF(AND(H24&gt;N24,H24&lt;O24),"","No cumple")))</f>
        <v/>
      </c>
      <c r="Q24" s="456">
        <v>9</v>
      </c>
      <c r="R24" s="697">
        <v>3.4</v>
      </c>
      <c r="S24" s="698">
        <v>3.2</v>
      </c>
      <c r="T24" s="698">
        <v>3.45</v>
      </c>
      <c r="U24" s="698">
        <v>3.3</v>
      </c>
      <c r="V24" s="698">
        <v>3.5</v>
      </c>
      <c r="W24" s="709">
        <v>4.5</v>
      </c>
      <c r="X24" s="697">
        <f>IF(R24="","",R24*0.8)</f>
        <v>2.72</v>
      </c>
      <c r="Y24" s="698">
        <f>IF(S24="","",S24*0.8)</f>
        <v>2.5600000000000005</v>
      </c>
      <c r="Z24" s="698">
        <f>IF(T24="","",T24*0.8)</f>
        <v>2.7600000000000002</v>
      </c>
      <c r="AA24" s="698">
        <f>IF(U24="","",U24*0.8)</f>
        <v>2.64</v>
      </c>
      <c r="AB24" s="698">
        <f>IF(V24="","",V24*0.8)</f>
        <v>2.8000000000000003</v>
      </c>
      <c r="AC24" s="709" t="s">
        <v>161</v>
      </c>
      <c r="AD24" s="698">
        <f>IF(R24="","",R24*1.19)</f>
        <v>4.0459999999999994</v>
      </c>
      <c r="AE24" s="698">
        <f>IF(S24="","",S24*1.19)</f>
        <v>3.8079999999999998</v>
      </c>
      <c r="AF24" s="698">
        <f>IF(T24="","",T24*1.19)</f>
        <v>4.1055000000000001</v>
      </c>
      <c r="AG24" s="698">
        <f>IF(U24="","",U24*1.19)</f>
        <v>3.9269999999999996</v>
      </c>
      <c r="AH24" s="698">
        <f>IF(V24="","",V24*1.19)</f>
        <v>4.165</v>
      </c>
      <c r="AI24" s="709" t="s">
        <v>161</v>
      </c>
      <c r="AJ24" s="499">
        <v>2</v>
      </c>
      <c r="AK24" s="500">
        <v>2</v>
      </c>
      <c r="AL24" s="500">
        <v>2</v>
      </c>
      <c r="AM24" s="500">
        <v>2</v>
      </c>
      <c r="AN24" s="500">
        <v>2</v>
      </c>
      <c r="AO24" s="863">
        <v>2.5</v>
      </c>
      <c r="AP24" s="929">
        <v>3.5</v>
      </c>
      <c r="AQ24" s="930">
        <v>3.5</v>
      </c>
      <c r="AR24" s="930">
        <v>3.5</v>
      </c>
      <c r="AS24" s="930">
        <v>3.5</v>
      </c>
      <c r="AT24" s="930">
        <v>3.5</v>
      </c>
      <c r="AU24" s="863">
        <v>5.5</v>
      </c>
      <c r="AV24" s="274"/>
      <c r="AW24" s="46"/>
      <c r="AX24" s="46"/>
      <c r="AY24" s="46"/>
      <c r="AZ24" s="46"/>
      <c r="BA24" s="46"/>
      <c r="BB24" s="46"/>
      <c r="BC24" s="46"/>
    </row>
    <row r="25" spans="1:55" ht="21.95" customHeight="1" x14ac:dyDescent="0.2">
      <c r="A25" s="1105" t="s">
        <v>50</v>
      </c>
      <c r="B25" s="1106"/>
      <c r="C25" s="1106"/>
      <c r="D25" s="1106"/>
      <c r="E25" s="35" t="s">
        <v>52</v>
      </c>
      <c r="F25" s="1107" t="s">
        <v>68</v>
      </c>
      <c r="G25" s="1107"/>
      <c r="H25" s="30" t="str">
        <f>+IF(H22="","",H22/H24)</f>
        <v/>
      </c>
      <c r="I25" s="175"/>
      <c r="J25" s="176"/>
      <c r="K25" s="81" t="str">
        <f>IF(E8="","",HLOOKUP($E$8,$R$16:$W$32,Q25,0))</f>
        <v/>
      </c>
      <c r="L25" s="177"/>
      <c r="M25" s="178"/>
      <c r="N25" s="174" t="str">
        <f>IF(E8="","",HLOOKUP($E$8,$AJ$16:$AO$32,Q25,0))</f>
        <v/>
      </c>
      <c r="O25" s="166" t="str">
        <f>IF(E8="","",HLOOKUP($E$8,$AP$16:$AU$32,Q25,0))</f>
        <v/>
      </c>
      <c r="P25" s="669" t="str">
        <f>+IF(H25="","",(IF(AND(H25&gt;N25,H25&lt;O25),"","No cumple")))</f>
        <v/>
      </c>
      <c r="Q25" s="456">
        <v>10</v>
      </c>
      <c r="R25" s="689">
        <v>438</v>
      </c>
      <c r="S25" s="690">
        <v>400</v>
      </c>
      <c r="T25" s="692">
        <f>+T22/T24</f>
        <v>434.78260869565213</v>
      </c>
      <c r="U25" s="690">
        <v>421</v>
      </c>
      <c r="V25" s="690">
        <f>+V22/V24</f>
        <v>420</v>
      </c>
      <c r="W25" s="710">
        <v>324</v>
      </c>
      <c r="X25" s="689"/>
      <c r="Y25" s="690"/>
      <c r="Z25" s="690"/>
      <c r="AA25" s="690"/>
      <c r="AB25" s="690"/>
      <c r="AC25" s="707"/>
      <c r="AD25" s="684"/>
      <c r="AE25" s="684"/>
      <c r="AF25" s="684"/>
      <c r="AG25" s="684"/>
      <c r="AH25" s="684"/>
      <c r="AI25" s="716"/>
      <c r="AJ25" s="496">
        <v>300</v>
      </c>
      <c r="AK25" s="293">
        <v>300</v>
      </c>
      <c r="AL25" s="293">
        <v>300</v>
      </c>
      <c r="AM25" s="293">
        <v>300</v>
      </c>
      <c r="AN25" s="320">
        <v>300</v>
      </c>
      <c r="AO25" s="863" t="s">
        <v>161</v>
      </c>
      <c r="AP25" s="496">
        <v>600</v>
      </c>
      <c r="AQ25" s="293">
        <v>600</v>
      </c>
      <c r="AR25" s="293">
        <v>500</v>
      </c>
      <c r="AS25" s="293">
        <v>500</v>
      </c>
      <c r="AT25" s="320">
        <v>500</v>
      </c>
      <c r="AU25" s="863" t="s">
        <v>161</v>
      </c>
      <c r="AV25" s="57"/>
      <c r="AW25" s="46"/>
      <c r="AX25" s="46"/>
      <c r="AY25" s="46"/>
      <c r="AZ25" s="46"/>
      <c r="BA25" s="46"/>
      <c r="BB25" s="46"/>
      <c r="BC25" s="46"/>
    </row>
    <row r="26" spans="1:55" ht="21.95" customHeight="1" x14ac:dyDescent="0.2">
      <c r="A26" s="1118" t="s">
        <v>66</v>
      </c>
      <c r="B26" s="1119"/>
      <c r="C26" s="1119"/>
      <c r="D26" s="1119"/>
      <c r="E26" s="179" t="s">
        <v>39</v>
      </c>
      <c r="F26" s="1107" t="s">
        <v>99</v>
      </c>
      <c r="G26" s="1107"/>
      <c r="H26" s="33" t="str">
        <f>+IF('748'!N31="","",'748'!N31)</f>
        <v/>
      </c>
      <c r="I26" s="1108" t="s">
        <v>104</v>
      </c>
      <c r="J26" s="1109"/>
      <c r="K26" s="80" t="str">
        <f>IF($E$8="","",HLOOKUP($E$8,$R$16:$W$32,Q26,0))</f>
        <v/>
      </c>
      <c r="L26" s="80" t="str">
        <f>IF(K26="","",K26-0.3)</f>
        <v/>
      </c>
      <c r="M26" s="34" t="str">
        <f>IF(K26="","",K26+0.3)</f>
        <v/>
      </c>
      <c r="N26" s="174" t="str">
        <f>IF(E8="","",HLOOKUP($E$8,$AJ$16:$AO$32,Q26,0))</f>
        <v/>
      </c>
      <c r="O26" s="166" t="str">
        <f>IF(E8="","",HLOOKUP($E$8,$AP$16:$AU$32,Q26,0))</f>
        <v/>
      </c>
      <c r="P26" s="669" t="str">
        <f>+IF(H26="","",(IF(AND(H26&gt;N26,H26&lt;O26),"","No cumple")))</f>
        <v/>
      </c>
      <c r="Q26" s="456">
        <v>11</v>
      </c>
      <c r="R26" s="697">
        <v>5.2</v>
      </c>
      <c r="S26" s="698">
        <v>5</v>
      </c>
      <c r="T26" s="698">
        <v>5.7</v>
      </c>
      <c r="U26" s="698">
        <v>4.5</v>
      </c>
      <c r="V26" s="698">
        <v>4.8</v>
      </c>
      <c r="W26" s="709">
        <v>3.9</v>
      </c>
      <c r="X26" s="697">
        <f>IF(R26="","",3-0.3)</f>
        <v>2.7</v>
      </c>
      <c r="Y26" s="698">
        <f>IF(S26="","",3-0.3)</f>
        <v>2.7</v>
      </c>
      <c r="Z26" s="698">
        <f>IF(T26="","",T26-0.3)</f>
        <v>5.4</v>
      </c>
      <c r="AA26" s="698">
        <f>IF(U26="","",3-0.3)</f>
        <v>2.7</v>
      </c>
      <c r="AB26" s="698">
        <f>IF(V26="","",3-0.3)</f>
        <v>2.7</v>
      </c>
      <c r="AC26" s="709" t="s">
        <v>161</v>
      </c>
      <c r="AD26" s="698">
        <f>IF(R26="","",R26+0.3)</f>
        <v>5.5</v>
      </c>
      <c r="AE26" s="698">
        <f>IF(S26="","",S26+0.3)</f>
        <v>5.3</v>
      </c>
      <c r="AF26" s="698">
        <f>IF(T26="","",T26+0.3)</f>
        <v>6</v>
      </c>
      <c r="AG26" s="698">
        <f>IF(U26="","",U26+0.3)</f>
        <v>4.8</v>
      </c>
      <c r="AH26" s="698">
        <f>IF(V26="","",V26+0.3)</f>
        <v>5.0999999999999996</v>
      </c>
      <c r="AI26" s="709" t="s">
        <v>161</v>
      </c>
      <c r="AJ26" s="499">
        <v>3</v>
      </c>
      <c r="AK26" s="500">
        <v>4</v>
      </c>
      <c r="AL26" s="500">
        <v>3</v>
      </c>
      <c r="AM26" s="500">
        <v>4</v>
      </c>
      <c r="AN26" s="500">
        <v>4</v>
      </c>
      <c r="AO26" s="863">
        <v>3</v>
      </c>
      <c r="AP26" s="499">
        <v>6</v>
      </c>
      <c r="AQ26" s="500">
        <v>6</v>
      </c>
      <c r="AR26" s="500">
        <v>5</v>
      </c>
      <c r="AS26" s="500">
        <v>6</v>
      </c>
      <c r="AT26" s="500">
        <v>5</v>
      </c>
      <c r="AU26" s="863">
        <v>5</v>
      </c>
      <c r="AV26" s="57"/>
      <c r="AW26" s="46"/>
      <c r="AX26" s="46"/>
      <c r="AY26" s="46"/>
      <c r="AZ26" s="46"/>
      <c r="BA26" s="46"/>
      <c r="BB26" s="46"/>
      <c r="BC26" s="46"/>
    </row>
    <row r="27" spans="1:55" ht="21.95" customHeight="1" x14ac:dyDescent="0.2">
      <c r="A27" s="1120" t="s">
        <v>48</v>
      </c>
      <c r="B27" s="1121"/>
      <c r="C27" s="1121"/>
      <c r="D27" s="1121"/>
      <c r="E27" s="826" t="s">
        <v>39</v>
      </c>
      <c r="F27" s="1107" t="s">
        <v>98</v>
      </c>
      <c r="G27" s="1107"/>
      <c r="H27" s="36" t="str">
        <f>+IF(E8="","",'748'!N32)</f>
        <v/>
      </c>
      <c r="I27" s="180"/>
      <c r="J27" s="181"/>
      <c r="K27" s="80" t="str">
        <f>IF($E$8="","",HLOOKUP($E$8,$R$16:$W$32,Q27,0))</f>
        <v/>
      </c>
      <c r="L27" s="182"/>
      <c r="M27" s="183"/>
      <c r="N27" s="174" t="str">
        <f>IF(E8="","",HLOOKUP($E$8,$AJ$16:$AO$32,Q27,0))</f>
        <v/>
      </c>
      <c r="O27" s="166" t="str">
        <f>IF(E8="","",HLOOKUP($E$8,$AP$16:$AU$32,Q27,0))</f>
        <v/>
      </c>
      <c r="P27" s="669" t="str">
        <f>+IF(H27="","",(IF(H27&gt;N27,"","No cumple")))</f>
        <v/>
      </c>
      <c r="Q27" s="456">
        <v>12</v>
      </c>
      <c r="R27" s="699">
        <v>19.399999999999999</v>
      </c>
      <c r="S27" s="700">
        <v>17</v>
      </c>
      <c r="T27" s="700">
        <v>18.5</v>
      </c>
      <c r="U27" s="700">
        <v>14.4</v>
      </c>
      <c r="V27" s="700">
        <v>18.7</v>
      </c>
      <c r="W27" s="711">
        <v>19.3</v>
      </c>
      <c r="X27" s="701"/>
      <c r="Y27" s="702"/>
      <c r="Z27" s="702"/>
      <c r="AA27" s="702"/>
      <c r="AB27" s="702"/>
      <c r="AC27" s="712"/>
      <c r="AD27" s="684"/>
      <c r="AE27" s="684"/>
      <c r="AF27" s="684"/>
      <c r="AG27" s="684"/>
      <c r="AH27" s="684"/>
      <c r="AI27" s="716"/>
      <c r="AJ27" s="505">
        <v>16</v>
      </c>
      <c r="AK27" s="506">
        <v>15</v>
      </c>
      <c r="AL27" s="506">
        <v>15</v>
      </c>
      <c r="AM27" s="506">
        <v>14</v>
      </c>
      <c r="AN27" s="506">
        <v>14</v>
      </c>
      <c r="AO27" s="863" t="s">
        <v>49</v>
      </c>
      <c r="AP27" s="499" t="s">
        <v>49</v>
      </c>
      <c r="AQ27" s="500" t="s">
        <v>49</v>
      </c>
      <c r="AR27" s="500" t="s">
        <v>49</v>
      </c>
      <c r="AS27" s="500" t="s">
        <v>49</v>
      </c>
      <c r="AT27" s="500" t="s">
        <v>49</v>
      </c>
      <c r="AU27" s="863">
        <v>15</v>
      </c>
      <c r="AV27" s="57"/>
      <c r="AW27" s="46"/>
      <c r="AX27" s="46"/>
      <c r="AY27" s="46"/>
      <c r="AZ27" s="46"/>
      <c r="BA27" s="46"/>
      <c r="BB27" s="46"/>
      <c r="BC27" s="46"/>
    </row>
    <row r="28" spans="1:55" ht="21.95" customHeight="1" x14ac:dyDescent="0.2">
      <c r="A28" s="1105" t="s">
        <v>51</v>
      </c>
      <c r="B28" s="1106"/>
      <c r="C28" s="1106"/>
      <c r="D28" s="1106"/>
      <c r="E28" s="826" t="s">
        <v>39</v>
      </c>
      <c r="F28" s="1107" t="s">
        <v>98</v>
      </c>
      <c r="G28" s="1107"/>
      <c r="H28" s="33" t="str">
        <f>+IF(E8="","",'748'!N33)</f>
        <v/>
      </c>
      <c r="I28" s="180"/>
      <c r="J28" s="181"/>
      <c r="K28" s="80" t="str">
        <f>IF($E$8="","",HLOOKUP($E$8,$R$16:$W$32,Q28,0))</f>
        <v/>
      </c>
      <c r="L28" s="182"/>
      <c r="M28" s="183"/>
      <c r="N28" s="174" t="str">
        <f>IF(E8="","",HLOOKUP($E$8,$AJ$16:$AO$32,Q28,0))</f>
        <v/>
      </c>
      <c r="O28" s="166" t="str">
        <f>IF(E8="","",HLOOKUP($E$8,$AP$16:$AU$32,Q28,0))</f>
        <v/>
      </c>
      <c r="P28" s="669" t="str">
        <f>+IF(H28="","",(IF(AND(H28&gt;N28,H28&lt;O28),"","No cumple")))</f>
        <v/>
      </c>
      <c r="Q28" s="456">
        <v>13</v>
      </c>
      <c r="R28" s="701">
        <v>73</v>
      </c>
      <c r="S28" s="700">
        <v>71.5</v>
      </c>
      <c r="T28" s="702">
        <v>68</v>
      </c>
      <c r="U28" s="702">
        <v>69.099999999999994</v>
      </c>
      <c r="V28" s="702">
        <v>75</v>
      </c>
      <c r="W28" s="712">
        <v>79.7</v>
      </c>
      <c r="X28" s="701"/>
      <c r="Y28" s="702"/>
      <c r="Z28" s="702"/>
      <c r="AA28" s="702"/>
      <c r="AB28" s="702"/>
      <c r="AC28" s="712"/>
      <c r="AD28" s="684"/>
      <c r="AE28" s="684"/>
      <c r="AF28" s="684"/>
      <c r="AG28" s="684"/>
      <c r="AH28" s="684"/>
      <c r="AI28" s="716"/>
      <c r="AJ28" s="499">
        <v>65</v>
      </c>
      <c r="AK28" s="500">
        <v>65</v>
      </c>
      <c r="AL28" s="500">
        <v>65</v>
      </c>
      <c r="AM28" s="500">
        <v>65</v>
      </c>
      <c r="AN28" s="500">
        <v>65</v>
      </c>
      <c r="AO28" s="863" t="s">
        <v>161</v>
      </c>
      <c r="AP28" s="499">
        <v>75</v>
      </c>
      <c r="AQ28" s="500">
        <v>75</v>
      </c>
      <c r="AR28" s="500">
        <v>78</v>
      </c>
      <c r="AS28" s="500">
        <v>78</v>
      </c>
      <c r="AT28" s="500">
        <v>78</v>
      </c>
      <c r="AU28" s="863" t="s">
        <v>161</v>
      </c>
      <c r="AV28" s="274"/>
      <c r="AW28" s="46"/>
      <c r="AX28" s="46"/>
      <c r="AY28" s="46"/>
      <c r="AZ28" s="46"/>
      <c r="BA28" s="46"/>
      <c r="BB28" s="46"/>
      <c r="BC28" s="46"/>
    </row>
    <row r="29" spans="1:55" ht="21.95" customHeight="1" x14ac:dyDescent="0.2">
      <c r="A29" s="1105" t="s">
        <v>97</v>
      </c>
      <c r="B29" s="1106"/>
      <c r="C29" s="1106"/>
      <c r="D29" s="1106"/>
      <c r="E29" s="1106"/>
      <c r="F29" s="1106"/>
      <c r="G29" s="1117"/>
      <c r="H29" s="36" t="str">
        <f>+IF('748'!S36="","",('748'!S36/'748'!W33))</f>
        <v/>
      </c>
      <c r="I29" s="180"/>
      <c r="J29" s="181"/>
      <c r="K29" s="80" t="str">
        <f>IF($E$8="","",HLOOKUP($E$8,$R$16:$W$32,Q29,0))</f>
        <v/>
      </c>
      <c r="L29" s="182"/>
      <c r="M29" s="183"/>
      <c r="N29" s="174" t="str">
        <f>IF(E8="","",HLOOKUP($E$8,$AJ$16:$AO$32,Q29,0))</f>
        <v/>
      </c>
      <c r="O29" s="166" t="str">
        <f>IF(E8="","",HLOOKUP($E$8,$AP$16:$AU$32,Q29,0))</f>
        <v/>
      </c>
      <c r="P29" s="669" t="str">
        <f>+IF(H29="","",(IF(AND(H29&gt;N29,H29&lt;O29),"","No cumple")))</f>
        <v/>
      </c>
      <c r="Q29" s="456">
        <v>14</v>
      </c>
      <c r="R29" s="701">
        <v>1.1000000000000001</v>
      </c>
      <c r="S29" s="702">
        <v>1.1000000000000001</v>
      </c>
      <c r="T29" s="702">
        <v>1312</v>
      </c>
      <c r="U29" s="702">
        <v>1.2</v>
      </c>
      <c r="V29" s="702">
        <v>0.98</v>
      </c>
      <c r="W29" s="712">
        <v>1.1000000000000001</v>
      </c>
      <c r="X29" s="701"/>
      <c r="Y29" s="702"/>
      <c r="Z29" s="702"/>
      <c r="AA29" s="702"/>
      <c r="AB29" s="702"/>
      <c r="AC29" s="712"/>
      <c r="AD29" s="684"/>
      <c r="AE29" s="684"/>
      <c r="AF29" s="684"/>
      <c r="AG29" s="684"/>
      <c r="AH29" s="684"/>
      <c r="AI29" s="716"/>
      <c r="AJ29" s="503">
        <v>0.8</v>
      </c>
      <c r="AK29" s="504">
        <v>0.8</v>
      </c>
      <c r="AL29" s="504">
        <v>0.8</v>
      </c>
      <c r="AM29" s="504">
        <v>0.8</v>
      </c>
      <c r="AN29" s="504">
        <v>0.8</v>
      </c>
      <c r="AO29" s="863" t="s">
        <v>161</v>
      </c>
      <c r="AP29" s="499">
        <v>1.2</v>
      </c>
      <c r="AQ29" s="500">
        <v>1.2</v>
      </c>
      <c r="AR29" s="500">
        <v>1.2</v>
      </c>
      <c r="AS29" s="500">
        <v>1.2</v>
      </c>
      <c r="AT29" s="500">
        <v>1.2</v>
      </c>
      <c r="AU29" s="863" t="s">
        <v>161</v>
      </c>
      <c r="AV29" s="274"/>
      <c r="AW29" s="46"/>
      <c r="AX29" s="46"/>
      <c r="AY29" s="46"/>
      <c r="AZ29" s="46"/>
      <c r="BA29" s="46"/>
      <c r="BB29" s="46"/>
      <c r="BC29" s="46"/>
    </row>
    <row r="30" spans="1:55" ht="21.95" customHeight="1" x14ac:dyDescent="0.2">
      <c r="A30" s="869" t="s">
        <v>115</v>
      </c>
      <c r="B30" s="870"/>
      <c r="C30" s="870"/>
      <c r="D30" s="870"/>
      <c r="E30" s="37" t="s">
        <v>102</v>
      </c>
      <c r="F30" s="1107" t="s">
        <v>100</v>
      </c>
      <c r="G30" s="1107"/>
      <c r="H30" s="36" t="str">
        <f>IF(E8="","",'748'!W38)</f>
        <v/>
      </c>
      <c r="I30" s="180"/>
      <c r="J30" s="181"/>
      <c r="K30" s="80" t="str">
        <f>IF($E$8="","",HLOOKUP($E$8,$R$16:$W$32,Q30,0))</f>
        <v/>
      </c>
      <c r="L30" s="182"/>
      <c r="M30" s="183"/>
      <c r="N30" s="174" t="str">
        <f>IF(E8="","",HLOOKUP($E$8,$AJ$16:$AO$32,Q30,0))</f>
        <v/>
      </c>
      <c r="O30" s="166" t="str">
        <f>IF(E8="","",HLOOKUP($E$8,$AP$16:$AU$32,Q30,0))</f>
        <v/>
      </c>
      <c r="P30" s="669" t="str">
        <f>+IF(H30="","",(IF(H30&gt;N30,"","No cumple")))</f>
        <v/>
      </c>
      <c r="Q30" s="456">
        <v>15</v>
      </c>
      <c r="R30" s="845" t="s">
        <v>154</v>
      </c>
      <c r="S30" s="848" t="s">
        <v>154</v>
      </c>
      <c r="T30" s="702">
        <v>7.8</v>
      </c>
      <c r="U30" s="702">
        <v>8.8800000000000008</v>
      </c>
      <c r="V30" s="702">
        <v>7.7</v>
      </c>
      <c r="W30" s="849" t="s">
        <v>376</v>
      </c>
      <c r="X30" s="701"/>
      <c r="Y30" s="702"/>
      <c r="Z30" s="702"/>
      <c r="AA30" s="702"/>
      <c r="AB30" s="702"/>
      <c r="AC30" s="712"/>
      <c r="AD30" s="684"/>
      <c r="AE30" s="684"/>
      <c r="AF30" s="684"/>
      <c r="AG30" s="684"/>
      <c r="AH30" s="684"/>
      <c r="AI30" s="716"/>
      <c r="AJ30" s="499">
        <v>7.5</v>
      </c>
      <c r="AK30" s="500">
        <v>7.5</v>
      </c>
      <c r="AL30" s="500">
        <v>7.5</v>
      </c>
      <c r="AM30" s="500">
        <v>7.5</v>
      </c>
      <c r="AN30" s="500">
        <v>7.5</v>
      </c>
      <c r="AO30" s="863">
        <v>7.5</v>
      </c>
      <c r="AP30" s="499" t="s">
        <v>49</v>
      </c>
      <c r="AQ30" s="500" t="s">
        <v>49</v>
      </c>
      <c r="AR30" s="500" t="s">
        <v>49</v>
      </c>
      <c r="AS30" s="500" t="s">
        <v>49</v>
      </c>
      <c r="AT30" s="500" t="s">
        <v>49</v>
      </c>
      <c r="AU30" s="863" t="s">
        <v>49</v>
      </c>
      <c r="AV30" s="274"/>
      <c r="AW30" s="46"/>
      <c r="AX30" s="46"/>
      <c r="AY30" s="46"/>
      <c r="AZ30" s="46"/>
      <c r="BA30" s="46"/>
      <c r="BB30" s="46"/>
      <c r="BC30" s="46"/>
    </row>
    <row r="31" spans="1:55" ht="21.95" customHeight="1" x14ac:dyDescent="0.2">
      <c r="A31" s="451" t="s">
        <v>322</v>
      </c>
      <c r="B31" s="452"/>
      <c r="C31" s="452"/>
      <c r="D31" s="452"/>
      <c r="E31" s="165"/>
      <c r="F31" s="1107" t="s">
        <v>96</v>
      </c>
      <c r="G31" s="1107"/>
      <c r="H31" s="38" t="str">
        <f>IF(E8="","",'748'!R24)</f>
        <v/>
      </c>
      <c r="I31" s="1103"/>
      <c r="J31" s="1124"/>
      <c r="K31" s="79" t="str">
        <f>IF(E8="","",HLOOKUP($E$8,$R$16:$W$32,Q31,0))</f>
        <v/>
      </c>
      <c r="L31" s="81"/>
      <c r="M31" s="39" t="str">
        <f>K31</f>
        <v/>
      </c>
      <c r="N31" s="1103"/>
      <c r="O31" s="1104"/>
      <c r="P31" s="669" t="str">
        <f>+IF(H31="","",(IF(H31&lt;M31,"","No cumple")))</f>
        <v/>
      </c>
      <c r="Q31" s="456">
        <v>16</v>
      </c>
      <c r="R31" s="689">
        <v>8.8000000000000007</v>
      </c>
      <c r="S31" s="806">
        <v>8.8000000000000007</v>
      </c>
      <c r="T31" s="690">
        <v>0.31</v>
      </c>
      <c r="U31" s="690">
        <v>0.27</v>
      </c>
      <c r="V31" s="690">
        <v>0.28699999999999998</v>
      </c>
      <c r="W31" s="713">
        <v>8.8000000000000007</v>
      </c>
      <c r="X31" s="691" t="s">
        <v>49</v>
      </c>
      <c r="Y31" s="692" t="s">
        <v>49</v>
      </c>
      <c r="Z31" s="692" t="s">
        <v>49</v>
      </c>
      <c r="AA31" s="692" t="s">
        <v>49</v>
      </c>
      <c r="AB31" s="692" t="s">
        <v>49</v>
      </c>
      <c r="AC31" s="710" t="s">
        <v>161</v>
      </c>
      <c r="AD31" s="690">
        <f>R31</f>
        <v>8.8000000000000007</v>
      </c>
      <c r="AE31" s="690">
        <f>S31</f>
        <v>8.8000000000000007</v>
      </c>
      <c r="AF31" s="690">
        <f>T31</f>
        <v>0.31</v>
      </c>
      <c r="AG31" s="690">
        <f>U31</f>
        <v>0.27</v>
      </c>
      <c r="AH31" s="690">
        <f>V31</f>
        <v>0.28699999999999998</v>
      </c>
      <c r="AI31" s="707" t="s">
        <v>161</v>
      </c>
      <c r="AJ31" s="501"/>
      <c r="AK31" s="502"/>
      <c r="AL31" s="502"/>
      <c r="AM31" s="502"/>
      <c r="AN31" s="502"/>
      <c r="AO31" s="721"/>
      <c r="AP31" s="501"/>
      <c r="AQ31" s="502"/>
      <c r="AR31" s="502"/>
      <c r="AS31" s="502"/>
      <c r="AT31" s="502"/>
      <c r="AU31" s="864"/>
      <c r="AV31" s="57"/>
      <c r="AW31" s="46"/>
      <c r="AX31" s="46"/>
      <c r="AY31" s="46"/>
      <c r="AZ31" s="46"/>
      <c r="BA31" s="46"/>
      <c r="BB31" s="46"/>
      <c r="BC31" s="46"/>
    </row>
    <row r="32" spans="1:55" ht="21.95" customHeight="1" x14ac:dyDescent="0.2">
      <c r="A32" s="1125" t="s">
        <v>116</v>
      </c>
      <c r="B32" s="1126"/>
      <c r="C32" s="1126"/>
      <c r="D32" s="1126"/>
      <c r="E32" s="1126"/>
      <c r="F32" s="1127" t="s">
        <v>87</v>
      </c>
      <c r="G32" s="1127"/>
      <c r="H32" s="103" t="str">
        <f>+IF('733 - 735'!G30="","",'733 - 735'!G30)</f>
        <v/>
      </c>
      <c r="I32" s="1128" t="str">
        <f>IF(E8="","",HLOOKUP($E$8,$R$16:$W$32,Q32,0))</f>
        <v/>
      </c>
      <c r="J32" s="1129"/>
      <c r="K32" s="1129" t="e">
        <f>#REF!</f>
        <v>#REF!</v>
      </c>
      <c r="L32" s="1129" t="s">
        <v>49</v>
      </c>
      <c r="M32" s="1130" t="e">
        <f>K32</f>
        <v>#REF!</v>
      </c>
      <c r="N32" s="1128" t="str">
        <f>IF(E8="","",HLOOKUP($E$8,$AJ$16:$AO$32,Q32,0))</f>
        <v/>
      </c>
      <c r="O32" s="1131"/>
      <c r="P32" s="670"/>
      <c r="Q32" s="456">
        <v>17</v>
      </c>
      <c r="R32" s="703" t="s">
        <v>124</v>
      </c>
      <c r="S32" s="704" t="s">
        <v>124</v>
      </c>
      <c r="T32" s="704" t="s">
        <v>161</v>
      </c>
      <c r="U32" s="704" t="s">
        <v>124</v>
      </c>
      <c r="V32" s="704" t="s">
        <v>124</v>
      </c>
      <c r="W32" s="714" t="s">
        <v>124</v>
      </c>
      <c r="X32" s="703"/>
      <c r="Y32" s="704"/>
      <c r="Z32" s="704"/>
      <c r="AA32" s="704"/>
      <c r="AB32" s="704"/>
      <c r="AC32" s="714"/>
      <c r="AD32" s="704"/>
      <c r="AE32" s="704"/>
      <c r="AF32" s="704"/>
      <c r="AG32" s="704"/>
      <c r="AH32" s="704"/>
      <c r="AI32" s="714"/>
      <c r="AJ32" s="507" t="s">
        <v>161</v>
      </c>
      <c r="AK32" s="508" t="s">
        <v>161</v>
      </c>
      <c r="AL32" s="508" t="s">
        <v>161</v>
      </c>
      <c r="AM32" s="508" t="s">
        <v>161</v>
      </c>
      <c r="AN32" s="508" t="s">
        <v>161</v>
      </c>
      <c r="AO32" s="722"/>
      <c r="AP32" s="507" t="s">
        <v>161</v>
      </c>
      <c r="AQ32" s="508" t="s">
        <v>161</v>
      </c>
      <c r="AR32" s="508" t="s">
        <v>161</v>
      </c>
      <c r="AS32" s="508" t="s">
        <v>161</v>
      </c>
      <c r="AT32" s="508" t="s">
        <v>161</v>
      </c>
      <c r="AU32" s="722"/>
      <c r="AV32" s="57"/>
      <c r="AW32" s="46"/>
      <c r="AX32" s="46"/>
      <c r="AY32" s="46"/>
      <c r="AZ32" s="46"/>
      <c r="BA32" s="46"/>
      <c r="BB32" s="46"/>
      <c r="BC32" s="46"/>
    </row>
    <row r="33" spans="1:59" ht="18" customHeight="1" x14ac:dyDescent="0.2">
      <c r="A33" s="1122" t="s">
        <v>3</v>
      </c>
      <c r="B33" s="1123"/>
      <c r="C33" s="1132" t="str">
        <f>+IF(E8=Z8,CONCATENATE(P33,Q34,P34,", ",P35,Q35),"")</f>
        <v/>
      </c>
      <c r="D33" s="1132"/>
      <c r="E33" s="1132"/>
      <c r="F33" s="1132"/>
      <c r="G33" s="1132"/>
      <c r="H33" s="1132"/>
      <c r="I33" s="1132"/>
      <c r="J33" s="1132"/>
      <c r="K33" s="1132"/>
      <c r="L33" s="1132"/>
      <c r="M33" s="1132"/>
      <c r="N33" s="1132"/>
      <c r="O33" s="1133"/>
      <c r="P33" s="509" t="s">
        <v>365</v>
      </c>
      <c r="Q33" s="456"/>
      <c r="R33" s="456"/>
      <c r="S33" s="456"/>
      <c r="T33" s="456"/>
      <c r="U33" s="456"/>
      <c r="V33" s="456"/>
      <c r="W33" s="456"/>
      <c r="X33" s="456"/>
      <c r="Y33" s="456"/>
      <c r="Z33" s="456"/>
      <c r="AA33" s="456"/>
      <c r="AB33" s="456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  <c r="AP33" s="456"/>
      <c r="AQ33" s="456"/>
      <c r="AR33" s="456"/>
      <c r="AS33" s="456"/>
      <c r="AT33" s="456"/>
      <c r="AU33" s="456"/>
      <c r="AV33" s="46"/>
      <c r="AW33" s="46"/>
      <c r="AX33" s="46"/>
      <c r="AY33" s="46"/>
      <c r="AZ33" s="46"/>
      <c r="BA33" s="46"/>
      <c r="BB33" s="46"/>
      <c r="BC33" s="46"/>
    </row>
    <row r="34" spans="1:59" ht="39.75" customHeight="1" x14ac:dyDescent="0.2">
      <c r="A34" s="831"/>
      <c r="B34" s="832"/>
      <c r="C34" s="1134"/>
      <c r="D34" s="1134"/>
      <c r="E34" s="1134"/>
      <c r="F34" s="1134"/>
      <c r="G34" s="1134"/>
      <c r="H34" s="1134"/>
      <c r="I34" s="1134"/>
      <c r="J34" s="1134"/>
      <c r="K34" s="1134"/>
      <c r="L34" s="1134"/>
      <c r="M34" s="1134"/>
      <c r="N34" s="1134"/>
      <c r="O34" s="1135"/>
      <c r="P34" s="827" t="s">
        <v>366</v>
      </c>
      <c r="Q34" s="830"/>
      <c r="R34" s="456"/>
      <c r="S34" s="456"/>
      <c r="T34" s="456"/>
      <c r="U34" s="456"/>
      <c r="V34" s="456"/>
      <c r="W34" s="456"/>
      <c r="X34" s="456"/>
      <c r="Y34" s="456"/>
      <c r="Z34" s="456"/>
      <c r="AA34" s="456"/>
      <c r="AB34" s="456"/>
      <c r="AC34" s="456"/>
      <c r="AD34" s="456"/>
      <c r="AE34" s="456"/>
      <c r="AF34" s="456"/>
      <c r="AG34" s="456"/>
      <c r="AH34" s="456"/>
      <c r="AI34" s="456"/>
      <c r="AJ34" s="456"/>
      <c r="AK34" s="456"/>
      <c r="AL34" s="456"/>
      <c r="AM34" s="456"/>
      <c r="AN34" s="456"/>
      <c r="AO34" s="456"/>
      <c r="AP34" s="456"/>
      <c r="AQ34" s="456"/>
      <c r="AR34" s="456"/>
      <c r="AS34" s="456"/>
      <c r="AT34" s="456"/>
      <c r="AU34" s="456"/>
      <c r="AV34" s="46"/>
      <c r="AW34" s="46"/>
      <c r="AX34" s="46"/>
      <c r="AY34" s="46"/>
      <c r="AZ34" s="46"/>
      <c r="BA34" s="46"/>
      <c r="BB34" s="46"/>
      <c r="BC34" s="46"/>
    </row>
    <row r="35" spans="1:59" ht="14.1" customHeight="1" x14ac:dyDescent="0.2">
      <c r="A35" s="1114" t="s">
        <v>245</v>
      </c>
      <c r="B35" s="1115"/>
      <c r="C35" s="1115"/>
      <c r="D35" s="1115"/>
      <c r="E35" s="1115"/>
      <c r="F35" s="1115"/>
      <c r="G35" s="1115"/>
      <c r="H35" s="1116"/>
      <c r="I35" s="1114" t="s">
        <v>9</v>
      </c>
      <c r="J35" s="1115"/>
      <c r="K35" s="1115"/>
      <c r="L35" s="1115"/>
      <c r="M35" s="1115"/>
      <c r="N35" s="1115"/>
      <c r="O35" s="1116"/>
      <c r="P35" s="829" t="s">
        <v>367</v>
      </c>
      <c r="Q35" s="828"/>
      <c r="R35" s="456"/>
      <c r="S35" s="456"/>
      <c r="T35" s="456"/>
      <c r="U35" s="456"/>
      <c r="V35" s="456"/>
      <c r="W35" s="456"/>
      <c r="X35" s="456"/>
      <c r="Y35" s="456"/>
      <c r="Z35" s="456"/>
      <c r="AA35" s="456"/>
      <c r="AB35" s="456"/>
      <c r="AC35" s="456"/>
      <c r="AD35" s="456"/>
      <c r="AE35" s="456"/>
      <c r="AF35" s="456"/>
      <c r="AG35" s="456"/>
      <c r="AH35" s="456"/>
      <c r="AI35" s="456"/>
      <c r="AJ35" s="456"/>
      <c r="AK35" s="456"/>
      <c r="AL35" s="456"/>
      <c r="AM35" s="456"/>
      <c r="AN35" s="456"/>
      <c r="AO35" s="456"/>
      <c r="AP35" s="456"/>
      <c r="AQ35" s="456"/>
      <c r="AR35" s="456"/>
      <c r="AS35" s="456"/>
      <c r="AT35" s="456"/>
      <c r="AU35" s="456"/>
      <c r="AV35" s="46"/>
      <c r="AW35" s="46"/>
      <c r="AX35" s="46"/>
      <c r="AY35" s="46"/>
      <c r="AZ35" s="46"/>
      <c r="BA35" s="46"/>
      <c r="BB35" s="46"/>
      <c r="BC35" s="46"/>
    </row>
    <row r="36" spans="1:59" ht="39.950000000000003" customHeight="1" x14ac:dyDescent="0.2">
      <c r="A36" s="1139"/>
      <c r="B36" s="1140"/>
      <c r="C36" s="1140"/>
      <c r="D36" s="1140"/>
      <c r="E36" s="1140"/>
      <c r="F36" s="1140"/>
      <c r="G36" s="1140"/>
      <c r="H36" s="1141"/>
      <c r="I36" s="1139"/>
      <c r="J36" s="1140"/>
      <c r="K36" s="1140"/>
      <c r="L36" s="1140"/>
      <c r="M36" s="1140"/>
      <c r="N36" s="1140"/>
      <c r="O36" s="1141"/>
      <c r="P36" s="138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</row>
    <row r="37" spans="1:59" ht="14.1" customHeight="1" x14ac:dyDescent="0.2">
      <c r="A37" s="1142" t="s">
        <v>154</v>
      </c>
      <c r="B37" s="1143"/>
      <c r="C37" s="1143"/>
      <c r="D37" s="1143"/>
      <c r="E37" s="1143"/>
      <c r="F37" s="1143"/>
      <c r="G37" s="1143"/>
      <c r="H37" s="1144"/>
      <c r="I37" s="1142" t="s">
        <v>154</v>
      </c>
      <c r="J37" s="1143"/>
      <c r="K37" s="1143"/>
      <c r="L37" s="1143"/>
      <c r="M37" s="1143"/>
      <c r="N37" s="1143"/>
      <c r="O37" s="1144"/>
      <c r="P37" s="138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</row>
    <row r="38" spans="1:59" ht="14.1" customHeight="1" x14ac:dyDescent="0.2">
      <c r="A38" s="1145" t="str">
        <f>IF(A37="--","",VLOOKUP(A37,firmas!A31:B34,2,0))</f>
        <v/>
      </c>
      <c r="B38" s="1146"/>
      <c r="C38" s="1146"/>
      <c r="D38" s="1146"/>
      <c r="E38" s="1146"/>
      <c r="F38" s="1146"/>
      <c r="G38" s="1146"/>
      <c r="H38" s="1147"/>
      <c r="I38" s="1145" t="str">
        <f>IF(I37="--","",VLOOKUP(I37,firmas!$A$36:$B$37,2,0))</f>
        <v/>
      </c>
      <c r="J38" s="1146"/>
      <c r="K38" s="1146"/>
      <c r="L38" s="1146"/>
      <c r="M38" s="1146"/>
      <c r="N38" s="1146"/>
      <c r="O38" s="1147"/>
      <c r="P38" s="138"/>
      <c r="Q38" s="46"/>
      <c r="R38" s="46"/>
      <c r="S38" s="139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</row>
    <row r="39" spans="1:59" ht="27.95" customHeight="1" x14ac:dyDescent="0.2">
      <c r="A39" s="1138" t="s">
        <v>200</v>
      </c>
      <c r="B39" s="1138"/>
      <c r="C39" s="1138"/>
      <c r="D39" s="1138"/>
      <c r="E39" s="1138"/>
      <c r="F39" s="1138"/>
      <c r="G39" s="1138"/>
      <c r="H39" s="1138"/>
      <c r="I39" s="1138"/>
      <c r="J39" s="1138"/>
      <c r="K39" s="1138"/>
      <c r="L39" s="1138"/>
      <c r="M39" s="1138"/>
      <c r="N39" s="1138"/>
      <c r="O39" s="1138"/>
      <c r="P39" s="58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</row>
    <row r="40" spans="1:59" ht="27.95" customHeight="1" x14ac:dyDescent="0.2">
      <c r="A40" s="1151" t="s">
        <v>247</v>
      </c>
      <c r="B40" s="1151"/>
      <c r="C40" s="1151"/>
      <c r="D40" s="1151"/>
      <c r="E40" s="1151"/>
      <c r="F40" s="1151"/>
      <c r="G40" s="1151"/>
      <c r="H40" s="1151"/>
      <c r="I40" s="1151"/>
      <c r="J40" s="1151"/>
      <c r="K40" s="1151"/>
      <c r="L40" s="1151"/>
      <c r="M40" s="1151"/>
      <c r="N40" s="1151"/>
      <c r="O40" s="1151"/>
      <c r="R40" s="46"/>
      <c r="S40" s="46"/>
      <c r="T40" s="3"/>
      <c r="U40" s="4"/>
      <c r="V40" s="4"/>
      <c r="W40" s="4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57"/>
      <c r="AM40" s="296"/>
      <c r="AN40" s="128"/>
      <c r="AO40" s="128"/>
      <c r="AP40" s="216"/>
      <c r="AQ40" s="216"/>
      <c r="AR40" s="216"/>
      <c r="AS40" s="216"/>
      <c r="AT40" s="195"/>
      <c r="AU40" s="195"/>
      <c r="AV40" s="128"/>
      <c r="AW40" s="216"/>
      <c r="AX40" s="216"/>
      <c r="AY40" s="216"/>
      <c r="AZ40" s="216"/>
      <c r="BA40" s="216"/>
      <c r="BB40" s="195"/>
      <c r="BC40" s="195"/>
      <c r="BD40" s="211"/>
      <c r="BE40" s="211"/>
      <c r="BF40" s="211"/>
      <c r="BG40" s="211"/>
    </row>
    <row r="41" spans="1:59" ht="27.95" customHeight="1" x14ac:dyDescent="0.2">
      <c r="A41" s="94"/>
      <c r="B41" s="94"/>
      <c r="R41" s="46"/>
      <c r="S41" s="46"/>
      <c r="T41" s="3"/>
      <c r="U41" s="4"/>
      <c r="V41" s="4"/>
      <c r="W41" s="4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57"/>
      <c r="AM41" s="296"/>
      <c r="AN41" s="128"/>
      <c r="AO41" s="128"/>
      <c r="AP41" s="216"/>
      <c r="AQ41" s="216"/>
      <c r="AR41" s="216"/>
      <c r="AS41" s="216"/>
      <c r="AT41" s="195"/>
      <c r="AU41" s="195"/>
      <c r="AV41" s="128"/>
      <c r="AW41" s="297"/>
      <c r="AX41" s="297"/>
      <c r="AY41" s="297"/>
      <c r="AZ41" s="297"/>
      <c r="BA41" s="297"/>
      <c r="BB41" s="195"/>
      <c r="BC41" s="195"/>
      <c r="BD41" s="211"/>
      <c r="BE41" s="211"/>
      <c r="BF41" s="211"/>
      <c r="BG41" s="211"/>
    </row>
    <row r="42" spans="1:59" ht="12.95" customHeight="1" x14ac:dyDescent="0.2">
      <c r="A42" s="1136"/>
      <c r="B42" s="1137"/>
      <c r="C42" s="1137"/>
      <c r="D42" s="100"/>
      <c r="R42" s="46"/>
      <c r="S42" s="46"/>
      <c r="T42" s="5"/>
      <c r="U42" s="6"/>
      <c r="V42" s="6"/>
      <c r="W42" s="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57"/>
      <c r="AM42" s="296"/>
      <c r="AN42" s="128"/>
      <c r="AO42" s="128"/>
      <c r="AP42" s="128"/>
      <c r="AQ42" s="128"/>
      <c r="AR42" s="128"/>
      <c r="AS42" s="128"/>
      <c r="AT42" s="195"/>
      <c r="AU42" s="195"/>
      <c r="AV42" s="128"/>
      <c r="AW42" s="215"/>
      <c r="AX42" s="128"/>
      <c r="AY42" s="128"/>
      <c r="AZ42" s="128"/>
      <c r="BA42" s="195"/>
      <c r="BB42" s="195"/>
      <c r="BC42" s="195"/>
      <c r="BD42" s="211"/>
      <c r="BE42" s="211"/>
      <c r="BF42" s="211"/>
      <c r="BG42" s="211"/>
    </row>
    <row r="43" spans="1:59" ht="12" customHeight="1" x14ac:dyDescent="0.2">
      <c r="A43" s="1136"/>
      <c r="B43" s="1137"/>
      <c r="C43" s="1137"/>
      <c r="D43" s="75"/>
      <c r="R43" s="46"/>
      <c r="S43" s="46"/>
      <c r="T43" s="3"/>
      <c r="U43" s="4"/>
      <c r="V43" s="4"/>
      <c r="W43" s="4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57"/>
      <c r="AM43" s="296"/>
      <c r="AN43" s="195"/>
      <c r="AO43" s="195"/>
      <c r="AP43" s="195"/>
      <c r="AQ43" s="195"/>
      <c r="AR43" s="195"/>
      <c r="AS43" s="195"/>
      <c r="AT43" s="195"/>
      <c r="AU43" s="195"/>
      <c r="AV43" s="195"/>
      <c r="AW43" s="216"/>
      <c r="AX43" s="195"/>
      <c r="AY43" s="195"/>
      <c r="AZ43" s="195"/>
      <c r="BA43" s="195"/>
      <c r="BB43" s="195"/>
      <c r="BC43" s="195"/>
      <c r="BD43" s="211"/>
      <c r="BE43" s="211"/>
      <c r="BF43" s="211"/>
      <c r="BG43" s="211"/>
    </row>
    <row r="44" spans="1:59" ht="15.75" x14ac:dyDescent="0.2">
      <c r="A44" s="1136"/>
      <c r="B44" s="1137"/>
      <c r="C44" s="1137"/>
      <c r="D44" s="75"/>
      <c r="R44" s="46"/>
      <c r="S44" s="46"/>
      <c r="T44" s="3"/>
      <c r="U44" s="4"/>
      <c r="V44" s="4"/>
      <c r="W44" s="4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57"/>
      <c r="AM44" s="296"/>
      <c r="AN44" s="195"/>
      <c r="AO44" s="195"/>
      <c r="AP44" s="195"/>
      <c r="AQ44" s="195"/>
      <c r="AR44" s="195"/>
      <c r="AS44" s="195"/>
      <c r="AT44" s="195"/>
      <c r="AU44" s="195"/>
      <c r="AV44" s="195"/>
      <c r="AW44" s="216"/>
      <c r="AX44" s="195"/>
      <c r="AY44" s="195"/>
      <c r="AZ44" s="195"/>
      <c r="BA44" s="195"/>
      <c r="BB44" s="195"/>
      <c r="BC44" s="195"/>
      <c r="BD44" s="211"/>
      <c r="BE44" s="211"/>
      <c r="BF44" s="211"/>
      <c r="BG44" s="211"/>
    </row>
    <row r="45" spans="1:59" ht="15.75" x14ac:dyDescent="0.2">
      <c r="A45" s="1136"/>
      <c r="B45" s="1137"/>
      <c r="C45" s="1137"/>
      <c r="D45" s="75"/>
      <c r="P45" s="46"/>
      <c r="Q45" s="46"/>
      <c r="R45" s="46"/>
      <c r="S45" s="46"/>
      <c r="T45" s="3"/>
      <c r="U45" s="4"/>
      <c r="V45" s="4"/>
      <c r="W45" s="4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295"/>
      <c r="BE45" s="295"/>
      <c r="BF45" s="295"/>
      <c r="BG45" s="295"/>
    </row>
    <row r="46" spans="1:59" ht="15.75" x14ac:dyDescent="0.2">
      <c r="A46" s="1136"/>
      <c r="B46" s="1137"/>
      <c r="C46" s="1137"/>
      <c r="D46" s="75"/>
      <c r="P46" s="46"/>
      <c r="Q46" s="46"/>
      <c r="R46" s="46"/>
      <c r="S46" s="46"/>
      <c r="T46" s="3"/>
      <c r="U46" s="4"/>
      <c r="V46" s="4"/>
      <c r="W46" s="4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295"/>
      <c r="BE46" s="295"/>
      <c r="BF46" s="295"/>
      <c r="BG46" s="295"/>
    </row>
    <row r="47" spans="1:59" ht="15.75" x14ac:dyDescent="0.2">
      <c r="A47" s="1136"/>
      <c r="B47" s="1137"/>
      <c r="C47" s="1137"/>
      <c r="D47" s="75"/>
      <c r="P47" s="46"/>
      <c r="Q47" s="46"/>
      <c r="R47" s="46"/>
      <c r="S47" s="46"/>
      <c r="T47" s="3"/>
      <c r="U47" s="4"/>
      <c r="V47" s="4"/>
      <c r="W47" s="4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295"/>
      <c r="BE47" s="295"/>
      <c r="BF47" s="295"/>
      <c r="BG47" s="295"/>
    </row>
    <row r="48" spans="1:59" ht="15.75" x14ac:dyDescent="0.2">
      <c r="A48" s="1136"/>
      <c r="B48" s="1137"/>
      <c r="C48" s="1137"/>
      <c r="D48" s="75"/>
      <c r="P48" s="46"/>
      <c r="Q48" s="46"/>
      <c r="R48" s="46"/>
      <c r="S48" s="46"/>
      <c r="T48" s="3"/>
      <c r="U48" s="4"/>
      <c r="V48" s="4"/>
      <c r="W48" s="4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</row>
    <row r="49" spans="1:55" ht="15.75" x14ac:dyDescent="0.2">
      <c r="A49" s="1136"/>
      <c r="B49" s="1137"/>
      <c r="C49" s="1137"/>
      <c r="D49" s="75"/>
      <c r="P49" s="46"/>
      <c r="Q49" s="46"/>
      <c r="R49" s="46"/>
      <c r="S49" s="46"/>
      <c r="T49" s="3"/>
      <c r="U49" s="4"/>
      <c r="V49" s="4"/>
      <c r="W49" s="4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57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</row>
    <row r="50" spans="1:55" ht="15.75" x14ac:dyDescent="0.2">
      <c r="A50" s="1136"/>
      <c r="B50" s="1137"/>
      <c r="C50" s="1137"/>
      <c r="D50" s="75"/>
      <c r="P50" s="46"/>
      <c r="Q50" s="46"/>
      <c r="R50" s="46"/>
      <c r="S50" s="46"/>
      <c r="T50" s="3"/>
      <c r="U50" s="4"/>
      <c r="V50" s="4"/>
      <c r="W50" s="4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57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</row>
    <row r="51" spans="1:55" ht="15.75" x14ac:dyDescent="0.2">
      <c r="A51" s="1136"/>
      <c r="B51" s="1137"/>
      <c r="C51" s="1137"/>
      <c r="D51" s="75"/>
      <c r="P51" s="46"/>
      <c r="Q51" s="46"/>
      <c r="R51" s="46"/>
      <c r="S51" s="46"/>
      <c r="T51" s="3"/>
      <c r="U51" s="4"/>
      <c r="V51" s="4"/>
      <c r="W51" s="4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</row>
    <row r="52" spans="1:55" ht="15.75" x14ac:dyDescent="0.2">
      <c r="A52" s="1136"/>
      <c r="B52" s="1137"/>
      <c r="C52" s="1137"/>
      <c r="D52" s="75"/>
      <c r="P52" s="46"/>
      <c r="Q52" s="46"/>
      <c r="R52" s="46"/>
      <c r="S52" s="46"/>
      <c r="T52" s="3"/>
      <c r="U52" s="4"/>
      <c r="V52" s="4"/>
      <c r="W52" s="4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</row>
    <row r="53" spans="1:55" ht="15.75" x14ac:dyDescent="0.2">
      <c r="A53" s="1136"/>
      <c r="B53" s="1137"/>
      <c r="C53" s="1137"/>
      <c r="D53" s="75"/>
      <c r="P53" s="46"/>
      <c r="Q53" s="46"/>
      <c r="R53" s="46"/>
      <c r="S53" s="46"/>
      <c r="T53" s="3"/>
      <c r="U53" s="4"/>
      <c r="V53" s="4"/>
      <c r="W53" s="4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</row>
    <row r="54" spans="1:55" ht="15.75" x14ac:dyDescent="0.2">
      <c r="A54" s="1136"/>
      <c r="B54" s="1137"/>
      <c r="C54" s="1137"/>
      <c r="D54" s="75"/>
      <c r="P54" s="46"/>
      <c r="Q54" s="46"/>
      <c r="R54" s="46"/>
      <c r="S54" s="46"/>
      <c r="T54" s="3"/>
      <c r="U54" s="4"/>
      <c r="V54" s="4"/>
      <c r="W54" s="4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</row>
    <row r="55" spans="1:55" ht="15.75" x14ac:dyDescent="0.2">
      <c r="A55" s="1136"/>
      <c r="B55" s="1137"/>
      <c r="C55" s="1137"/>
      <c r="D55" s="75"/>
      <c r="P55" s="46"/>
      <c r="Q55" s="46"/>
      <c r="R55" s="46"/>
      <c r="S55" s="46"/>
      <c r="T55" s="3"/>
      <c r="U55" s="4"/>
      <c r="V55" s="4"/>
      <c r="W55" s="4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</row>
    <row r="56" spans="1:55" ht="15.75" x14ac:dyDescent="0.2">
      <c r="A56" s="1136"/>
      <c r="B56" s="1137"/>
      <c r="C56" s="1137"/>
      <c r="D56" s="75"/>
      <c r="P56" s="46"/>
      <c r="Q56" s="46"/>
      <c r="R56" s="46"/>
      <c r="S56" s="46"/>
      <c r="T56" s="3"/>
      <c r="U56" s="4"/>
      <c r="V56" s="4"/>
      <c r="W56" s="4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</row>
    <row r="57" spans="1:55" ht="15.75" x14ac:dyDescent="0.2">
      <c r="A57" s="1136"/>
      <c r="B57" s="1137"/>
      <c r="C57" s="1137"/>
      <c r="D57" s="75"/>
      <c r="P57" s="46"/>
      <c r="Q57" s="46"/>
      <c r="R57" s="46"/>
      <c r="S57" s="46"/>
      <c r="T57" s="3"/>
      <c r="U57" s="4"/>
      <c r="V57" s="4"/>
      <c r="W57" s="4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</row>
    <row r="58" spans="1:55" ht="15.75" x14ac:dyDescent="0.2">
      <c r="A58" s="1136"/>
      <c r="B58" s="1137"/>
      <c r="C58" s="1137"/>
      <c r="D58" s="75"/>
      <c r="P58" s="46"/>
      <c r="Q58" s="46"/>
      <c r="R58" s="46"/>
      <c r="S58" s="46"/>
      <c r="T58" s="5"/>
      <c r="U58" s="6"/>
      <c r="V58" s="6"/>
      <c r="W58" s="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</row>
    <row r="59" spans="1:55" ht="15.75" x14ac:dyDescent="0.2">
      <c r="A59" s="1136"/>
      <c r="B59" s="1137"/>
      <c r="C59" s="1137"/>
      <c r="D59" s="75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</row>
    <row r="60" spans="1:55" ht="15.75" x14ac:dyDescent="0.2">
      <c r="A60" s="1136"/>
      <c r="B60" s="1137"/>
      <c r="C60" s="1137"/>
      <c r="D60" s="75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</row>
    <row r="61" spans="1:55" ht="15.75" x14ac:dyDescent="0.2">
      <c r="A61" s="1136"/>
      <c r="B61" s="1137"/>
      <c r="C61" s="1137"/>
      <c r="D61" s="75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</row>
    <row r="62" spans="1:55" ht="15.75" x14ac:dyDescent="0.2">
      <c r="A62" s="1136"/>
      <c r="B62" s="1137"/>
      <c r="C62" s="1137"/>
      <c r="D62" s="75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</row>
    <row r="63" spans="1:55" ht="15.75" x14ac:dyDescent="0.2">
      <c r="A63" s="1136"/>
      <c r="B63" s="1137"/>
      <c r="C63" s="1137"/>
      <c r="D63" s="75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</row>
    <row r="64" spans="1:55" ht="15.75" x14ac:dyDescent="0.2">
      <c r="A64" s="1136"/>
      <c r="B64" s="1137"/>
      <c r="C64" s="1137"/>
      <c r="D64" s="75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</row>
    <row r="65" spans="1:55" ht="15.75" x14ac:dyDescent="0.2">
      <c r="A65" s="1136"/>
      <c r="B65" s="1137"/>
      <c r="C65" s="1137"/>
      <c r="D65" s="75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</row>
    <row r="66" spans="1:55" x14ac:dyDescent="0.2"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</row>
    <row r="67" spans="1:55" x14ac:dyDescent="0.2"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</row>
  </sheetData>
  <sheetProtection algorithmName="SHA-512" hashValue="A0vxXB7IMMnkTk1+ev1AGlkEn8CYRpmYNM/3nnnugtSwfSHgSM7Of9752s+WTTeGXauzKZa52S2OLtQvBMKRQQ==" saltValue="TF1qDlgoH15ie4X9CVZ+qw==" spinCount="100000" sheet="1" formatCells="0" formatColumns="0" formatRows="0"/>
  <protectedRanges>
    <protectedRange sqref="M2:N4" name="Rango1_1_1"/>
  </protectedRanges>
  <mergeCells count="122">
    <mergeCell ref="R4:U4"/>
    <mergeCell ref="A64:C64"/>
    <mergeCell ref="A65:C65"/>
    <mergeCell ref="A58:C58"/>
    <mergeCell ref="A59:C59"/>
    <mergeCell ref="A60:C60"/>
    <mergeCell ref="A61:C61"/>
    <mergeCell ref="A62:C62"/>
    <mergeCell ref="A63:C63"/>
    <mergeCell ref="A52:C52"/>
    <mergeCell ref="A53:C53"/>
    <mergeCell ref="A54:C54"/>
    <mergeCell ref="A55:C55"/>
    <mergeCell ref="A56:C56"/>
    <mergeCell ref="A57:C57"/>
    <mergeCell ref="A40:O40"/>
    <mergeCell ref="A46:C46"/>
    <mergeCell ref="A47:C47"/>
    <mergeCell ref="A48:C48"/>
    <mergeCell ref="A49:C49"/>
    <mergeCell ref="A50:C50"/>
    <mergeCell ref="A51:C51"/>
    <mergeCell ref="A42:C42"/>
    <mergeCell ref="A43:C43"/>
    <mergeCell ref="A44:C44"/>
    <mergeCell ref="A45:C45"/>
    <mergeCell ref="A39:O39"/>
    <mergeCell ref="A36:H36"/>
    <mergeCell ref="A37:H37"/>
    <mergeCell ref="A38:H38"/>
    <mergeCell ref="I36:O36"/>
    <mergeCell ref="I37:O37"/>
    <mergeCell ref="I38:O38"/>
    <mergeCell ref="A35:H35"/>
    <mergeCell ref="I35:O35"/>
    <mergeCell ref="A28:D28"/>
    <mergeCell ref="F28:G28"/>
    <mergeCell ref="A29:G29"/>
    <mergeCell ref="F30:G30"/>
    <mergeCell ref="F31:G31"/>
    <mergeCell ref="A25:D25"/>
    <mergeCell ref="F25:G25"/>
    <mergeCell ref="A26:D26"/>
    <mergeCell ref="F26:G26"/>
    <mergeCell ref="I26:J26"/>
    <mergeCell ref="A27:D27"/>
    <mergeCell ref="F27:G27"/>
    <mergeCell ref="A33:B33"/>
    <mergeCell ref="I31:J31"/>
    <mergeCell ref="N31:O31"/>
    <mergeCell ref="A32:E32"/>
    <mergeCell ref="F32:G32"/>
    <mergeCell ref="I32:M32"/>
    <mergeCell ref="N32:O32"/>
    <mergeCell ref="C33:O34"/>
    <mergeCell ref="I23:J23"/>
    <mergeCell ref="K23:M23"/>
    <mergeCell ref="N23:O23"/>
    <mergeCell ref="A24:D24"/>
    <mergeCell ref="F24:G24"/>
    <mergeCell ref="I24:J24"/>
    <mergeCell ref="A21:C21"/>
    <mergeCell ref="D21:E21"/>
    <mergeCell ref="F21:G21"/>
    <mergeCell ref="I21:J21"/>
    <mergeCell ref="N21:O21"/>
    <mergeCell ref="A22:D22"/>
    <mergeCell ref="F22:G22"/>
    <mergeCell ref="I22:J22"/>
    <mergeCell ref="I18:J18"/>
    <mergeCell ref="A19:D19"/>
    <mergeCell ref="F19:G19"/>
    <mergeCell ref="H19:O19"/>
    <mergeCell ref="A20:G20"/>
    <mergeCell ref="H20:O20"/>
    <mergeCell ref="K21:M21"/>
    <mergeCell ref="A17:D17"/>
    <mergeCell ref="F17:G17"/>
    <mergeCell ref="I17:J17"/>
    <mergeCell ref="N17:O17"/>
    <mergeCell ref="A14:E15"/>
    <mergeCell ref="F14:G15"/>
    <mergeCell ref="H14:H15"/>
    <mergeCell ref="I14:J15"/>
    <mergeCell ref="K14:M14"/>
    <mergeCell ref="AP15:AU15"/>
    <mergeCell ref="A16:G16"/>
    <mergeCell ref="H16:O16"/>
    <mergeCell ref="A10:D10"/>
    <mergeCell ref="E10:J10"/>
    <mergeCell ref="M10:O10"/>
    <mergeCell ref="N14:O14"/>
    <mergeCell ref="P14:P15"/>
    <mergeCell ref="R15:W15"/>
    <mergeCell ref="X15:AC15"/>
    <mergeCell ref="AD15:AI15"/>
    <mergeCell ref="AJ15:AO15"/>
    <mergeCell ref="R14:AI14"/>
    <mergeCell ref="AJ14:AU14"/>
    <mergeCell ref="M11:O11"/>
    <mergeCell ref="A11:C12"/>
    <mergeCell ref="E11:J12"/>
    <mergeCell ref="A13:C13"/>
    <mergeCell ref="E13:O13"/>
    <mergeCell ref="M12:O12"/>
    <mergeCell ref="A1:C5"/>
    <mergeCell ref="D4:L4"/>
    <mergeCell ref="M4:O4"/>
    <mergeCell ref="D5:O5"/>
    <mergeCell ref="A8:D8"/>
    <mergeCell ref="E8:J8"/>
    <mergeCell ref="M8:O8"/>
    <mergeCell ref="A9:D9"/>
    <mergeCell ref="E9:J9"/>
    <mergeCell ref="M9:O9"/>
    <mergeCell ref="A6:D6"/>
    <mergeCell ref="E6:J6"/>
    <mergeCell ref="M6:O6"/>
    <mergeCell ref="A7:D7"/>
    <mergeCell ref="E7:J7"/>
    <mergeCell ref="M7:O7"/>
    <mergeCell ref="D1:O3"/>
  </mergeCells>
  <dataValidations count="6">
    <dataValidation type="list" allowBlank="1" showInputMessage="1" showErrorMessage="1" sqref="A37:H37">
      <formula1>revisonombres</formula1>
    </dataValidation>
    <dataValidation type="list" allowBlank="1" showInputMessage="1" showErrorMessage="1" sqref="P37 I37">
      <formula1>aprobonombres</formula1>
    </dataValidation>
    <dataValidation type="list" allowBlank="1" showInputMessage="1" showErrorMessage="1" sqref="E7:J7">
      <formula1>$V$5:$V$7</formula1>
    </dataValidation>
    <dataValidation type="list" allowBlank="1" showInputMessage="1" showErrorMessage="1" sqref="E8:J8">
      <formula1>$Z$5:$Z$10</formula1>
    </dataValidation>
    <dataValidation type="list" allowBlank="1" showInputMessage="1" showErrorMessage="1" sqref="E10:J10">
      <formula1>$AE$5:$AE$8</formula1>
    </dataValidation>
    <dataValidation type="list" allowBlank="1" showInputMessage="1" showErrorMessage="1" sqref="M7:O7">
      <formula1>$AG$5:$AG$6</formula1>
    </dataValidation>
  </dataValidations>
  <printOptions horizontalCentered="1"/>
  <pageMargins left="0.39370078740157483" right="0.19685039370078741" top="0" bottom="0" header="0" footer="0.15748031496062992"/>
  <pageSetup paperSize="9" pageOrder="overThenDown" orientation="portrait" r:id="rId1"/>
  <headerFooter scaleWithDoc="0">
    <oddFooter>&amp;L&amp;6Calle 26 No. 57-41 Torre 8 Piso 8 CEMSA - CP: 1113111            
Pbx: 3779555  - Información: Línea 195     
www.umv.gov.co111311&amp;C&amp;6Página 1 de 1</oddFooter>
  </headerFooter>
  <ignoredErrors>
    <ignoredError sqref="I38 E6 C33" unlockedFormula="1"/>
    <ignoredError sqref="H30:H31" evalError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BE30"/>
  <sheetViews>
    <sheetView showGridLines="0" view="pageBreakPreview" zoomScaleSheetLayoutView="100" workbookViewId="0">
      <selection activeCell="E8" sqref="E8:J8"/>
    </sheetView>
  </sheetViews>
  <sheetFormatPr baseColWidth="10" defaultRowHeight="12.75" x14ac:dyDescent="0.2"/>
  <cols>
    <col min="1" max="1" width="6.42578125" style="11" customWidth="1"/>
    <col min="2" max="2" width="7" style="11" customWidth="1"/>
    <col min="3" max="3" width="6" style="11" customWidth="1"/>
    <col min="4" max="4" width="5.140625" style="11" customWidth="1"/>
    <col min="5" max="5" width="6.140625" style="11" customWidth="1"/>
    <col min="6" max="6" width="5.140625" style="11" customWidth="1"/>
    <col min="7" max="7" width="5" style="11" customWidth="1"/>
    <col min="8" max="8" width="7.85546875" style="11" customWidth="1"/>
    <col min="9" max="9" width="4.7109375" style="11" customWidth="1"/>
    <col min="10" max="10" width="7.42578125" style="11" customWidth="1"/>
    <col min="11" max="11" width="8.7109375" style="11" customWidth="1"/>
    <col min="12" max="12" width="9.28515625" style="11" customWidth="1"/>
    <col min="13" max="13" width="7.7109375" style="11" customWidth="1"/>
    <col min="14" max="15" width="4.7109375" style="11" customWidth="1"/>
    <col min="16" max="16" width="11" style="11" customWidth="1"/>
    <col min="17" max="17" width="22.140625" style="11" customWidth="1"/>
    <col min="18" max="18" width="17.140625" style="11" customWidth="1"/>
    <col min="19" max="23" width="11.42578125" style="11"/>
    <col min="24" max="24" width="6.28515625" style="11" customWidth="1"/>
    <col min="25" max="25" width="18.85546875" style="11" customWidth="1"/>
    <col min="26" max="16384" width="11.42578125" style="11"/>
  </cols>
  <sheetData>
    <row r="1" spans="1:57" ht="15" customHeight="1" x14ac:dyDescent="0.2">
      <c r="A1" s="1004"/>
      <c r="B1" s="1005"/>
      <c r="C1" s="1006"/>
      <c r="D1" s="1204" t="s">
        <v>26</v>
      </c>
      <c r="E1" s="1205"/>
      <c r="F1" s="1205"/>
      <c r="G1" s="1205"/>
      <c r="H1" s="1205"/>
      <c r="I1" s="1205"/>
      <c r="J1" s="1205"/>
      <c r="K1" s="1205"/>
      <c r="L1" s="1205"/>
      <c r="M1" s="1205"/>
      <c r="N1" s="1205"/>
      <c r="O1" s="1206"/>
      <c r="P1" s="300"/>
      <c r="W1" s="138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</row>
    <row r="2" spans="1:57" ht="15" customHeight="1" x14ac:dyDescent="0.2">
      <c r="A2" s="1007"/>
      <c r="B2" s="1008"/>
      <c r="C2" s="1009"/>
      <c r="D2" s="1032" t="s">
        <v>157</v>
      </c>
      <c r="E2" s="1033"/>
      <c r="F2" s="1033"/>
      <c r="G2" s="1033"/>
      <c r="H2" s="1033"/>
      <c r="I2" s="1033"/>
      <c r="J2" s="1033"/>
      <c r="K2" s="1033"/>
      <c r="L2" s="1033"/>
      <c r="M2" s="1033"/>
      <c r="N2" s="1033"/>
      <c r="O2" s="1034"/>
      <c r="P2" s="276"/>
      <c r="Q2" s="382"/>
      <c r="R2" s="382"/>
      <c r="S2" s="382"/>
      <c r="W2" s="138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</row>
    <row r="3" spans="1:57" ht="15" customHeight="1" x14ac:dyDescent="0.2">
      <c r="A3" s="1007"/>
      <c r="B3" s="1008"/>
      <c r="C3" s="1009"/>
      <c r="D3" s="1035"/>
      <c r="E3" s="1036"/>
      <c r="F3" s="1036"/>
      <c r="G3" s="1036"/>
      <c r="H3" s="1036"/>
      <c r="I3" s="1036"/>
      <c r="J3" s="1036"/>
      <c r="K3" s="1036"/>
      <c r="L3" s="1036"/>
      <c r="M3" s="1036"/>
      <c r="N3" s="1036"/>
      <c r="O3" s="1037"/>
      <c r="P3" s="276"/>
      <c r="Q3" s="510" t="str">
        <f>A19</f>
        <v>Solvente utilizado:</v>
      </c>
      <c r="R3" s="1196" t="s">
        <v>281</v>
      </c>
      <c r="S3" s="1197"/>
      <c r="W3" s="138"/>
      <c r="X3" s="46"/>
      <c r="Y3" s="46"/>
      <c r="Z3" s="139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</row>
    <row r="4" spans="1:57" ht="14.1" customHeight="1" x14ac:dyDescent="0.2">
      <c r="A4" s="1007"/>
      <c r="B4" s="1008"/>
      <c r="C4" s="1009"/>
      <c r="D4" s="1013" t="s">
        <v>244</v>
      </c>
      <c r="E4" s="1014"/>
      <c r="F4" s="1014"/>
      <c r="G4" s="1014"/>
      <c r="H4" s="1014"/>
      <c r="I4" s="1014"/>
      <c r="J4" s="1014"/>
      <c r="K4" s="1014"/>
      <c r="L4" s="1015"/>
      <c r="M4" s="1013" t="s">
        <v>326</v>
      </c>
      <c r="N4" s="1014"/>
      <c r="O4" s="1015"/>
      <c r="P4" s="301"/>
      <c r="Q4" s="465" t="s">
        <v>21</v>
      </c>
      <c r="R4" s="513">
        <v>1</v>
      </c>
      <c r="S4" s="514" t="str">
        <f>IF(N15="","",IF(N15="cumple",0,1))</f>
        <v/>
      </c>
      <c r="W4" s="283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</row>
    <row r="5" spans="1:57" ht="14.1" customHeight="1" x14ac:dyDescent="0.2">
      <c r="A5" s="1010"/>
      <c r="B5" s="1011"/>
      <c r="C5" s="1012"/>
      <c r="D5" s="1013" t="s">
        <v>280</v>
      </c>
      <c r="E5" s="1014"/>
      <c r="F5" s="1014"/>
      <c r="G5" s="1014"/>
      <c r="H5" s="1014"/>
      <c r="I5" s="1014"/>
      <c r="J5" s="1014"/>
      <c r="K5" s="1014"/>
      <c r="L5" s="1014"/>
      <c r="M5" s="1014"/>
      <c r="N5" s="1014"/>
      <c r="O5" s="1015"/>
      <c r="P5" s="301"/>
      <c r="Q5" s="465" t="s">
        <v>153</v>
      </c>
      <c r="R5" s="515">
        <v>2</v>
      </c>
      <c r="S5" s="516" t="str">
        <f>IF(N16="","",IF(N16="cumple",0,1))</f>
        <v/>
      </c>
      <c r="W5" s="275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</row>
    <row r="6" spans="1:57" ht="14.1" customHeight="1" x14ac:dyDescent="0.2">
      <c r="A6" s="1023" t="s">
        <v>41</v>
      </c>
      <c r="B6" s="1024"/>
      <c r="C6" s="1024"/>
      <c r="D6" s="1024"/>
      <c r="E6" s="1025" t="str">
        <f>+IF(Resumen!E6="","",Resumen!E6)</f>
        <v/>
      </c>
      <c r="F6" s="1025"/>
      <c r="G6" s="1025"/>
      <c r="H6" s="1025"/>
      <c r="I6" s="1025"/>
      <c r="J6" s="1025"/>
      <c r="K6" s="885" t="s">
        <v>59</v>
      </c>
      <c r="L6" s="885"/>
      <c r="M6" s="1025" t="str">
        <f>+IF(Resumen!M6="","",Resumen!M6)</f>
        <v/>
      </c>
      <c r="N6" s="1025"/>
      <c r="O6" s="1192"/>
      <c r="P6" s="302"/>
      <c r="Q6" s="465" t="s">
        <v>143</v>
      </c>
      <c r="R6" s="515">
        <v>3</v>
      </c>
      <c r="S6" s="516" t="str">
        <f>IF(N17="","",IF(N17="cumple",0,1))</f>
        <v/>
      </c>
      <c r="W6" s="12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</row>
    <row r="7" spans="1:57" ht="14.1" customHeight="1" x14ac:dyDescent="0.2">
      <c r="A7" s="1016" t="s">
        <v>42</v>
      </c>
      <c r="B7" s="1017"/>
      <c r="C7" s="1017"/>
      <c r="D7" s="1017"/>
      <c r="E7" s="1193" t="str">
        <f>+IF(Resumen!E7="","",Resumen!E7)</f>
        <v/>
      </c>
      <c r="F7" s="1193"/>
      <c r="G7" s="1193"/>
      <c r="H7" s="1193"/>
      <c r="I7" s="1193"/>
      <c r="J7" s="1193"/>
      <c r="K7" s="887" t="s">
        <v>47</v>
      </c>
      <c r="L7" s="887"/>
      <c r="M7" s="1193" t="str">
        <f>+IF(Resumen!M7="","",Resumen!M7)</f>
        <v/>
      </c>
      <c r="N7" s="1193"/>
      <c r="O7" s="1194"/>
      <c r="P7" s="302"/>
      <c r="Q7" s="480" t="s">
        <v>144</v>
      </c>
      <c r="R7" s="517" t="s">
        <v>282</v>
      </c>
      <c r="S7" s="518" t="str">
        <f>IF(S4="","",SUM(S4:S6))</f>
        <v/>
      </c>
      <c r="W7" s="277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</row>
    <row r="8" spans="1:57" ht="24" customHeight="1" x14ac:dyDescent="0.2">
      <c r="A8" s="1016" t="s">
        <v>56</v>
      </c>
      <c r="B8" s="1017"/>
      <c r="C8" s="1017"/>
      <c r="D8" s="1017"/>
      <c r="E8" s="1195" t="str">
        <f>+IF(Resumen!E8="","",Resumen!E8)</f>
        <v/>
      </c>
      <c r="F8" s="1195"/>
      <c r="G8" s="1195"/>
      <c r="H8" s="1195"/>
      <c r="I8" s="1195"/>
      <c r="J8" s="1195"/>
      <c r="K8" s="887" t="s">
        <v>60</v>
      </c>
      <c r="L8" s="887"/>
      <c r="M8" s="1174" t="str">
        <f>+IF(Resumen!M8="","",Resumen!M8)</f>
        <v/>
      </c>
      <c r="N8" s="1174"/>
      <c r="O8" s="1175"/>
      <c r="P8" s="303"/>
      <c r="Q8" s="382"/>
      <c r="R8" s="519"/>
      <c r="S8" s="519"/>
      <c r="W8" s="128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</row>
    <row r="9" spans="1:57" ht="14.1" customHeight="1" x14ac:dyDescent="0.2">
      <c r="A9" s="1021" t="s">
        <v>387</v>
      </c>
      <c r="B9" s="1022"/>
      <c r="C9" s="1022"/>
      <c r="D9" s="1022"/>
      <c r="E9" s="1193" t="str">
        <f>+IF(Resumen!E9="","",Resumen!E9)</f>
        <v/>
      </c>
      <c r="F9" s="1193"/>
      <c r="G9" s="1193"/>
      <c r="H9" s="1193"/>
      <c r="I9" s="1193"/>
      <c r="J9" s="1193"/>
      <c r="K9" s="887" t="s">
        <v>61</v>
      </c>
      <c r="L9" s="887"/>
      <c r="M9" s="1174" t="str">
        <f>+IF(Resumen!M9="","",Resumen!M9)</f>
        <v/>
      </c>
      <c r="N9" s="1174"/>
      <c r="O9" s="1175"/>
      <c r="P9" s="303"/>
      <c r="Q9" s="382"/>
      <c r="R9" s="382"/>
      <c r="S9" s="382"/>
      <c r="W9" s="127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</row>
    <row r="10" spans="1:57" ht="14.1" customHeight="1" x14ac:dyDescent="0.2">
      <c r="A10" s="1021" t="s">
        <v>196</v>
      </c>
      <c r="B10" s="1022"/>
      <c r="C10" s="1022"/>
      <c r="D10" s="1022"/>
      <c r="E10" s="1193" t="str">
        <f>+IF(Resumen!E10="","",Resumen!E10)</f>
        <v/>
      </c>
      <c r="F10" s="1193"/>
      <c r="G10" s="1193"/>
      <c r="H10" s="1193"/>
      <c r="I10" s="1193"/>
      <c r="J10" s="1193"/>
      <c r="K10" s="887" t="s">
        <v>53</v>
      </c>
      <c r="L10" s="887"/>
      <c r="M10" s="1019"/>
      <c r="N10" s="1019"/>
      <c r="O10" s="1020"/>
      <c r="P10" s="303"/>
      <c r="Q10" s="382"/>
      <c r="R10" s="382"/>
      <c r="S10" s="382"/>
      <c r="W10" s="127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</row>
    <row r="11" spans="1:57" ht="15" customHeight="1" x14ac:dyDescent="0.2">
      <c r="A11" s="1021" t="s">
        <v>91</v>
      </c>
      <c r="B11" s="1022"/>
      <c r="C11" s="1022"/>
      <c r="D11" s="1022"/>
      <c r="E11" s="1195" t="str">
        <f>+IF(Resumen!E11="","",Resumen!E11)</f>
        <v/>
      </c>
      <c r="F11" s="1195"/>
      <c r="G11" s="1195"/>
      <c r="H11" s="1195"/>
      <c r="I11" s="1195"/>
      <c r="J11" s="1195"/>
      <c r="K11" s="1191" t="s">
        <v>164</v>
      </c>
      <c r="L11" s="1191"/>
      <c r="M11" s="1174" t="str">
        <f>+IF(Resumen!M11="","",Resumen!M11)</f>
        <v/>
      </c>
      <c r="N11" s="1174"/>
      <c r="O11" s="1175"/>
      <c r="P11" s="304"/>
      <c r="Q11" s="382"/>
      <c r="R11" s="382"/>
      <c r="S11" s="382"/>
      <c r="W11" s="257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</row>
    <row r="12" spans="1:57" ht="15" customHeight="1" x14ac:dyDescent="0.2">
      <c r="A12" s="1189"/>
      <c r="B12" s="1190"/>
      <c r="C12" s="1190"/>
      <c r="D12" s="1190"/>
      <c r="E12" s="1207"/>
      <c r="F12" s="1207"/>
      <c r="G12" s="1207"/>
      <c r="H12" s="1207"/>
      <c r="I12" s="1207"/>
      <c r="J12" s="1207"/>
      <c r="K12" s="889" t="s">
        <v>163</v>
      </c>
      <c r="L12" s="891"/>
      <c r="M12" s="1018"/>
      <c r="N12" s="1018"/>
      <c r="O12" s="1028"/>
      <c r="P12" s="304"/>
      <c r="W12" s="257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</row>
    <row r="13" spans="1:57" ht="24.75" customHeight="1" x14ac:dyDescent="0.2">
      <c r="A13" s="1185" t="s">
        <v>33</v>
      </c>
      <c r="B13" s="1156" t="s">
        <v>54</v>
      </c>
      <c r="C13" s="1187" t="s">
        <v>243</v>
      </c>
      <c r="D13" s="1165"/>
      <c r="E13" s="1165" t="s">
        <v>88</v>
      </c>
      <c r="F13" s="1165"/>
      <c r="G13" s="1165" t="s">
        <v>89</v>
      </c>
      <c r="H13" s="1165"/>
      <c r="I13" s="1165" t="s">
        <v>90</v>
      </c>
      <c r="J13" s="1165"/>
      <c r="K13" s="1181" t="s">
        <v>210</v>
      </c>
      <c r="L13" s="1156"/>
      <c r="M13" s="1181" t="s">
        <v>13</v>
      </c>
      <c r="N13" s="1181" t="s">
        <v>283</v>
      </c>
      <c r="O13" s="1183"/>
      <c r="P13" s="306"/>
      <c r="W13" s="259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</row>
    <row r="14" spans="1:57" ht="24.95" customHeight="1" x14ac:dyDescent="0.2">
      <c r="A14" s="1186"/>
      <c r="B14" s="1157"/>
      <c r="C14" s="1188"/>
      <c r="D14" s="1166"/>
      <c r="E14" s="1166"/>
      <c r="F14" s="1166"/>
      <c r="G14" s="1166"/>
      <c r="H14" s="1166"/>
      <c r="I14" s="1166"/>
      <c r="J14" s="1166"/>
      <c r="K14" s="808" t="s">
        <v>211</v>
      </c>
      <c r="L14" s="228" t="s">
        <v>212</v>
      </c>
      <c r="M14" s="1182"/>
      <c r="N14" s="1182"/>
      <c r="O14" s="1184"/>
      <c r="P14" s="306"/>
      <c r="W14" s="259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</row>
    <row r="15" spans="1:57" ht="24.95" customHeight="1" x14ac:dyDescent="0.2">
      <c r="A15" s="45">
        <v>1</v>
      </c>
      <c r="B15" s="12"/>
      <c r="C15" s="1169"/>
      <c r="D15" s="1170"/>
      <c r="E15" s="1170"/>
      <c r="F15" s="1170"/>
      <c r="G15" s="1170"/>
      <c r="H15" s="1170"/>
      <c r="I15" s="1171"/>
      <c r="J15" s="1171"/>
      <c r="K15" s="809"/>
      <c r="L15" s="13"/>
      <c r="M15" s="41" t="str">
        <f>IF(C15="","",100*(((C15-E15)-(G15+(L15-K15)+I15))/(C15-E15)))</f>
        <v/>
      </c>
      <c r="N15" s="1172" t="str">
        <f>IF(M15="","",IF(OR(M15&lt;($M$18-0.5),M15&gt;($M$18+0.5)),"No Cumple","cumple"))</f>
        <v/>
      </c>
      <c r="O15" s="1173"/>
      <c r="P15" s="305"/>
      <c r="W15" s="259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</row>
    <row r="16" spans="1:57" ht="24.95" customHeight="1" x14ac:dyDescent="0.2">
      <c r="A16" s="45">
        <v>2</v>
      </c>
      <c r="B16" s="12"/>
      <c r="C16" s="1169"/>
      <c r="D16" s="1170"/>
      <c r="E16" s="1170"/>
      <c r="F16" s="1170"/>
      <c r="G16" s="1170"/>
      <c r="H16" s="1170"/>
      <c r="I16" s="1171"/>
      <c r="J16" s="1171"/>
      <c r="K16" s="809"/>
      <c r="L16" s="13"/>
      <c r="M16" s="41" t="str">
        <f>IF(C16="","",100*(((C16-E16)-(G16+(L16-K16)+I16))/(C16-E16)))</f>
        <v/>
      </c>
      <c r="N16" s="1172" t="str">
        <f>IF(M16="","",IF(OR(M16&lt;($M$18-0.5),M16&gt;($M$18+0.5)),"No Cumple","cumple"))</f>
        <v/>
      </c>
      <c r="O16" s="1173"/>
      <c r="P16" s="170"/>
      <c r="W16" s="278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</row>
    <row r="17" spans="1:57" ht="24.95" customHeight="1" x14ac:dyDescent="0.2">
      <c r="A17" s="45">
        <v>3</v>
      </c>
      <c r="B17" s="12"/>
      <c r="C17" s="1169"/>
      <c r="D17" s="1170"/>
      <c r="E17" s="1170"/>
      <c r="F17" s="1170"/>
      <c r="G17" s="1170"/>
      <c r="H17" s="1170"/>
      <c r="I17" s="1171"/>
      <c r="J17" s="1171"/>
      <c r="K17" s="809"/>
      <c r="L17" s="13"/>
      <c r="M17" s="41" t="str">
        <f>IF(C17="","",100*(((C17-E17)-(G17+(L17-K17)+I17))/(C17-E17)))</f>
        <v/>
      </c>
      <c r="N17" s="1172" t="str">
        <f>IF(M17="","",IF(OR(M17&lt;($M$18-0.5),M17&gt;($M$18+0.5)),"No Cumple","cumple"))</f>
        <v/>
      </c>
      <c r="O17" s="1173"/>
      <c r="P17" s="170"/>
      <c r="W17" s="255"/>
      <c r="X17" s="46"/>
      <c r="Y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</row>
    <row r="18" spans="1:57" ht="24.95" customHeight="1" x14ac:dyDescent="0.2">
      <c r="A18" s="1152" t="s">
        <v>8</v>
      </c>
      <c r="B18" s="1153"/>
      <c r="C18" s="1154" t="str">
        <f>IF(C15="","",AVERAGE(C15:D17))</f>
        <v/>
      </c>
      <c r="D18" s="1155"/>
      <c r="E18" s="1155" t="str">
        <f>IF(E15="","",AVERAGE(E15:F17))</f>
        <v/>
      </c>
      <c r="F18" s="1155"/>
      <c r="G18" s="1155" t="str">
        <f>IF(G15="","",AVERAGE(G15:H17))</f>
        <v/>
      </c>
      <c r="H18" s="1155"/>
      <c r="I18" s="1155" t="str">
        <f>IF(I15="","",AVERAGE(I15:J17))</f>
        <v/>
      </c>
      <c r="J18" s="1155"/>
      <c r="K18" s="872" t="str">
        <f>IF(K15="","",AVERAGE(K15:K17))</f>
        <v/>
      </c>
      <c r="L18" s="40" t="str">
        <f>IF(L15="","",AVERAGE(L15:L17))</f>
        <v/>
      </c>
      <c r="M18" s="42" t="str">
        <f>IF(M15="","",AVERAGE(M15:M17))</f>
        <v/>
      </c>
      <c r="N18" s="1167"/>
      <c r="O18" s="1168"/>
      <c r="P18" s="170"/>
      <c r="W18" s="130"/>
      <c r="X18" s="46"/>
      <c r="Y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</row>
    <row r="19" spans="1:57" ht="24.95" customHeight="1" x14ac:dyDescent="0.2">
      <c r="A19" s="1158" t="s">
        <v>20</v>
      </c>
      <c r="B19" s="1159"/>
      <c r="C19" s="1159"/>
      <c r="D19" s="1160" t="s">
        <v>21</v>
      </c>
      <c r="E19" s="1160"/>
      <c r="F19" s="1160"/>
      <c r="G19" s="1161" t="s">
        <v>162</v>
      </c>
      <c r="H19" s="1161"/>
      <c r="I19" s="1161"/>
      <c r="J19" s="1161"/>
      <c r="K19" s="1161"/>
      <c r="L19" s="1161"/>
      <c r="M19" s="1161"/>
      <c r="N19" s="1162" t="str">
        <f>IF(S7="","",IF(S7&gt;1,"No cumple","Cumple"))</f>
        <v/>
      </c>
      <c r="O19" s="1163"/>
      <c r="P19" s="170"/>
      <c r="W19" s="130"/>
      <c r="X19" s="46"/>
      <c r="Y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</row>
    <row r="20" spans="1:57" ht="27.75" customHeight="1" x14ac:dyDescent="0.2">
      <c r="A20" s="1122" t="s">
        <v>3</v>
      </c>
      <c r="B20" s="1123"/>
      <c r="C20" s="1176"/>
      <c r="D20" s="1176"/>
      <c r="E20" s="1176"/>
      <c r="F20" s="1176"/>
      <c r="G20" s="1176"/>
      <c r="H20" s="1176"/>
      <c r="I20" s="1176"/>
      <c r="J20" s="1176"/>
      <c r="K20" s="1176"/>
      <c r="L20" s="1176"/>
      <c r="M20" s="1176"/>
      <c r="N20" s="1176"/>
      <c r="O20" s="1177"/>
      <c r="P20" s="170"/>
      <c r="W20" s="279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</row>
    <row r="21" spans="1:57" ht="50.25" customHeight="1" x14ac:dyDescent="0.2">
      <c r="A21" s="1178"/>
      <c r="B21" s="1179"/>
      <c r="C21" s="1179"/>
      <c r="D21" s="1179"/>
      <c r="E21" s="1179"/>
      <c r="F21" s="1179"/>
      <c r="G21" s="1179"/>
      <c r="H21" s="1179"/>
      <c r="I21" s="1179"/>
      <c r="J21" s="1179"/>
      <c r="K21" s="1179"/>
      <c r="L21" s="1179"/>
      <c r="M21" s="1179"/>
      <c r="N21" s="1179"/>
      <c r="O21" s="1180"/>
      <c r="P21" s="170"/>
      <c r="W21" s="279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</row>
    <row r="22" spans="1:57" ht="21.95" customHeight="1" x14ac:dyDescent="0.2">
      <c r="A22" s="1198" t="s">
        <v>245</v>
      </c>
      <c r="B22" s="1115"/>
      <c r="C22" s="1115"/>
      <c r="D22" s="1115"/>
      <c r="E22" s="1115"/>
      <c r="F22" s="1115"/>
      <c r="G22" s="1115"/>
      <c r="H22" s="1115"/>
      <c r="I22" s="1198" t="s">
        <v>9</v>
      </c>
      <c r="J22" s="1115"/>
      <c r="K22" s="1115"/>
      <c r="L22" s="1115"/>
      <c r="M22" s="1115"/>
      <c r="N22" s="1115"/>
      <c r="O22" s="1116"/>
      <c r="P22" s="170"/>
      <c r="W22" s="279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</row>
    <row r="23" spans="1:57" ht="42.75" customHeight="1" x14ac:dyDescent="0.2">
      <c r="A23" s="1199"/>
      <c r="B23" s="1140"/>
      <c r="C23" s="1140"/>
      <c r="D23" s="1140"/>
      <c r="E23" s="1140"/>
      <c r="F23" s="1140"/>
      <c r="G23" s="1140"/>
      <c r="H23" s="1140"/>
      <c r="I23" s="1199"/>
      <c r="J23" s="1140"/>
      <c r="K23" s="1140"/>
      <c r="L23" s="1140"/>
      <c r="M23" s="1140"/>
      <c r="N23" s="1140"/>
      <c r="O23" s="1141"/>
      <c r="P23" s="170"/>
      <c r="W23" s="131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</row>
    <row r="24" spans="1:57" ht="15" customHeight="1" x14ac:dyDescent="0.2">
      <c r="A24" s="1200" t="s">
        <v>154</v>
      </c>
      <c r="B24" s="1143"/>
      <c r="C24" s="1143"/>
      <c r="D24" s="1143"/>
      <c r="E24" s="1143"/>
      <c r="F24" s="1143"/>
      <c r="G24" s="1143"/>
      <c r="H24" s="1143"/>
      <c r="I24" s="1200" t="s">
        <v>154</v>
      </c>
      <c r="J24" s="1143"/>
      <c r="K24" s="1143"/>
      <c r="L24" s="1143"/>
      <c r="M24" s="1143"/>
      <c r="N24" s="1143"/>
      <c r="O24" s="1144"/>
      <c r="P24" s="170"/>
      <c r="W24" s="279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</row>
    <row r="25" spans="1:57" ht="15" customHeight="1" thickBot="1" x14ac:dyDescent="0.25">
      <c r="A25" s="1201" t="str">
        <f>IF(A24="--","",VLOOKUP(A24,firmas!A31:B34,2,0))</f>
        <v/>
      </c>
      <c r="B25" s="1202"/>
      <c r="C25" s="1202"/>
      <c r="D25" s="1202"/>
      <c r="E25" s="1202"/>
      <c r="F25" s="1202"/>
      <c r="G25" s="1202"/>
      <c r="H25" s="1202"/>
      <c r="I25" s="1201" t="str">
        <f>IF(I24="--","",VLOOKUP(I24,firmas!$A$36:$B$37,2,0))</f>
        <v/>
      </c>
      <c r="J25" s="1202"/>
      <c r="K25" s="1202"/>
      <c r="L25" s="1202"/>
      <c r="M25" s="1202"/>
      <c r="N25" s="1202"/>
      <c r="O25" s="1203"/>
      <c r="P25" s="170"/>
      <c r="W25" s="255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</row>
    <row r="26" spans="1:57" ht="15" customHeight="1" thickTop="1" thickBot="1" x14ac:dyDescent="0.25">
      <c r="A26" s="1164" t="s">
        <v>156</v>
      </c>
      <c r="B26" s="1164"/>
      <c r="C26" s="1164"/>
      <c r="D26" s="1164"/>
      <c r="E26" s="1164"/>
      <c r="F26" s="1164"/>
      <c r="G26" s="1164"/>
      <c r="H26" s="1164"/>
      <c r="I26" s="1164"/>
      <c r="J26" s="1164"/>
      <c r="K26" s="1164"/>
      <c r="L26" s="1164"/>
      <c r="M26" s="1164"/>
      <c r="N26" s="1164"/>
      <c r="O26" s="1164"/>
      <c r="P26" s="170"/>
      <c r="T26" s="295"/>
      <c r="U26" s="295"/>
      <c r="V26" s="295"/>
      <c r="W26" s="130"/>
      <c r="X26" s="57"/>
      <c r="Y26" s="280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</row>
    <row r="27" spans="1:57" ht="21.95" customHeight="1" thickTop="1" x14ac:dyDescent="0.2">
      <c r="A27" s="1138" t="s">
        <v>200</v>
      </c>
      <c r="B27" s="1138"/>
      <c r="C27" s="1138"/>
      <c r="D27" s="1138"/>
      <c r="E27" s="1138"/>
      <c r="F27" s="1138"/>
      <c r="G27" s="1138"/>
      <c r="H27" s="1138"/>
      <c r="I27" s="1138"/>
      <c r="J27" s="1138"/>
      <c r="K27" s="1138"/>
      <c r="L27" s="1138"/>
      <c r="M27" s="1138"/>
      <c r="N27" s="1138"/>
      <c r="O27" s="1138"/>
      <c r="P27" s="170"/>
      <c r="T27" s="295"/>
      <c r="U27" s="295"/>
      <c r="V27" s="295"/>
      <c r="W27" s="284"/>
      <c r="X27" s="57"/>
      <c r="Y27" s="308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</row>
    <row r="28" spans="1:57" ht="30" customHeight="1" x14ac:dyDescent="0.2">
      <c r="A28" s="1151" t="s">
        <v>247</v>
      </c>
      <c r="B28" s="1151"/>
      <c r="C28" s="1151"/>
      <c r="D28" s="1151"/>
      <c r="E28" s="1151"/>
      <c r="F28" s="1151"/>
      <c r="G28" s="1151"/>
      <c r="H28" s="1151"/>
      <c r="I28" s="1151"/>
      <c r="J28" s="1151"/>
      <c r="K28" s="1151"/>
      <c r="L28" s="1151"/>
      <c r="M28" s="1151"/>
      <c r="N28" s="1151"/>
      <c r="O28" s="1151"/>
      <c r="P28" s="170"/>
      <c r="T28" s="295"/>
      <c r="U28" s="295"/>
      <c r="V28" s="295"/>
      <c r="W28" s="284"/>
      <c r="X28" s="57"/>
      <c r="Y28" s="308"/>
      <c r="Z28" s="57"/>
      <c r="AA28" s="57"/>
      <c r="AB28" s="57"/>
      <c r="AC28" s="57"/>
      <c r="AD28" s="57"/>
      <c r="AE28" s="310"/>
      <c r="AF28" s="310"/>
      <c r="AG28" s="310"/>
      <c r="AH28" s="310"/>
      <c r="AI28" s="310"/>
      <c r="AJ28" s="310"/>
      <c r="AK28" s="310"/>
      <c r="AL28" s="310"/>
      <c r="AM28" s="310"/>
      <c r="AN28" s="310"/>
      <c r="AO28" s="82"/>
      <c r="AP28" s="82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</row>
    <row r="29" spans="1:57" ht="14.1" customHeight="1" x14ac:dyDescent="0.2">
      <c r="A29" s="1136"/>
      <c r="B29" s="1137"/>
      <c r="C29" s="1137"/>
      <c r="D29" s="75"/>
      <c r="P29" s="251"/>
      <c r="T29" s="295"/>
      <c r="U29" s="295"/>
      <c r="V29" s="295"/>
      <c r="W29" s="284"/>
      <c r="X29" s="57"/>
      <c r="Y29" s="308"/>
      <c r="Z29" s="57"/>
      <c r="AA29" s="57"/>
      <c r="AB29" s="57"/>
      <c r="AC29" s="57"/>
      <c r="AD29" s="57"/>
      <c r="AE29" s="310"/>
      <c r="AF29" s="310"/>
      <c r="AG29" s="310"/>
      <c r="AH29" s="310"/>
      <c r="AI29" s="310"/>
      <c r="AJ29" s="310"/>
      <c r="AK29" s="310"/>
      <c r="AL29" s="310"/>
      <c r="AM29" s="310"/>
      <c r="AN29" s="310"/>
      <c r="AO29" s="82"/>
      <c r="AP29" s="82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</row>
    <row r="30" spans="1:57" ht="39.950000000000003" customHeight="1" x14ac:dyDescent="0.2">
      <c r="A30" s="1136"/>
      <c r="B30" s="1137"/>
      <c r="C30" s="1137"/>
      <c r="D30" s="75"/>
      <c r="T30" s="295"/>
      <c r="U30" s="295"/>
      <c r="V30" s="295"/>
      <c r="W30" s="132"/>
      <c r="X30" s="57"/>
      <c r="Y30" s="308"/>
      <c r="Z30" s="57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57"/>
      <c r="AL30" s="57"/>
      <c r="AM30" s="57"/>
      <c r="AN30" s="310"/>
      <c r="AO30" s="82"/>
      <c r="AP30" s="82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</row>
  </sheetData>
  <sheetProtection algorithmName="SHA-512" hashValue="u2mfOSNDflrp0w4ONnKFG+C7wN/S2cpu4fe4WUMBacZI8ttnHV6zZUIgM2a/0r7F8g6IBJSKSPxdMLsM13WdQg==" saltValue="PcgAcQdw98oAFmiRjOIN+w==" spinCount="100000" sheet="1" formatCells="0" formatColumns="0" formatRows="0"/>
  <protectedRanges>
    <protectedRange sqref="M2:N4" name="Rango1_1_1"/>
  </protectedRanges>
  <mergeCells count="77">
    <mergeCell ref="R3:S3"/>
    <mergeCell ref="A22:H22"/>
    <mergeCell ref="A23:H23"/>
    <mergeCell ref="A24:H24"/>
    <mergeCell ref="A25:H25"/>
    <mergeCell ref="I22:O22"/>
    <mergeCell ref="I23:O23"/>
    <mergeCell ref="I24:O24"/>
    <mergeCell ref="I25:O25"/>
    <mergeCell ref="A1:C5"/>
    <mergeCell ref="D1:O1"/>
    <mergeCell ref="D4:L4"/>
    <mergeCell ref="M4:O4"/>
    <mergeCell ref="D5:O5"/>
    <mergeCell ref="M11:O11"/>
    <mergeCell ref="E11:J12"/>
    <mergeCell ref="A11:D12"/>
    <mergeCell ref="K11:L11"/>
    <mergeCell ref="A6:D6"/>
    <mergeCell ref="E6:J6"/>
    <mergeCell ref="M6:O6"/>
    <mergeCell ref="A7:D7"/>
    <mergeCell ref="E7:J7"/>
    <mergeCell ref="M7:O7"/>
    <mergeCell ref="A10:D10"/>
    <mergeCell ref="E10:J10"/>
    <mergeCell ref="M10:O10"/>
    <mergeCell ref="A8:D8"/>
    <mergeCell ref="E8:J8"/>
    <mergeCell ref="M8:O8"/>
    <mergeCell ref="A9:D9"/>
    <mergeCell ref="E9:J9"/>
    <mergeCell ref="M9:O9"/>
    <mergeCell ref="A20:B20"/>
    <mergeCell ref="C20:O20"/>
    <mergeCell ref="A21:O21"/>
    <mergeCell ref="K13:L13"/>
    <mergeCell ref="M13:M14"/>
    <mergeCell ref="N13:O14"/>
    <mergeCell ref="C15:D15"/>
    <mergeCell ref="E15:F15"/>
    <mergeCell ref="G15:H15"/>
    <mergeCell ref="I15:J15"/>
    <mergeCell ref="N15:O15"/>
    <mergeCell ref="A13:A14"/>
    <mergeCell ref="C13:D14"/>
    <mergeCell ref="E13:F14"/>
    <mergeCell ref="G13:H14"/>
    <mergeCell ref="G18:H18"/>
    <mergeCell ref="I18:J18"/>
    <mergeCell ref="N18:O18"/>
    <mergeCell ref="C16:D16"/>
    <mergeCell ref="E16:F16"/>
    <mergeCell ref="G16:H16"/>
    <mergeCell ref="I16:J16"/>
    <mergeCell ref="N16:O16"/>
    <mergeCell ref="C17:D17"/>
    <mergeCell ref="E17:F17"/>
    <mergeCell ref="G17:H17"/>
    <mergeCell ref="I17:J17"/>
    <mergeCell ref="N17:O17"/>
    <mergeCell ref="D2:O3"/>
    <mergeCell ref="M12:O12"/>
    <mergeCell ref="A29:C29"/>
    <mergeCell ref="A30:C30"/>
    <mergeCell ref="A18:B18"/>
    <mergeCell ref="C18:D18"/>
    <mergeCell ref="E18:F18"/>
    <mergeCell ref="B13:B14"/>
    <mergeCell ref="A27:O27"/>
    <mergeCell ref="A28:O28"/>
    <mergeCell ref="A19:C19"/>
    <mergeCell ref="D19:F19"/>
    <mergeCell ref="G19:M19"/>
    <mergeCell ref="N19:O19"/>
    <mergeCell ref="A26:O26"/>
    <mergeCell ref="I13:J14"/>
  </mergeCells>
  <dataValidations count="3">
    <dataValidation type="list" allowBlank="1" showInputMessage="1" showErrorMessage="1" sqref="A24">
      <formula1>revisonombres</formula1>
    </dataValidation>
    <dataValidation type="list" allowBlank="1" showInputMessage="1" showErrorMessage="1" sqref="W2 I24">
      <formula1>aprobonombres</formula1>
    </dataValidation>
    <dataValidation type="list" allowBlank="1" showInputMessage="1" showErrorMessage="1" sqref="D19:F19">
      <formula1>$Q$4:$Q$7</formula1>
    </dataValidation>
  </dataValidations>
  <printOptions horizontalCentered="1"/>
  <pageMargins left="0.51181102362204722" right="0.19685039370078741" top="0" bottom="0" header="0" footer="0.74803149606299213"/>
  <pageSetup paperSize="9" pageOrder="overThenDown" orientation="portrait" r:id="rId1"/>
  <headerFooter scaleWithDoc="0">
    <oddFooter xml:space="preserve">&amp;L&amp;6Calle 26 No. 57-41 Torre 8 Piso 8 CEMSA - CP: 1113111            
Pbx: 3779555  - Información: Línea 195     
www.umv.gov.co111311&amp;C&amp;6Página 1 de 1
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AM184"/>
  <sheetViews>
    <sheetView showGridLines="0" view="pageBreakPreview" topLeftCell="A16" zoomScale="90" zoomScaleSheetLayoutView="90" workbookViewId="0">
      <selection activeCell="E8" sqref="E8:J8"/>
    </sheetView>
  </sheetViews>
  <sheetFormatPr baseColWidth="10" defaultRowHeight="12.75" x14ac:dyDescent="0.2"/>
  <cols>
    <col min="1" max="1" width="6.42578125" style="11" customWidth="1"/>
    <col min="2" max="2" width="6.140625" style="11" customWidth="1"/>
    <col min="3" max="3" width="6" style="11" customWidth="1"/>
    <col min="4" max="4" width="5.140625" style="11" customWidth="1"/>
    <col min="5" max="5" width="6.140625" style="11" customWidth="1"/>
    <col min="6" max="6" width="5.140625" style="11" customWidth="1"/>
    <col min="7" max="7" width="5" style="11" customWidth="1"/>
    <col min="8" max="8" width="7.85546875" style="11" customWidth="1"/>
    <col min="9" max="9" width="5.5703125" style="11" customWidth="1"/>
    <col min="10" max="10" width="7.42578125" style="11" customWidth="1"/>
    <col min="11" max="11" width="8.7109375" style="11" customWidth="1"/>
    <col min="12" max="12" width="9" style="11" customWidth="1"/>
    <col min="13" max="13" width="7.7109375" style="11" customWidth="1"/>
    <col min="14" max="15" width="4.7109375" style="11" customWidth="1"/>
    <col min="16" max="16" width="11" style="11" customWidth="1"/>
    <col min="17" max="17" width="11.42578125" style="11"/>
    <col min="18" max="18" width="12.7109375" style="11" customWidth="1"/>
    <col min="19" max="19" width="11.42578125" style="11"/>
    <col min="20" max="20" width="16" style="11" customWidth="1"/>
    <col min="21" max="24" width="11.42578125" style="11"/>
    <col min="25" max="25" width="17.7109375" style="11" bestFit="1" customWidth="1"/>
    <col min="26" max="16384" width="11.42578125" style="11"/>
  </cols>
  <sheetData>
    <row r="1" spans="1:33" ht="15" customHeight="1" x14ac:dyDescent="0.2">
      <c r="A1" s="1004"/>
      <c r="B1" s="1005"/>
      <c r="C1" s="1006"/>
      <c r="D1" s="1204" t="s">
        <v>26</v>
      </c>
      <c r="E1" s="1205"/>
      <c r="F1" s="1205"/>
      <c r="G1" s="1205"/>
      <c r="H1" s="1205"/>
      <c r="I1" s="1205"/>
      <c r="J1" s="1205"/>
      <c r="K1" s="1205"/>
      <c r="L1" s="1205"/>
      <c r="M1" s="1205"/>
      <c r="N1" s="1205"/>
      <c r="O1" s="1206"/>
      <c r="P1" s="12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</row>
    <row r="2" spans="1:33" ht="15" customHeight="1" x14ac:dyDescent="0.2">
      <c r="A2" s="1007"/>
      <c r="B2" s="1008"/>
      <c r="C2" s="1009"/>
      <c r="D2" s="1032" t="s">
        <v>12</v>
      </c>
      <c r="E2" s="1033"/>
      <c r="F2" s="1033"/>
      <c r="G2" s="1033"/>
      <c r="H2" s="1033"/>
      <c r="I2" s="1033"/>
      <c r="J2" s="1033"/>
      <c r="K2" s="1033"/>
      <c r="L2" s="1033"/>
      <c r="M2" s="1033"/>
      <c r="N2" s="1033"/>
      <c r="O2" s="1034"/>
      <c r="P2" s="224"/>
      <c r="Q2" s="46"/>
      <c r="R2" s="46"/>
      <c r="S2" s="46"/>
      <c r="AD2" s="46"/>
      <c r="AE2" s="46"/>
    </row>
    <row r="3" spans="1:33" ht="15" customHeight="1" thickBot="1" x14ac:dyDescent="0.25">
      <c r="A3" s="1007"/>
      <c r="B3" s="1008"/>
      <c r="C3" s="1009"/>
      <c r="D3" s="1035"/>
      <c r="E3" s="1036"/>
      <c r="F3" s="1036"/>
      <c r="G3" s="1036"/>
      <c r="H3" s="1036"/>
      <c r="I3" s="1036"/>
      <c r="J3" s="1036"/>
      <c r="K3" s="1036"/>
      <c r="L3" s="1036"/>
      <c r="M3" s="1036"/>
      <c r="N3" s="1036"/>
      <c r="O3" s="1037"/>
      <c r="P3" s="224"/>
      <c r="Q3" s="46"/>
      <c r="R3" s="46"/>
      <c r="S3" s="46"/>
      <c r="AD3" s="46"/>
      <c r="AE3" s="46"/>
    </row>
    <row r="4" spans="1:33" ht="14.1" customHeight="1" thickTop="1" x14ac:dyDescent="0.2">
      <c r="A4" s="1007"/>
      <c r="B4" s="1008"/>
      <c r="C4" s="1009"/>
      <c r="D4" s="1013" t="s">
        <v>246</v>
      </c>
      <c r="E4" s="1014"/>
      <c r="F4" s="1014"/>
      <c r="G4" s="1014"/>
      <c r="H4" s="1014"/>
      <c r="I4" s="1014"/>
      <c r="J4" s="1014"/>
      <c r="K4" s="1014"/>
      <c r="L4" s="1015"/>
      <c r="M4" s="1013" t="s">
        <v>326</v>
      </c>
      <c r="N4" s="1014"/>
      <c r="O4" s="1015"/>
      <c r="P4" s="127"/>
      <c r="S4" s="1298" t="s">
        <v>333</v>
      </c>
      <c r="T4" s="765" t="s">
        <v>334</v>
      </c>
      <c r="U4" s="739" t="s">
        <v>0</v>
      </c>
      <c r="V4" s="739" t="s">
        <v>1</v>
      </c>
      <c r="W4" s="740" t="s">
        <v>4</v>
      </c>
      <c r="X4" s="740" t="s">
        <v>2</v>
      </c>
      <c r="Y4" s="740" t="s">
        <v>10</v>
      </c>
      <c r="Z4" s="740" t="s">
        <v>16</v>
      </c>
      <c r="AA4" s="740" t="s">
        <v>17</v>
      </c>
      <c r="AB4" s="740" t="s">
        <v>18</v>
      </c>
      <c r="AC4" s="741" t="s">
        <v>19</v>
      </c>
      <c r="AD4" s="46"/>
      <c r="AE4" s="46"/>
      <c r="AF4" s="46"/>
      <c r="AG4" s="46"/>
    </row>
    <row r="5" spans="1:33" ht="14.1" customHeight="1" x14ac:dyDescent="0.2">
      <c r="A5" s="1010"/>
      <c r="B5" s="1011"/>
      <c r="C5" s="1012"/>
      <c r="D5" s="1013" t="s">
        <v>280</v>
      </c>
      <c r="E5" s="1014"/>
      <c r="F5" s="1014"/>
      <c r="G5" s="1014"/>
      <c r="H5" s="1014"/>
      <c r="I5" s="1014"/>
      <c r="J5" s="1014"/>
      <c r="K5" s="1014"/>
      <c r="L5" s="1014"/>
      <c r="M5" s="1014"/>
      <c r="N5" s="1014"/>
      <c r="O5" s="1015"/>
      <c r="P5" s="127"/>
      <c r="S5" s="1299"/>
      <c r="T5" s="766"/>
      <c r="U5" s="742">
        <v>25</v>
      </c>
      <c r="V5" s="743">
        <v>19</v>
      </c>
      <c r="W5" s="743">
        <v>12.5</v>
      </c>
      <c r="X5" s="743">
        <v>9.5</v>
      </c>
      <c r="Y5" s="743">
        <v>4.75</v>
      </c>
      <c r="Z5" s="743">
        <v>2</v>
      </c>
      <c r="AA5" s="743">
        <v>0.42499999999999999</v>
      </c>
      <c r="AB5" s="743">
        <v>0.18</v>
      </c>
      <c r="AC5" s="744">
        <v>7.4999999999999997E-2</v>
      </c>
      <c r="AD5" s="46"/>
      <c r="AE5" s="46"/>
      <c r="AF5" s="46"/>
      <c r="AG5" s="46"/>
    </row>
    <row r="6" spans="1:33" ht="14.1" customHeight="1" x14ac:dyDescent="0.2">
      <c r="A6" s="892" t="s">
        <v>41</v>
      </c>
      <c r="B6" s="885"/>
      <c r="C6" s="885"/>
      <c r="E6" s="1288" t="str">
        <f>+IF(Resumen!E6="","",Resumen!E6)</f>
        <v/>
      </c>
      <c r="F6" s="1288"/>
      <c r="G6" s="1288"/>
      <c r="H6" s="1288"/>
      <c r="I6" s="1288"/>
      <c r="J6" s="1288"/>
      <c r="K6" s="885" t="s">
        <v>59</v>
      </c>
      <c r="L6" s="885"/>
      <c r="M6" s="1025" t="str">
        <f>+IF(Resumen!M6="","",Resumen!M6)</f>
        <v/>
      </c>
      <c r="N6" s="1025"/>
      <c r="O6" s="1192"/>
      <c r="P6" s="137"/>
      <c r="Q6" s="382"/>
      <c r="R6" s="382"/>
      <c r="S6" s="1299"/>
      <c r="T6" s="767" t="s">
        <v>384</v>
      </c>
      <c r="U6" s="745" t="s">
        <v>0</v>
      </c>
      <c r="V6" s="745" t="s">
        <v>1</v>
      </c>
      <c r="W6" s="360" t="s">
        <v>4</v>
      </c>
      <c r="X6" s="360" t="s">
        <v>2</v>
      </c>
      <c r="Y6" s="360" t="s">
        <v>10</v>
      </c>
      <c r="Z6" s="360" t="s">
        <v>332</v>
      </c>
      <c r="AA6" s="360" t="s">
        <v>19</v>
      </c>
      <c r="AB6" s="746"/>
      <c r="AC6" s="729"/>
      <c r="AD6" s="520"/>
      <c r="AE6" s="82"/>
      <c r="AF6" s="46"/>
      <c r="AG6" s="46"/>
    </row>
    <row r="7" spans="1:33" ht="14.1" customHeight="1" thickBot="1" x14ac:dyDescent="0.25">
      <c r="A7" s="893" t="s">
        <v>42</v>
      </c>
      <c r="B7" s="894"/>
      <c r="C7" s="894"/>
      <c r="E7" s="1283" t="str">
        <f>+IF(Resumen!E7="","",Resumen!E7)</f>
        <v/>
      </c>
      <c r="F7" s="1283"/>
      <c r="G7" s="1283"/>
      <c r="H7" s="1283"/>
      <c r="I7" s="1283"/>
      <c r="J7" s="1283"/>
      <c r="K7" s="887" t="s">
        <v>47</v>
      </c>
      <c r="L7" s="887"/>
      <c r="M7" s="1193" t="str">
        <f>+IF(Resumen!M7="","",Resumen!M7)</f>
        <v/>
      </c>
      <c r="N7" s="1193"/>
      <c r="O7" s="1194"/>
      <c r="P7" s="137"/>
      <c r="Q7" s="382"/>
      <c r="R7" s="382"/>
      <c r="S7" s="1300"/>
      <c r="T7" s="766"/>
      <c r="U7" s="747">
        <v>25</v>
      </c>
      <c r="V7" s="748">
        <v>19</v>
      </c>
      <c r="W7" s="748">
        <v>12.5</v>
      </c>
      <c r="X7" s="748">
        <v>9.5</v>
      </c>
      <c r="Y7" s="748">
        <v>4.75</v>
      </c>
      <c r="Z7" s="748">
        <v>2.36</v>
      </c>
      <c r="AA7" s="748">
        <v>7.4999999999999997E-2</v>
      </c>
      <c r="AB7" s="746"/>
      <c r="AC7" s="729"/>
      <c r="AD7" s="520"/>
      <c r="AE7" s="82"/>
      <c r="AF7" s="46"/>
      <c r="AG7" s="46"/>
    </row>
    <row r="8" spans="1:33" ht="14.1" customHeight="1" thickTop="1" x14ac:dyDescent="0.2">
      <c r="A8" s="932" t="s">
        <v>56</v>
      </c>
      <c r="B8" s="933"/>
      <c r="C8" s="933"/>
      <c r="D8" s="933"/>
      <c r="E8" s="1193" t="str">
        <f>+IF(Resumen!E8="","",Resumen!E8)</f>
        <v/>
      </c>
      <c r="F8" s="1193"/>
      <c r="G8" s="1193"/>
      <c r="H8" s="1193"/>
      <c r="I8" s="1193"/>
      <c r="J8" s="1193"/>
      <c r="K8" s="887" t="s">
        <v>60</v>
      </c>
      <c r="L8" s="887"/>
      <c r="M8" s="1174" t="str">
        <f>+IF(Resumen!M8="","",Resumen!M8)</f>
        <v/>
      </c>
      <c r="N8" s="1174"/>
      <c r="O8" s="1175"/>
      <c r="P8" s="259"/>
      <c r="Q8" s="382"/>
      <c r="R8" s="382"/>
      <c r="S8" s="1301" t="s">
        <v>14</v>
      </c>
      <c r="T8" s="768">
        <v>1</v>
      </c>
      <c r="U8" s="749">
        <v>2</v>
      </c>
      <c r="V8" s="749">
        <v>3</v>
      </c>
      <c r="W8" s="749">
        <v>4</v>
      </c>
      <c r="X8" s="749">
        <v>5</v>
      </c>
      <c r="Y8" s="749">
        <v>6</v>
      </c>
      <c r="Z8" s="749">
        <v>7</v>
      </c>
      <c r="AA8" s="749">
        <v>8</v>
      </c>
      <c r="AB8" s="749">
        <v>9</v>
      </c>
      <c r="AC8" s="750">
        <v>10</v>
      </c>
      <c r="AD8" s="382"/>
      <c r="AF8" s="46"/>
      <c r="AG8" s="46"/>
    </row>
    <row r="9" spans="1:33" ht="14.1" customHeight="1" x14ac:dyDescent="0.2">
      <c r="A9" s="1021" t="s">
        <v>387</v>
      </c>
      <c r="B9" s="1022"/>
      <c r="C9" s="1022"/>
      <c r="D9" s="1022"/>
      <c r="E9" s="1193" t="str">
        <f>+IF(Resumen!E9="","",Resumen!E9)</f>
        <v/>
      </c>
      <c r="F9" s="1193"/>
      <c r="G9" s="1193"/>
      <c r="H9" s="1193"/>
      <c r="I9" s="1193"/>
      <c r="J9" s="1193"/>
      <c r="K9" s="887" t="s">
        <v>61</v>
      </c>
      <c r="L9" s="887"/>
      <c r="M9" s="1174" t="str">
        <f>+IF(Resumen!M9="","",Resumen!M9)</f>
        <v/>
      </c>
      <c r="N9" s="1174"/>
      <c r="O9" s="1175"/>
      <c r="P9" s="259"/>
      <c r="Q9" s="382"/>
      <c r="R9" s="382"/>
      <c r="S9" s="1302"/>
      <c r="T9" s="769" t="s">
        <v>123</v>
      </c>
      <c r="U9" s="751">
        <v>100</v>
      </c>
      <c r="V9" s="751">
        <v>100</v>
      </c>
      <c r="W9" s="751">
        <v>100</v>
      </c>
      <c r="X9" s="751">
        <v>80</v>
      </c>
      <c r="Y9" s="751">
        <v>59</v>
      </c>
      <c r="Z9" s="751">
        <v>36</v>
      </c>
      <c r="AA9" s="751">
        <v>15</v>
      </c>
      <c r="AB9" s="751">
        <v>9</v>
      </c>
      <c r="AC9" s="752">
        <v>5</v>
      </c>
      <c r="AD9" s="382"/>
      <c r="AF9" s="46"/>
      <c r="AG9" s="46"/>
    </row>
    <row r="10" spans="1:33" ht="14.1" customHeight="1" x14ac:dyDescent="0.2">
      <c r="A10" s="895" t="s">
        <v>196</v>
      </c>
      <c r="B10" s="887"/>
      <c r="C10" s="887"/>
      <c r="E10" s="1286" t="str">
        <f>+IF(Resumen!E10="","",Resumen!E10)</f>
        <v/>
      </c>
      <c r="F10" s="1286"/>
      <c r="G10" s="1286"/>
      <c r="H10" s="1286"/>
      <c r="I10" s="1286"/>
      <c r="J10" s="1286"/>
      <c r="K10" s="887" t="s">
        <v>53</v>
      </c>
      <c r="L10" s="887"/>
      <c r="M10" s="1019"/>
      <c r="N10" s="1019"/>
      <c r="O10" s="1020"/>
      <c r="P10" s="259"/>
      <c r="Q10" s="382"/>
      <c r="R10" s="382"/>
      <c r="S10" s="1302"/>
      <c r="T10" s="770" t="s">
        <v>35</v>
      </c>
      <c r="U10" s="753">
        <v>100</v>
      </c>
      <c r="V10" s="753">
        <v>100</v>
      </c>
      <c r="W10" s="753">
        <v>80</v>
      </c>
      <c r="X10" s="753">
        <v>71</v>
      </c>
      <c r="Y10" s="753">
        <v>49</v>
      </c>
      <c r="Z10" s="753">
        <v>30</v>
      </c>
      <c r="AA10" s="753">
        <v>14</v>
      </c>
      <c r="AB10" s="753">
        <v>8</v>
      </c>
      <c r="AC10" s="754">
        <v>4</v>
      </c>
      <c r="AD10" s="382"/>
      <c r="AF10" s="46"/>
      <c r="AG10" s="46"/>
    </row>
    <row r="11" spans="1:33" ht="15" customHeight="1" x14ac:dyDescent="0.2">
      <c r="A11" s="895" t="s">
        <v>91</v>
      </c>
      <c r="B11" s="887"/>
      <c r="C11" s="887"/>
      <c r="E11" s="1195" t="str">
        <f>+IF(Resumen!E11="","",Resumen!E11)</f>
        <v/>
      </c>
      <c r="F11" s="1195"/>
      <c r="G11" s="1195"/>
      <c r="H11" s="1195"/>
      <c r="I11" s="1195"/>
      <c r="J11" s="1195"/>
      <c r="K11" s="1191" t="s">
        <v>164</v>
      </c>
      <c r="L11" s="1191"/>
      <c r="M11" s="1174" t="str">
        <f>+IF(Resumen!M11="","",Resumen!M11)</f>
        <v/>
      </c>
      <c r="N11" s="1174"/>
      <c r="O11" s="1175"/>
      <c r="P11" s="278"/>
      <c r="Q11" s="382"/>
      <c r="R11" s="382"/>
      <c r="S11" s="1302"/>
      <c r="T11" s="771" t="s">
        <v>347</v>
      </c>
      <c r="U11" s="753">
        <v>100</v>
      </c>
      <c r="V11" s="753">
        <v>100</v>
      </c>
      <c r="W11" s="753">
        <v>86</v>
      </c>
      <c r="X11" s="753">
        <v>80</v>
      </c>
      <c r="Y11" s="753">
        <v>53</v>
      </c>
      <c r="Z11" s="753">
        <v>32</v>
      </c>
      <c r="AA11" s="753">
        <v>16</v>
      </c>
      <c r="AB11" s="753">
        <v>8</v>
      </c>
      <c r="AC11" s="754">
        <v>6</v>
      </c>
      <c r="AD11" s="382"/>
      <c r="AF11" s="46"/>
      <c r="AG11" s="46"/>
    </row>
    <row r="12" spans="1:33" ht="15" customHeight="1" thickBot="1" x14ac:dyDescent="0.25">
      <c r="A12" s="896"/>
      <c r="B12" s="897"/>
      <c r="C12" s="897"/>
      <c r="D12" s="1190"/>
      <c r="E12" s="1190"/>
      <c r="F12" s="1190"/>
      <c r="G12" s="1190"/>
      <c r="H12" s="1190"/>
      <c r="I12" s="1190"/>
      <c r="J12" s="1190"/>
      <c r="K12" s="889" t="s">
        <v>163</v>
      </c>
      <c r="L12" s="891"/>
      <c r="M12" s="1018"/>
      <c r="N12" s="1018"/>
      <c r="O12" s="1028"/>
      <c r="P12" s="278"/>
      <c r="Q12" s="382"/>
      <c r="R12" s="382"/>
      <c r="S12" s="1302"/>
      <c r="T12" s="771" t="s">
        <v>346</v>
      </c>
      <c r="U12" s="753">
        <v>100</v>
      </c>
      <c r="V12" s="753">
        <v>100</v>
      </c>
      <c r="W12" s="753">
        <v>100</v>
      </c>
      <c r="X12" s="753">
        <v>93.25</v>
      </c>
      <c r="Y12" s="753">
        <v>67.209999999999994</v>
      </c>
      <c r="Z12" s="753">
        <v>45</v>
      </c>
      <c r="AA12" s="753">
        <v>22</v>
      </c>
      <c r="AB12" s="753">
        <v>12</v>
      </c>
      <c r="AC12" s="754">
        <v>6.7</v>
      </c>
      <c r="AD12" s="382"/>
      <c r="AF12" s="46"/>
      <c r="AG12" s="46"/>
    </row>
    <row r="13" spans="1:33" ht="32.25" customHeight="1" thickTop="1" x14ac:dyDescent="0.2">
      <c r="A13" s="867" t="s">
        <v>101</v>
      </c>
      <c r="B13" s="1284" t="s">
        <v>22</v>
      </c>
      <c r="C13" s="1284"/>
      <c r="D13" s="1287" t="s">
        <v>31</v>
      </c>
      <c r="E13" s="1287"/>
      <c r="F13" s="1287"/>
      <c r="G13" s="1284" t="s">
        <v>55</v>
      </c>
      <c r="H13" s="1284"/>
      <c r="I13" s="1284"/>
      <c r="J13" s="1284" t="s">
        <v>32</v>
      </c>
      <c r="K13" s="1284"/>
      <c r="L13" s="1284"/>
      <c r="M13" s="229" t="s">
        <v>213</v>
      </c>
      <c r="N13" s="1284" t="s">
        <v>92</v>
      </c>
      <c r="O13" s="1285"/>
      <c r="P13" s="306"/>
      <c r="Q13" s="522" t="s">
        <v>92</v>
      </c>
      <c r="R13" s="1296" t="s">
        <v>336</v>
      </c>
      <c r="S13" s="1302"/>
      <c r="T13" s="770" t="s">
        <v>125</v>
      </c>
      <c r="U13" s="753">
        <v>100</v>
      </c>
      <c r="V13" s="753">
        <v>80</v>
      </c>
      <c r="W13" s="753">
        <v>66</v>
      </c>
      <c r="X13" s="753">
        <v>59</v>
      </c>
      <c r="Y13" s="753">
        <v>42</v>
      </c>
      <c r="Z13" s="753">
        <v>27</v>
      </c>
      <c r="AA13" s="753">
        <v>12</v>
      </c>
      <c r="AB13" s="753">
        <v>8</v>
      </c>
      <c r="AC13" s="754">
        <v>4</v>
      </c>
      <c r="AD13" s="382"/>
      <c r="AF13" s="46"/>
      <c r="AG13" s="46"/>
    </row>
    <row r="14" spans="1:33" ht="15" customHeight="1" x14ac:dyDescent="0.2">
      <c r="A14" s="44">
        <v>1</v>
      </c>
      <c r="B14" s="1278" t="str">
        <f>+IF('732'!G15="","",'732'!G15)</f>
        <v/>
      </c>
      <c r="C14" s="1278"/>
      <c r="D14" s="1278" t="str">
        <f>IF(B14="","",B14+('732'!L15-'732'!K15))</f>
        <v/>
      </c>
      <c r="E14" s="1278"/>
      <c r="F14" s="1278"/>
      <c r="G14" s="1279"/>
      <c r="H14" s="1279"/>
      <c r="I14" s="1279"/>
      <c r="J14" s="1280" t="str">
        <f>IF(B14="","",B14-G14)</f>
        <v/>
      </c>
      <c r="K14" s="1280"/>
      <c r="L14" s="1280"/>
      <c r="M14" s="226" t="str">
        <f>IF(OR(E20="",B14=""),"",SUM(E20:M20)+O20)</f>
        <v/>
      </c>
      <c r="N14" s="1281" t="str">
        <f>IF(M14="","",1-(Q20/G14))</f>
        <v/>
      </c>
      <c r="O14" s="1282"/>
      <c r="P14" s="306"/>
      <c r="Q14" s="523" t="str">
        <f>IF(N14="","",IF(N14&gt;0.2,"No cumple","cumple"))</f>
        <v/>
      </c>
      <c r="R14" s="1297"/>
      <c r="S14" s="1302"/>
      <c r="T14" s="767" t="s">
        <v>384</v>
      </c>
      <c r="U14" s="755">
        <v>100</v>
      </c>
      <c r="V14" s="755">
        <v>90</v>
      </c>
      <c r="W14" s="755">
        <v>77</v>
      </c>
      <c r="X14" s="755">
        <v>59</v>
      </c>
      <c r="Y14" s="755">
        <v>28</v>
      </c>
      <c r="Z14" s="755">
        <v>14</v>
      </c>
      <c r="AA14" s="777">
        <v>2</v>
      </c>
      <c r="AB14" s="777" t="s">
        <v>154</v>
      </c>
      <c r="AC14" s="937" t="s">
        <v>154</v>
      </c>
      <c r="AD14" s="382"/>
      <c r="AF14" s="46"/>
      <c r="AG14" s="46"/>
    </row>
    <row r="15" spans="1:33" ht="15" customHeight="1" x14ac:dyDescent="0.2">
      <c r="A15" s="45">
        <v>2</v>
      </c>
      <c r="B15" s="1208" t="str">
        <f>+IF('732'!G16="","",'732'!G16)</f>
        <v/>
      </c>
      <c r="C15" s="1208"/>
      <c r="D15" s="1208" t="str">
        <f>IF(B15="","",B15+('732'!L16-'732'!K16))</f>
        <v/>
      </c>
      <c r="E15" s="1208"/>
      <c r="F15" s="1208"/>
      <c r="G15" s="1209"/>
      <c r="H15" s="1209"/>
      <c r="I15" s="1209"/>
      <c r="J15" s="1210" t="str">
        <f>IF(B15="","",B15-G15)</f>
        <v/>
      </c>
      <c r="K15" s="1210"/>
      <c r="L15" s="1210"/>
      <c r="M15" s="873" t="str">
        <f>IF(OR(E21="",B15=""),"",SUM(E21:M21)+O21)</f>
        <v/>
      </c>
      <c r="N15" s="1215" t="str">
        <f>IF(M15="","",1-(Q21/G15))</f>
        <v/>
      </c>
      <c r="O15" s="1216"/>
      <c r="P15" s="162"/>
      <c r="Q15" s="523" t="str">
        <f>IF(N15="","",IF(N15&gt;0.2,"No cumple","cumple"))</f>
        <v/>
      </c>
      <c r="R15" s="382" t="s">
        <v>30</v>
      </c>
      <c r="S15" s="1303" t="s">
        <v>15</v>
      </c>
      <c r="T15" s="769" t="s">
        <v>123</v>
      </c>
      <c r="U15" s="751">
        <v>100</v>
      </c>
      <c r="V15" s="751">
        <v>100</v>
      </c>
      <c r="W15" s="756">
        <v>100</v>
      </c>
      <c r="X15" s="756">
        <v>95</v>
      </c>
      <c r="Y15" s="756">
        <v>76</v>
      </c>
      <c r="Z15" s="751">
        <v>51</v>
      </c>
      <c r="AA15" s="756">
        <v>25</v>
      </c>
      <c r="AB15" s="756">
        <v>18</v>
      </c>
      <c r="AC15" s="757">
        <v>10</v>
      </c>
      <c r="AD15" s="382"/>
      <c r="AF15" s="46"/>
      <c r="AG15" s="46"/>
    </row>
    <row r="16" spans="1:33" ht="15" customHeight="1" x14ac:dyDescent="0.2">
      <c r="A16" s="45">
        <v>3</v>
      </c>
      <c r="B16" s="1208" t="str">
        <f>+IF('732'!G17="","",'732'!G17)</f>
        <v/>
      </c>
      <c r="C16" s="1208"/>
      <c r="D16" s="1208" t="str">
        <f>IF(B16="","",B16+('732'!L17-'732'!K17))</f>
        <v/>
      </c>
      <c r="E16" s="1208"/>
      <c r="F16" s="1208"/>
      <c r="G16" s="1218"/>
      <c r="H16" s="1218"/>
      <c r="I16" s="1218"/>
      <c r="J16" s="1210" t="str">
        <f>IF(B16="","",B16-G16)</f>
        <v/>
      </c>
      <c r="K16" s="1210"/>
      <c r="L16" s="1210"/>
      <c r="M16" s="873" t="str">
        <f>IF(OR(E22="",B16=""),"",SUM(E22:M22)+O22)</f>
        <v/>
      </c>
      <c r="N16" s="1215" t="str">
        <f>IF(M16="","",1-(Q22/G16))</f>
        <v/>
      </c>
      <c r="O16" s="1216"/>
      <c r="P16" s="164"/>
      <c r="Q16" s="523" t="str">
        <f>IF(N16="","",IF(N16&gt;0.2,"No cumple","cumple"))</f>
        <v/>
      </c>
      <c r="R16" s="865" t="s">
        <v>385</v>
      </c>
      <c r="S16" s="1302"/>
      <c r="T16" s="770" t="s">
        <v>35</v>
      </c>
      <c r="U16" s="753">
        <v>100</v>
      </c>
      <c r="V16" s="753">
        <v>100</v>
      </c>
      <c r="W16" s="758">
        <v>95</v>
      </c>
      <c r="X16" s="758">
        <v>87</v>
      </c>
      <c r="Y16" s="758">
        <v>65</v>
      </c>
      <c r="Z16" s="753">
        <v>44</v>
      </c>
      <c r="AA16" s="758">
        <v>22</v>
      </c>
      <c r="AB16" s="758">
        <v>16</v>
      </c>
      <c r="AC16" s="759">
        <v>9</v>
      </c>
      <c r="AD16" s="382"/>
      <c r="AF16" s="46"/>
      <c r="AG16" s="46"/>
    </row>
    <row r="17" spans="1:39" ht="15" customHeight="1" thickBot="1" x14ac:dyDescent="0.25">
      <c r="A17" s="225" t="s">
        <v>8</v>
      </c>
      <c r="B17" s="1219" t="str">
        <f>IF(B14="","",AVERAGE(B14:C16))</f>
        <v/>
      </c>
      <c r="C17" s="1219"/>
      <c r="D17" s="1219" t="str">
        <f>IF(D14="","",AVERAGE(D14:D16))</f>
        <v/>
      </c>
      <c r="E17" s="1219"/>
      <c r="F17" s="1219"/>
      <c r="G17" s="1219" t="str">
        <f>IF(G14="","",AVERAGE(G14:I16))</f>
        <v/>
      </c>
      <c r="H17" s="1219"/>
      <c r="I17" s="1219"/>
      <c r="J17" s="1219" t="str">
        <f>IF(J14="","",AVERAGE(J14:L16))</f>
        <v/>
      </c>
      <c r="K17" s="1219"/>
      <c r="L17" s="1219"/>
      <c r="M17" s="43" t="str">
        <f>IF(M14="","",AVERAGE(M14:M16))</f>
        <v/>
      </c>
      <c r="N17" s="1211" t="str">
        <f>IF(M17="","",1-(Q23/G17))</f>
        <v/>
      </c>
      <c r="O17" s="1212"/>
      <c r="P17" s="164"/>
      <c r="Q17" s="523" t="str">
        <f>IF(N17="","",IF(N17&gt;0.2,"No cumple","cumple"))</f>
        <v/>
      </c>
      <c r="R17" s="382"/>
      <c r="S17" s="1302"/>
      <c r="T17" s="771" t="s">
        <v>347</v>
      </c>
      <c r="U17" s="753">
        <v>100</v>
      </c>
      <c r="V17" s="753">
        <v>100</v>
      </c>
      <c r="W17" s="758">
        <v>94</v>
      </c>
      <c r="X17" s="758">
        <v>88</v>
      </c>
      <c r="Y17" s="758">
        <v>61</v>
      </c>
      <c r="Z17" s="753">
        <v>38</v>
      </c>
      <c r="AA17" s="758">
        <v>22</v>
      </c>
      <c r="AB17" s="758">
        <v>14</v>
      </c>
      <c r="AC17" s="759">
        <v>8</v>
      </c>
      <c r="AD17" s="382"/>
      <c r="AF17" s="46"/>
      <c r="AG17" s="46"/>
    </row>
    <row r="18" spans="1:39" ht="13.5" customHeight="1" thickTop="1" x14ac:dyDescent="0.2">
      <c r="A18" s="1220" t="s">
        <v>24</v>
      </c>
      <c r="B18" s="1221"/>
      <c r="C18" s="1221" t="s">
        <v>38</v>
      </c>
      <c r="D18" s="1221"/>
      <c r="E18" s="230" t="str">
        <f t="shared" ref="E18:I19" si="0">+IF($E$8="","",U4)</f>
        <v/>
      </c>
      <c r="F18" s="230" t="str">
        <f t="shared" si="0"/>
        <v/>
      </c>
      <c r="G18" s="230" t="str">
        <f t="shared" si="0"/>
        <v/>
      </c>
      <c r="H18" s="230" t="str">
        <f t="shared" si="0"/>
        <v/>
      </c>
      <c r="I18" s="230" t="str">
        <f t="shared" si="0"/>
        <v/>
      </c>
      <c r="J18" s="231" t="str">
        <f>+IF(E8="","",IF(E8=T14,Z6,Z4))</f>
        <v/>
      </c>
      <c r="K18" s="231" t="str">
        <f>+IF($E$8="","",IF($E$8=$T$6,AA28,AA4))</f>
        <v/>
      </c>
      <c r="L18" s="231" t="str">
        <f>+IF(OR($E$8="",$E$8=$T$6),"--",AB4)</f>
        <v>--</v>
      </c>
      <c r="M18" s="231" t="str">
        <f>+IF(OR($E$8="",$E$8=$T$6),"--",AA6)</f>
        <v>--</v>
      </c>
      <c r="N18" s="1224" t="s">
        <v>77</v>
      </c>
      <c r="O18" s="1225" t="s">
        <v>78</v>
      </c>
      <c r="P18" s="164"/>
      <c r="Q18" s="1213" t="s">
        <v>284</v>
      </c>
      <c r="R18" s="1306" t="s">
        <v>285</v>
      </c>
      <c r="S18" s="1302"/>
      <c r="T18" s="771" t="s">
        <v>346</v>
      </c>
      <c r="U18" s="753">
        <v>100</v>
      </c>
      <c r="V18" s="753">
        <v>100</v>
      </c>
      <c r="W18" s="758">
        <v>100</v>
      </c>
      <c r="X18" s="758">
        <v>97</v>
      </c>
      <c r="Y18" s="758">
        <v>71</v>
      </c>
      <c r="Z18" s="753">
        <v>48</v>
      </c>
      <c r="AA18" s="758">
        <v>25</v>
      </c>
      <c r="AB18" s="758">
        <v>15</v>
      </c>
      <c r="AC18" s="759">
        <v>8</v>
      </c>
      <c r="AD18" s="382"/>
      <c r="AF18" s="46"/>
      <c r="AG18" s="46"/>
    </row>
    <row r="19" spans="1:39" ht="13.5" customHeight="1" x14ac:dyDescent="0.2">
      <c r="A19" s="1222"/>
      <c r="B19" s="1223"/>
      <c r="C19" s="1217" t="s">
        <v>11</v>
      </c>
      <c r="D19" s="1217"/>
      <c r="E19" s="728" t="str">
        <f t="shared" si="0"/>
        <v/>
      </c>
      <c r="F19" s="728" t="str">
        <f t="shared" si="0"/>
        <v/>
      </c>
      <c r="G19" s="728" t="str">
        <f t="shared" si="0"/>
        <v/>
      </c>
      <c r="H19" s="728" t="str">
        <f t="shared" si="0"/>
        <v/>
      </c>
      <c r="I19" s="728" t="str">
        <f t="shared" si="0"/>
        <v/>
      </c>
      <c r="J19" s="232" t="str">
        <f>+IF(E8="","",IF(E8=T14,Z7,Z5))</f>
        <v/>
      </c>
      <c r="K19" s="232" t="str">
        <f>+IF($E$8="","",IF($E$8=$T$6,AA7,AA5))</f>
        <v/>
      </c>
      <c r="L19" s="232" t="str">
        <f>+IF(OR($E$8="",$E$8=$T$6),"--",AB5)</f>
        <v>--</v>
      </c>
      <c r="M19" s="232" t="str">
        <f>+IF(OR($E$8="",$E$8=$T$6),"--",AA7)</f>
        <v>--</v>
      </c>
      <c r="N19" s="1182"/>
      <c r="O19" s="1225"/>
      <c r="P19" s="164"/>
      <c r="Q19" s="1214"/>
      <c r="R19" s="1307"/>
      <c r="S19" s="1302"/>
      <c r="T19" s="770" t="s">
        <v>125</v>
      </c>
      <c r="U19" s="753">
        <v>100</v>
      </c>
      <c r="V19" s="753">
        <v>95</v>
      </c>
      <c r="W19" s="758">
        <v>82</v>
      </c>
      <c r="X19" s="758">
        <v>75</v>
      </c>
      <c r="Y19" s="758">
        <v>58</v>
      </c>
      <c r="Z19" s="753">
        <v>41</v>
      </c>
      <c r="AA19" s="758">
        <v>22</v>
      </c>
      <c r="AB19" s="758">
        <v>16</v>
      </c>
      <c r="AC19" s="759">
        <v>9</v>
      </c>
      <c r="AD19" s="382"/>
      <c r="AF19" s="46"/>
      <c r="AG19" s="46"/>
    </row>
    <row r="20" spans="1:39" ht="15" customHeight="1" x14ac:dyDescent="0.2">
      <c r="A20" s="1244" t="s">
        <v>220</v>
      </c>
      <c r="B20" s="1247" t="s">
        <v>25</v>
      </c>
      <c r="C20" s="1248"/>
      <c r="D20" s="241">
        <v>1</v>
      </c>
      <c r="E20" s="14"/>
      <c r="F20" s="15"/>
      <c r="G20" s="15"/>
      <c r="H20" s="15"/>
      <c r="I20" s="15"/>
      <c r="J20" s="15"/>
      <c r="K20" s="15"/>
      <c r="L20" s="15"/>
      <c r="M20" s="15"/>
      <c r="N20" s="15"/>
      <c r="O20" s="47" t="str">
        <f>IF(OR(N20="",J14=""),"",N20+J14+('732'!L15-'732'!K15))</f>
        <v/>
      </c>
      <c r="P20" s="164"/>
      <c r="Q20" s="524">
        <f>SUM(E20:N20)</f>
        <v>0</v>
      </c>
      <c r="R20" s="525">
        <f>G14-Q20</f>
        <v>0</v>
      </c>
      <c r="S20" s="1304"/>
      <c r="T20" s="766" t="s">
        <v>384</v>
      </c>
      <c r="U20" s="760">
        <v>100</v>
      </c>
      <c r="V20" s="760">
        <v>100</v>
      </c>
      <c r="W20" s="760">
        <v>93</v>
      </c>
      <c r="X20" s="760">
        <v>76</v>
      </c>
      <c r="Y20" s="760">
        <v>49</v>
      </c>
      <c r="Z20" s="760">
        <v>27</v>
      </c>
      <c r="AA20" s="778">
        <v>8</v>
      </c>
      <c r="AB20" s="778" t="s">
        <v>154</v>
      </c>
      <c r="AC20" s="938" t="s">
        <v>154</v>
      </c>
      <c r="AD20" s="382"/>
      <c r="AF20" s="82"/>
      <c r="AG20" s="82"/>
      <c r="AH20" s="17"/>
      <c r="AI20" s="17"/>
      <c r="AJ20" s="17"/>
      <c r="AK20" s="17"/>
      <c r="AL20" s="17"/>
      <c r="AM20" s="17"/>
    </row>
    <row r="21" spans="1:39" ht="15" customHeight="1" x14ac:dyDescent="0.2">
      <c r="A21" s="1245"/>
      <c r="B21" s="1249"/>
      <c r="C21" s="1250"/>
      <c r="D21" s="242">
        <v>2</v>
      </c>
      <c r="E21" s="16"/>
      <c r="F21" s="7"/>
      <c r="G21" s="7"/>
      <c r="H21" s="7"/>
      <c r="I21" s="7"/>
      <c r="J21" s="7"/>
      <c r="K21" s="7"/>
      <c r="L21" s="7"/>
      <c r="M21" s="7"/>
      <c r="N21" s="7"/>
      <c r="O21" s="48" t="str">
        <f>IF(OR(N21="",J15=""),"",N21+J15+('732'!L16-'732'!K16))</f>
        <v/>
      </c>
      <c r="P21" s="164"/>
      <c r="Q21" s="524">
        <f>SUM(E21:N21)</f>
        <v>0</v>
      </c>
      <c r="R21" s="525">
        <f>G15-Q21</f>
        <v>0</v>
      </c>
      <c r="S21" s="1303" t="s">
        <v>29</v>
      </c>
      <c r="T21" s="772" t="s">
        <v>123</v>
      </c>
      <c r="U21" s="761">
        <v>100</v>
      </c>
      <c r="V21" s="761">
        <v>100</v>
      </c>
      <c r="W21" s="762">
        <v>97</v>
      </c>
      <c r="X21" s="762">
        <v>85</v>
      </c>
      <c r="Y21" s="762">
        <v>66</v>
      </c>
      <c r="Z21" s="761">
        <v>43</v>
      </c>
      <c r="AA21" s="762">
        <v>19</v>
      </c>
      <c r="AB21" s="762">
        <v>11</v>
      </c>
      <c r="AC21" s="763">
        <v>6</v>
      </c>
      <c r="AD21" s="799" t="s">
        <v>374</v>
      </c>
      <c r="AF21" s="82"/>
      <c r="AG21" s="844" t="s">
        <v>373</v>
      </c>
      <c r="AH21" s="17"/>
      <c r="AI21" s="17"/>
      <c r="AJ21" s="17"/>
      <c r="AK21" s="17"/>
      <c r="AL21" s="17"/>
      <c r="AM21" s="17"/>
    </row>
    <row r="22" spans="1:39" ht="15" customHeight="1" x14ac:dyDescent="0.2">
      <c r="A22" s="1245"/>
      <c r="B22" s="1251"/>
      <c r="C22" s="1252"/>
      <c r="D22" s="242">
        <v>3</v>
      </c>
      <c r="E22" s="16"/>
      <c r="F22" s="7"/>
      <c r="G22" s="7"/>
      <c r="H22" s="7"/>
      <c r="I22" s="7"/>
      <c r="J22" s="7"/>
      <c r="K22" s="7"/>
      <c r="L22" s="7"/>
      <c r="M22" s="7"/>
      <c r="N22" s="7"/>
      <c r="O22" s="48" t="str">
        <f>IF(OR(N22="",J16=""),"",N22+J16+('732'!L17-'732'!K17))</f>
        <v/>
      </c>
      <c r="P22" s="164"/>
      <c r="Q22" s="524">
        <f>SUM(E22:N22)</f>
        <v>0</v>
      </c>
      <c r="R22" s="525">
        <f>G16-Q22</f>
        <v>0</v>
      </c>
      <c r="S22" s="1302"/>
      <c r="T22" s="771" t="s">
        <v>35</v>
      </c>
      <c r="U22" s="761">
        <v>100</v>
      </c>
      <c r="V22" s="761">
        <v>100</v>
      </c>
      <c r="W22" s="762">
        <v>89</v>
      </c>
      <c r="X22" s="762">
        <v>80</v>
      </c>
      <c r="Y22" s="762">
        <v>58</v>
      </c>
      <c r="Z22" s="761">
        <v>37</v>
      </c>
      <c r="AA22" s="762">
        <v>17</v>
      </c>
      <c r="AB22" s="762">
        <v>10</v>
      </c>
      <c r="AC22" s="763">
        <v>5.6</v>
      </c>
      <c r="AD22" s="799" t="s">
        <v>372</v>
      </c>
      <c r="AF22" s="82"/>
      <c r="AG22" s="844" t="s">
        <v>373</v>
      </c>
      <c r="AH22" s="17"/>
      <c r="AI22" s="17"/>
      <c r="AJ22" s="17"/>
      <c r="AK22" s="17"/>
      <c r="AL22" s="17"/>
      <c r="AM22" s="17"/>
    </row>
    <row r="23" spans="1:39" ht="15" customHeight="1" thickBot="1" x14ac:dyDescent="0.25">
      <c r="A23" s="1246"/>
      <c r="B23" s="1261" t="s">
        <v>8</v>
      </c>
      <c r="C23" s="1262"/>
      <c r="D23" s="1263"/>
      <c r="E23" s="233" t="str">
        <f>IF(E20="","",AVERAGE(E20:E22))</f>
        <v/>
      </c>
      <c r="F23" s="50" t="str">
        <f t="shared" ref="F23:I23" si="1">IF(F20="","",AVERAGE(F20:F22))</f>
        <v/>
      </c>
      <c r="G23" s="50" t="str">
        <f t="shared" si="1"/>
        <v/>
      </c>
      <c r="H23" s="50" t="str">
        <f t="shared" si="1"/>
        <v/>
      </c>
      <c r="I23" s="50" t="str">
        <f t="shared" si="1"/>
        <v/>
      </c>
      <c r="J23" s="50" t="str">
        <f>IF(J20="","",AVERAGE(J20:J22))</f>
        <v/>
      </c>
      <c r="K23" s="50" t="str">
        <f>IF(K20="","",AVERAGE(K20:K22))</f>
        <v/>
      </c>
      <c r="L23" s="50"/>
      <c r="M23" s="50"/>
      <c r="N23" s="50" t="str">
        <f>IF(N20="","",AVERAGE(N20:N22))</f>
        <v/>
      </c>
      <c r="O23" s="49" t="str">
        <f>IF(O20="","",AVERAGE(O20:O22))</f>
        <v/>
      </c>
      <c r="P23" s="164"/>
      <c r="Q23" s="526">
        <f>SUM(E23:N23)</f>
        <v>0</v>
      </c>
      <c r="R23" s="527" t="str">
        <f>IF(G17="","",G17-Q23)</f>
        <v/>
      </c>
      <c r="S23" s="1302"/>
      <c r="T23" s="771" t="s">
        <v>347</v>
      </c>
      <c r="U23" s="761">
        <v>100</v>
      </c>
      <c r="V23" s="761">
        <v>99.2</v>
      </c>
      <c r="W23" s="762">
        <v>89.78</v>
      </c>
      <c r="X23" s="762">
        <v>83.51</v>
      </c>
      <c r="Y23" s="762">
        <v>56.83</v>
      </c>
      <c r="Z23" s="761">
        <v>34.76</v>
      </c>
      <c r="AA23" s="762">
        <v>18.829999999999998</v>
      </c>
      <c r="AB23" s="762">
        <v>11.38</v>
      </c>
      <c r="AC23" s="763">
        <v>6.9</v>
      </c>
      <c r="AD23" s="382"/>
      <c r="AF23" s="82"/>
      <c r="AG23" s="82"/>
      <c r="AH23" s="17"/>
      <c r="AI23" s="17"/>
      <c r="AJ23" s="17"/>
      <c r="AK23" s="17"/>
      <c r="AL23" s="17"/>
      <c r="AM23" s="17"/>
    </row>
    <row r="24" spans="1:39" ht="15" customHeight="1" thickTop="1" x14ac:dyDescent="0.2">
      <c r="A24" s="1264" t="s">
        <v>214</v>
      </c>
      <c r="B24" s="1247" t="s">
        <v>25</v>
      </c>
      <c r="C24" s="1248"/>
      <c r="D24" s="243">
        <v>1</v>
      </c>
      <c r="E24" s="51" t="str">
        <f>IF(E20="","",1-(E20/$D$14))</f>
        <v/>
      </c>
      <c r="F24" s="52" t="str">
        <f>IF(E24="","",E24-(F20/$D$14))</f>
        <v/>
      </c>
      <c r="G24" s="52" t="str">
        <f>IF(F24="","",F24-(G20/$D$14))</f>
        <v/>
      </c>
      <c r="H24" s="52" t="str">
        <f>IF(G24="","",G24-(H20/$D$14))</f>
        <v/>
      </c>
      <c r="I24" s="52" t="str">
        <f>IF(H24="","",H24-(I20/$D$14))</f>
        <v/>
      </c>
      <c r="J24" s="52" t="str">
        <f>IF(I24="","",I24-(J20/$D$14))</f>
        <v/>
      </c>
      <c r="K24" s="52" t="str">
        <f>IF(K20="","",J24-(K20/$D$14))</f>
        <v/>
      </c>
      <c r="L24" s="52" t="str">
        <f>IF(OR(L20="",L20=0),"",K24-(L20/$D$14))</f>
        <v/>
      </c>
      <c r="M24" s="234" t="str">
        <f>IF(OR(M20="",M20=0),"",IF($E$8=$T$26,(J24-((M20)/$D$14)),(L24-((M20)/$D$14))))</f>
        <v/>
      </c>
      <c r="N24" s="1267"/>
      <c r="O24" s="1268"/>
      <c r="P24" s="164"/>
      <c r="Q24" s="382"/>
      <c r="R24" s="382"/>
      <c r="S24" s="1302"/>
      <c r="T24" s="771" t="s">
        <v>346</v>
      </c>
      <c r="U24" s="761">
        <v>100</v>
      </c>
      <c r="V24" s="761">
        <v>100</v>
      </c>
      <c r="W24" s="762">
        <v>100</v>
      </c>
      <c r="X24" s="762">
        <v>93.25</v>
      </c>
      <c r="Y24" s="762">
        <v>67.209999999999994</v>
      </c>
      <c r="Z24" s="761">
        <v>45</v>
      </c>
      <c r="AA24" s="762">
        <v>22</v>
      </c>
      <c r="AB24" s="762">
        <v>12</v>
      </c>
      <c r="AC24" s="763">
        <v>6.7</v>
      </c>
      <c r="AD24" s="382"/>
      <c r="AF24" s="82"/>
      <c r="AG24" s="82"/>
      <c r="AH24" s="17"/>
      <c r="AI24" s="17"/>
      <c r="AJ24" s="17"/>
      <c r="AK24" s="17"/>
      <c r="AL24" s="17"/>
      <c r="AM24" s="17"/>
    </row>
    <row r="25" spans="1:39" ht="15" customHeight="1" x14ac:dyDescent="0.2">
      <c r="A25" s="1265"/>
      <c r="B25" s="1249"/>
      <c r="C25" s="1250"/>
      <c r="D25" s="244">
        <v>2</v>
      </c>
      <c r="E25" s="53" t="str">
        <f>IF(E21="","",1-(E21/$D$15))</f>
        <v/>
      </c>
      <c r="F25" s="54" t="str">
        <f t="shared" ref="F25:J25" si="2">IF(E25="","",E25-(F21/$D$15))</f>
        <v/>
      </c>
      <c r="G25" s="54" t="str">
        <f t="shared" si="2"/>
        <v/>
      </c>
      <c r="H25" s="54" t="str">
        <f t="shared" si="2"/>
        <v/>
      </c>
      <c r="I25" s="54" t="str">
        <f t="shared" si="2"/>
        <v/>
      </c>
      <c r="J25" s="54" t="str">
        <f t="shared" si="2"/>
        <v/>
      </c>
      <c r="K25" s="54" t="str">
        <f>IF(K21="","",J25-(K21/$D$15))</f>
        <v/>
      </c>
      <c r="L25" s="54" t="str">
        <f>IF(OR(L21="",L21=0),"",K25-(L21/$D$15))</f>
        <v/>
      </c>
      <c r="M25" s="235" t="str">
        <f>IF(OR(M21="",M21=0),"",IF($E$8=$T$26,(J25-((M21)/$D$14)),(L25-((M21)/$D$14))))</f>
        <v/>
      </c>
      <c r="N25" s="1267"/>
      <c r="O25" s="1268"/>
      <c r="P25" s="164"/>
      <c r="Q25" s="382"/>
      <c r="R25" s="382"/>
      <c r="S25" s="1302"/>
      <c r="T25" s="771" t="s">
        <v>125</v>
      </c>
      <c r="U25" s="761">
        <v>100</v>
      </c>
      <c r="V25" s="761">
        <v>92</v>
      </c>
      <c r="W25" s="762">
        <v>70</v>
      </c>
      <c r="X25" s="762">
        <v>68</v>
      </c>
      <c r="Y25" s="762">
        <v>47</v>
      </c>
      <c r="Z25" s="761">
        <v>31</v>
      </c>
      <c r="AA25" s="762">
        <v>16</v>
      </c>
      <c r="AB25" s="762">
        <v>11</v>
      </c>
      <c r="AC25" s="763">
        <v>5.5</v>
      </c>
      <c r="AD25" s="382"/>
      <c r="AF25" s="82"/>
      <c r="AG25" s="82"/>
      <c r="AH25" s="17"/>
      <c r="AI25" s="17"/>
      <c r="AJ25" s="17"/>
      <c r="AK25" s="17"/>
      <c r="AL25" s="17"/>
      <c r="AM25" s="17"/>
    </row>
    <row r="26" spans="1:39" ht="15" customHeight="1" thickBot="1" x14ac:dyDescent="0.25">
      <c r="A26" s="1265"/>
      <c r="B26" s="1251"/>
      <c r="C26" s="1252"/>
      <c r="D26" s="245">
        <v>3</v>
      </c>
      <c r="E26" s="53" t="str">
        <f>IF(E22="","",1-(E22/$D$16))</f>
        <v/>
      </c>
      <c r="F26" s="54" t="str">
        <f t="shared" ref="F26:J26" si="3">IF(E26="","",E26-(F22/$D$16))</f>
        <v/>
      </c>
      <c r="G26" s="54" t="str">
        <f t="shared" si="3"/>
        <v/>
      </c>
      <c r="H26" s="54" t="str">
        <f t="shared" si="3"/>
        <v/>
      </c>
      <c r="I26" s="54" t="str">
        <f t="shared" si="3"/>
        <v/>
      </c>
      <c r="J26" s="54" t="str">
        <f t="shared" si="3"/>
        <v/>
      </c>
      <c r="K26" s="54" t="str">
        <f>IF(K22="","",J26-(K22/$D$16))</f>
        <v/>
      </c>
      <c r="L26" s="54" t="str">
        <f>IF(OR(L22="",L22=0),"",K26-(L22/$D$16))</f>
        <v/>
      </c>
      <c r="M26" s="235" t="str">
        <f>IF(OR(M22="",M22=0),"",IF($E$8=$T$26,(J26-((M22)/$D$14)),(L26-((M22)/$D$14))))</f>
        <v/>
      </c>
      <c r="N26" s="1267"/>
      <c r="O26" s="1268"/>
      <c r="P26" s="164"/>
      <c r="Q26" s="382"/>
      <c r="R26" s="382"/>
      <c r="S26" s="1305"/>
      <c r="T26" s="773" t="s">
        <v>384</v>
      </c>
      <c r="U26" s="764">
        <v>100</v>
      </c>
      <c r="V26" s="764">
        <v>100</v>
      </c>
      <c r="W26" s="764">
        <v>84</v>
      </c>
      <c r="X26" s="764">
        <v>68</v>
      </c>
      <c r="Y26" s="764">
        <v>37</v>
      </c>
      <c r="Z26" s="764">
        <v>23</v>
      </c>
      <c r="AA26" s="939">
        <v>3</v>
      </c>
      <c r="AB26" s="779" t="s">
        <v>154</v>
      </c>
      <c r="AC26" s="940" t="s">
        <v>154</v>
      </c>
      <c r="AD26" s="799" t="s">
        <v>375</v>
      </c>
      <c r="AE26" s="46"/>
      <c r="AF26" s="46"/>
      <c r="AG26" s="844" t="s">
        <v>373</v>
      </c>
    </row>
    <row r="27" spans="1:39" ht="15" customHeight="1" thickTop="1" x14ac:dyDescent="0.2">
      <c r="A27" s="1266"/>
      <c r="B27" s="1261" t="s">
        <v>8</v>
      </c>
      <c r="C27" s="1262"/>
      <c r="D27" s="1263"/>
      <c r="E27" s="236" t="str">
        <f>IF(E24="","",(AVERAGE(E24:E26)*100))</f>
        <v/>
      </c>
      <c r="F27" s="237" t="str">
        <f t="shared" ref="F27:L27" si="4">IF(F24="","",AVERAGE(F24:F26)*100)</f>
        <v/>
      </c>
      <c r="G27" s="237" t="str">
        <f t="shared" si="4"/>
        <v/>
      </c>
      <c r="H27" s="237" t="str">
        <f t="shared" si="4"/>
        <v/>
      </c>
      <c r="I27" s="237" t="str">
        <f t="shared" si="4"/>
        <v/>
      </c>
      <c r="J27" s="237" t="str">
        <f>IF(J24="","",AVERAGE(J24:J26)*100)</f>
        <v/>
      </c>
      <c r="K27" s="941" t="str">
        <f t="shared" si="4"/>
        <v/>
      </c>
      <c r="L27" s="941" t="str">
        <f t="shared" si="4"/>
        <v/>
      </c>
      <c r="M27" s="238" t="str">
        <f>IF(M24="","",AVERAGE(M24:M26)*100)</f>
        <v/>
      </c>
      <c r="N27" s="1267"/>
      <c r="O27" s="1268"/>
      <c r="P27" s="164"/>
      <c r="Q27" s="382"/>
      <c r="R27" s="382"/>
      <c r="S27" s="1293" t="s">
        <v>335</v>
      </c>
      <c r="T27" s="1294"/>
      <c r="U27" s="1294"/>
      <c r="V27" s="1294"/>
      <c r="W27" s="1294"/>
      <c r="X27" s="1294"/>
      <c r="Y27" s="1294"/>
      <c r="Z27" s="1294"/>
      <c r="AA27" s="1294"/>
      <c r="AB27" s="1295"/>
      <c r="AD27" s="456"/>
      <c r="AE27" s="46"/>
      <c r="AF27" s="46"/>
      <c r="AG27" s="46"/>
    </row>
    <row r="28" spans="1:39" ht="15" customHeight="1" x14ac:dyDescent="0.2">
      <c r="A28" s="1271" t="str">
        <f>+IF(E8="","",IF(E8=T6,R16,R15))</f>
        <v/>
      </c>
      <c r="B28" s="1272"/>
      <c r="C28" s="1275" t="s">
        <v>218</v>
      </c>
      <c r="D28" s="1275"/>
      <c r="E28" s="239" t="str">
        <f t="shared" ref="E28:J28" si="5">IF($E$8="","",VLOOKUP($E$8,$T$9:$AC$14,U8,0))</f>
        <v/>
      </c>
      <c r="F28" s="106" t="str">
        <f t="shared" si="5"/>
        <v/>
      </c>
      <c r="G28" s="106" t="str">
        <f t="shared" si="5"/>
        <v/>
      </c>
      <c r="H28" s="106" t="str">
        <f t="shared" si="5"/>
        <v/>
      </c>
      <c r="I28" s="106" t="str">
        <f t="shared" si="5"/>
        <v/>
      </c>
      <c r="J28" s="106" t="str">
        <f t="shared" si="5"/>
        <v/>
      </c>
      <c r="K28" s="942" t="str">
        <f>IF(OR($E$8="",K18="--"),"",VLOOKUP($E$8,$T$9:$AC$14,AA8,0))</f>
        <v/>
      </c>
      <c r="L28" s="942" t="str">
        <f>IF(OR($E$8="",$E$8=$T$6),"",VLOOKUP($E$8,$T$9:$AC$14,AB8,0))</f>
        <v/>
      </c>
      <c r="M28" s="309" t="str">
        <f>IF(OR($E$8="",$E$8=$T$6),"",VLOOKUP($E$8,$T$9:$AC$14,AC8,0))</f>
        <v/>
      </c>
      <c r="N28" s="1267"/>
      <c r="O28" s="1268"/>
      <c r="P28" s="164" t="str">
        <f>IF(A28="","",CONCATENATE(A28," ",C28))</f>
        <v/>
      </c>
      <c r="Q28" s="382"/>
      <c r="R28" s="382"/>
      <c r="S28" s="733" t="s">
        <v>0</v>
      </c>
      <c r="T28" s="734" t="s">
        <v>1</v>
      </c>
      <c r="U28" s="521" t="s">
        <v>4</v>
      </c>
      <c r="V28" s="521" t="s">
        <v>2</v>
      </c>
      <c r="W28" s="521" t="s">
        <v>10</v>
      </c>
      <c r="X28" s="647" t="str">
        <f>+IF($D$8=$T$6,Z6,Z4)</f>
        <v>N° 10</v>
      </c>
      <c r="Y28" s="647" t="str">
        <f>+IF($D$8=$T$6,AA6,AA4)</f>
        <v>N° 40</v>
      </c>
      <c r="Z28" s="647" t="str">
        <f>+IF($D$8=$T$6,"",AB4)</f>
        <v>N° 80</v>
      </c>
      <c r="AA28" s="647" t="str">
        <f>+IF($D$8=$T$6,"",AC4)</f>
        <v>N° 200</v>
      </c>
      <c r="AB28" s="735"/>
      <c r="AC28" s="295"/>
      <c r="AD28" s="528"/>
      <c r="AE28" s="140"/>
      <c r="AF28" s="46"/>
      <c r="AG28" s="46"/>
    </row>
    <row r="29" spans="1:39" ht="15" customHeight="1" thickBot="1" x14ac:dyDescent="0.25">
      <c r="A29" s="1273"/>
      <c r="B29" s="1274"/>
      <c r="C29" s="1256" t="s">
        <v>219</v>
      </c>
      <c r="D29" s="1256"/>
      <c r="E29" s="240" t="str">
        <f>IF(E8="","",VLOOKUP(E8,$T$15:$AC$20,U8,0))</f>
        <v/>
      </c>
      <c r="F29" s="105" t="str">
        <f>IF($E$8="","",VLOOKUP($E$8,$T$15:$AC$20,V8,0))</f>
        <v/>
      </c>
      <c r="G29" s="105" t="str">
        <f>IF($E$8="","",VLOOKUP($E$8,$T$15:$AC$20,W8,0))</f>
        <v/>
      </c>
      <c r="H29" s="105" t="str">
        <f>IF($E$8="","",VLOOKUP($E$8,$T$15:$AC$20,X8,0))</f>
        <v/>
      </c>
      <c r="I29" s="105" t="str">
        <f>IF($E$8="","",VLOOKUP($E$8,$T$15:$AC$20,Y8,0))</f>
        <v/>
      </c>
      <c r="J29" s="105" t="str">
        <f>IF($E$8="","",VLOOKUP($E$8,$T$15:$AC$20,Z8,0))</f>
        <v/>
      </c>
      <c r="K29" s="943" t="str">
        <f>IF(OR($E$8="",K18="--"),"",VLOOKUP($E$8,$T$15:$AC$20,AA8,0))</f>
        <v/>
      </c>
      <c r="L29" s="943" t="str">
        <f>IF(OR($E$8="",$E$8=$T$6),"",VLOOKUP($E$8,$T$15:$AC$20,AB8,0))</f>
        <v/>
      </c>
      <c r="M29" s="944" t="str">
        <f>IF(OR($E$8="",$E$8=$T$6),"",VLOOKUP($E$8,$T$15:$AC$20,AC8,0))</f>
        <v/>
      </c>
      <c r="N29" s="1267"/>
      <c r="O29" s="1268"/>
      <c r="P29" s="164" t="str">
        <f>IF(A28="","",CONCATENATE(A28," ",C29))</f>
        <v/>
      </c>
      <c r="Q29" s="382"/>
      <c r="R29" s="382"/>
      <c r="S29" s="730">
        <v>25</v>
      </c>
      <c r="T29" s="731">
        <v>19</v>
      </c>
      <c r="U29" s="731">
        <v>12.5</v>
      </c>
      <c r="V29" s="731">
        <v>9.5</v>
      </c>
      <c r="W29" s="731">
        <v>4.75</v>
      </c>
      <c r="X29" s="725">
        <f>+IF($E$8=$T$6,Z7,Z5)</f>
        <v>2</v>
      </c>
      <c r="Y29" s="934">
        <f>+IF($E$8=$T$6,AA7,AA5)</f>
        <v>0.42499999999999999</v>
      </c>
      <c r="Z29" s="934">
        <f>+IF($E$8=$T$6,AB7,AB5)</f>
        <v>0.18</v>
      </c>
      <c r="AA29" s="934">
        <f>+IF($E$8=$T$6,AC7,AC5)</f>
        <v>7.4999999999999997E-2</v>
      </c>
      <c r="AB29" s="726"/>
      <c r="AC29" s="295"/>
      <c r="AD29" s="528"/>
      <c r="AE29" s="140"/>
      <c r="AF29" s="46"/>
      <c r="AG29" s="46"/>
    </row>
    <row r="30" spans="1:39" ht="15" customHeight="1" thickTop="1" x14ac:dyDescent="0.2">
      <c r="A30" s="1271" t="s">
        <v>23</v>
      </c>
      <c r="B30" s="1272"/>
      <c r="C30" s="1232" t="s">
        <v>29</v>
      </c>
      <c r="D30" s="1232"/>
      <c r="E30" s="239" t="str">
        <f>IF(E8="","",VLOOKUP(E8,$T$21:$AC$26,U8,0))</f>
        <v/>
      </c>
      <c r="F30" s="106" t="str">
        <f>IF(E8="","",VLOOKUP(E8,$T$21:$AC$33,V8,0))</f>
        <v/>
      </c>
      <c r="G30" s="106" t="str">
        <f>IF(E8="","",VLOOKUP(E8,$T$21:$AC$33,W8,0))</f>
        <v/>
      </c>
      <c r="H30" s="106" t="str">
        <f>IF(E8="","",VLOOKUP(E8,$T$21:$AC$33,X8,0))</f>
        <v/>
      </c>
      <c r="I30" s="106" t="str">
        <f>IF(E8="","",VLOOKUP(E8,$T$21:$AC$33,Y8,0))</f>
        <v/>
      </c>
      <c r="J30" s="106" t="str">
        <f>IF(E8="","",VLOOKUP(E8,$T$21:$AC$33,Z8,0))</f>
        <v/>
      </c>
      <c r="K30" s="942" t="str">
        <f>IF(OR($E$8="",K18="--"),"",VLOOKUP(E8,$T$21:$AC$33,AA8,0))</f>
        <v/>
      </c>
      <c r="L30" s="942" t="str">
        <f>IF(OR($E$8="",$E$8=$T$6),"",VLOOKUP(E8,$T$21:$AC$33,AB8,0))</f>
        <v/>
      </c>
      <c r="M30" s="309" t="str">
        <f>IF(OR($E$8="",$E$8=$T$6),"",VLOOKUP(E8,$T$21:$AC$33,AC8,0))</f>
        <v/>
      </c>
      <c r="N30" s="1267"/>
      <c r="O30" s="1268"/>
      <c r="P30" s="164" t="s">
        <v>46</v>
      </c>
      <c r="S30" s="807" t="str">
        <f>+E27</f>
        <v/>
      </c>
      <c r="T30" s="807" t="str">
        <f t="shared" ref="T30:X30" si="6">+F27</f>
        <v/>
      </c>
      <c r="U30" s="807" t="str">
        <f t="shared" si="6"/>
        <v/>
      </c>
      <c r="V30" s="807" t="str">
        <f t="shared" si="6"/>
        <v/>
      </c>
      <c r="W30" s="807" t="str">
        <f t="shared" si="6"/>
        <v/>
      </c>
      <c r="X30" s="807" t="str">
        <f t="shared" si="6"/>
        <v/>
      </c>
      <c r="Y30" s="935" t="str">
        <f>+IF($E$8=$T$6,K27,K27)</f>
        <v/>
      </c>
      <c r="Z30" s="936" t="str">
        <f>+IF(E8=T6,"",L27)</f>
        <v/>
      </c>
      <c r="AA30" s="936" t="str">
        <f>+IF(E8=T6,"",M27)</f>
        <v/>
      </c>
      <c r="AB30" s="295"/>
      <c r="AC30" s="295"/>
      <c r="AD30" s="140"/>
      <c r="AE30" s="140"/>
      <c r="AF30" s="46"/>
      <c r="AG30" s="46"/>
    </row>
    <row r="31" spans="1:39" ht="15" customHeight="1" x14ac:dyDescent="0.2">
      <c r="A31" s="1276"/>
      <c r="B31" s="1277"/>
      <c r="C31" s="1233" t="s">
        <v>218</v>
      </c>
      <c r="D31" s="1233"/>
      <c r="E31" s="56" t="str">
        <f>IF($E$8="","",(IF(OR(E30&lt;=E28,E30-4&lt;=E28),E28,(E30-4))))</f>
        <v/>
      </c>
      <c r="F31" s="55" t="str">
        <f>IF($E$8="","",(IF(OR(F30&lt;=F28,F30-4&lt;=F28),F28,(F30-4))))</f>
        <v/>
      </c>
      <c r="G31" s="55" t="str">
        <f>IF($E$8="","",(IF(OR(G30&lt;=G28,G30-4&lt;=G28),G28,(G30-4))))</f>
        <v/>
      </c>
      <c r="H31" s="55" t="str">
        <f>IF($E$8="","",(IF(OR(H30&lt;=H28,H30-4&lt;=H28),H28,(H30-4))))</f>
        <v/>
      </c>
      <c r="I31" s="55" t="str">
        <f>IF($E$8="","",(IF(OR(I30&lt;=I28,I30-4&lt;=I28),I28,(I30-4))))</f>
        <v/>
      </c>
      <c r="J31" s="55" t="str">
        <f>IF($E$8="","",(IF(OR(J30&lt;=J28,J30-3&lt;=J28),J28,(J30-3))))</f>
        <v/>
      </c>
      <c r="K31" s="931" t="str">
        <f>IF(OR($E$8="",K18="--"),"",(IF(OR(K30&lt;=K28,K30-3&lt;=K28),K28,(K30-3))))</f>
        <v/>
      </c>
      <c r="L31" s="931" t="str">
        <f>IF(OR($E$8="",L30=""),"",(IF(OR(L30&lt;=L28,L30-3&lt;=L28),L28,(L30-3))))</f>
        <v/>
      </c>
      <c r="M31" s="107" t="str">
        <f>IF(OR($E$8="",M30=""),"",(IF(OR(M30&lt;=M28,M30-1&lt;=M28),M28,(M30-1))))</f>
        <v/>
      </c>
      <c r="N31" s="1267"/>
      <c r="O31" s="1268"/>
      <c r="P31" s="164" t="str">
        <f>CONCATENATE(P30," ",C31)</f>
        <v>FT % Pasa mín</v>
      </c>
      <c r="S31" s="1242" t="s">
        <v>337</v>
      </c>
      <c r="T31" s="780">
        <f>+Z7</f>
        <v>2.36</v>
      </c>
      <c r="U31" s="781">
        <f>+T31</f>
        <v>2.36</v>
      </c>
      <c r="V31" s="295"/>
      <c r="W31" s="295"/>
      <c r="X31" s="295"/>
      <c r="Y31" s="295"/>
      <c r="Z31" s="295"/>
      <c r="AA31" s="295"/>
      <c r="AB31" s="295"/>
      <c r="AC31" s="295"/>
      <c r="AD31" s="140"/>
      <c r="AE31" s="140"/>
      <c r="AF31" s="46"/>
      <c r="AG31" s="46"/>
    </row>
    <row r="32" spans="1:39" ht="15" customHeight="1" x14ac:dyDescent="0.2">
      <c r="A32" s="1273"/>
      <c r="B32" s="1274"/>
      <c r="C32" s="1256" t="s">
        <v>219</v>
      </c>
      <c r="D32" s="1257"/>
      <c r="E32" s="101" t="str">
        <f>IF($E$8="","",(IF(AND(E30&gt;=E29,E30+4&gt;=E29),E29,(E30+4))))</f>
        <v/>
      </c>
      <c r="F32" s="102" t="str">
        <f>IF($E$8="","",(IF(OR(F30&gt;=F29,F30+4&gt;=F29),F29,(F30+4))))</f>
        <v/>
      </c>
      <c r="G32" s="102" t="str">
        <f>IF($E$8="","",(IF(OR(G30&gt;=G29,G30+4&gt;=G29),G29,(G30+4))))</f>
        <v/>
      </c>
      <c r="H32" s="102" t="str">
        <f>IF($E$8="","",(IF(OR(H30&gt;=H29,H30+4&gt;=H29),H29,(H30+4))))</f>
        <v/>
      </c>
      <c r="I32" s="102" t="str">
        <f>IF($E$8="","",(IF(OR(I30&gt;=I29,I30+4&gt;=I29),I29,(I30+4))))</f>
        <v/>
      </c>
      <c r="J32" s="102" t="str">
        <f>IF($E$8="","",(IF(OR(J30&gt;=J29,J30+3&gt;=J29),J29,(J30+3))))</f>
        <v/>
      </c>
      <c r="K32" s="50" t="str">
        <f>IF(OR($E$8="",K18="--"),"",(IF(OR(K30&gt;=K29,K30+3&gt;=K29),K29,(K30+3))))</f>
        <v/>
      </c>
      <c r="L32" s="50" t="str">
        <f>IF(OR($E$8="",L30=""),"",(IF(OR(L30&gt;=L29,L30+3&gt;=L29),L29,(L30+3))))</f>
        <v/>
      </c>
      <c r="M32" s="49" t="str">
        <f>IF(OR($E$8="",$E$8=$T$6),"",(IF(OR(M30&gt;=M29,M30+1&gt;=M29),M29,(M30+1))))</f>
        <v/>
      </c>
      <c r="N32" s="1269"/>
      <c r="O32" s="1270"/>
      <c r="P32" s="164" t="str">
        <f>CONCATENATE(P30," ",C32)</f>
        <v>FT % Pasa máx</v>
      </c>
      <c r="S32" s="1243"/>
      <c r="T32" s="866" cm="1">
        <f t="array" ref="T32:U32">{100,0}</f>
        <v>100</v>
      </c>
      <c r="U32" s="782">
        <v>0</v>
      </c>
      <c r="V32" s="736"/>
      <c r="W32" s="362"/>
      <c r="X32" s="362"/>
      <c r="Y32" s="362"/>
      <c r="Z32" s="362"/>
      <c r="AA32" s="295"/>
      <c r="AB32" s="295"/>
      <c r="AC32" s="737"/>
      <c r="AD32" s="140"/>
      <c r="AE32" s="140"/>
      <c r="AF32" s="46"/>
      <c r="AG32" s="46"/>
    </row>
    <row r="33" spans="1:39" ht="9.9499999999999993" customHeight="1" x14ac:dyDescent="0.2">
      <c r="A33" s="104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83"/>
      <c r="P33" s="279"/>
      <c r="S33" s="675"/>
      <c r="T33" s="727"/>
      <c r="U33" s="738"/>
      <c r="V33" s="362"/>
      <c r="W33" s="362"/>
      <c r="X33" s="362"/>
      <c r="Y33" s="362"/>
      <c r="Z33" s="362"/>
      <c r="AA33" s="295"/>
      <c r="AB33" s="295"/>
      <c r="AC33" s="737"/>
      <c r="AD33" s="140"/>
      <c r="AE33" s="140"/>
      <c r="AF33" s="46"/>
      <c r="AG33" s="46"/>
    </row>
    <row r="34" spans="1:39" ht="9.9499999999999993" customHeight="1" x14ac:dyDescent="0.2">
      <c r="A34" s="104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83"/>
      <c r="P34" s="251"/>
      <c r="S34" s="67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140"/>
      <c r="AE34" s="140"/>
      <c r="AF34" s="46"/>
      <c r="AG34" s="46"/>
    </row>
    <row r="35" spans="1:39" ht="9.9499999999999993" customHeight="1" x14ac:dyDescent="0.2">
      <c r="A35" s="104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83"/>
      <c r="P35" s="138"/>
      <c r="S35" s="57"/>
      <c r="T35" s="46"/>
      <c r="U35" s="453"/>
      <c r="V35" s="724"/>
      <c r="W35" s="724"/>
      <c r="X35" s="724"/>
      <c r="Y35" s="724"/>
      <c r="Z35" s="724"/>
      <c r="AA35" s="140"/>
      <c r="AB35" s="140"/>
      <c r="AC35" s="140"/>
      <c r="AD35" s="140"/>
      <c r="AE35" s="144"/>
      <c r="AF35" s="46"/>
      <c r="AG35" s="46"/>
    </row>
    <row r="36" spans="1:39" ht="9.9499999999999993" customHeight="1" x14ac:dyDescent="0.2">
      <c r="A36" s="104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83"/>
      <c r="P36" s="138"/>
      <c r="S36" s="57"/>
      <c r="T36" s="141"/>
      <c r="U36" s="142"/>
      <c r="V36" s="141"/>
      <c r="W36" s="46"/>
      <c r="X36" s="46"/>
      <c r="Y36" s="46"/>
      <c r="Z36" s="46"/>
      <c r="AA36" s="2"/>
      <c r="AB36" s="140"/>
      <c r="AC36" s="145"/>
      <c r="AD36" s="145"/>
      <c r="AE36" s="144"/>
      <c r="AF36" s="140"/>
      <c r="AG36" s="140"/>
      <c r="AH36" s="18"/>
      <c r="AI36" s="18"/>
      <c r="AJ36" s="18"/>
      <c r="AK36" s="18"/>
      <c r="AL36" s="18"/>
      <c r="AM36" s="18"/>
    </row>
    <row r="37" spans="1:39" ht="9.9499999999999993" customHeight="1" x14ac:dyDescent="0.2">
      <c r="A37" s="104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83"/>
      <c r="P37" s="138"/>
      <c r="S37" s="57"/>
      <c r="T37" s="141"/>
      <c r="U37" s="142"/>
      <c r="V37" s="141"/>
      <c r="W37" s="46"/>
      <c r="X37" s="46"/>
      <c r="Y37" s="46"/>
      <c r="Z37" s="46"/>
      <c r="AA37" s="2"/>
      <c r="AB37" s="140"/>
      <c r="AC37" s="145"/>
      <c r="AD37" s="145"/>
      <c r="AE37" s="140"/>
      <c r="AF37" s="140"/>
      <c r="AG37" s="140"/>
      <c r="AH37" s="18"/>
      <c r="AI37" s="18"/>
      <c r="AJ37" s="18"/>
      <c r="AK37" s="18"/>
      <c r="AL37" s="18"/>
      <c r="AM37" s="18"/>
    </row>
    <row r="38" spans="1:39" ht="9.9499999999999993" customHeight="1" x14ac:dyDescent="0.2">
      <c r="A38" s="104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83"/>
      <c r="P38" s="283"/>
      <c r="AD38" s="140"/>
      <c r="AE38" s="140"/>
      <c r="AF38" s="140"/>
      <c r="AG38" s="140"/>
      <c r="AH38" s="18"/>
      <c r="AI38" s="18"/>
      <c r="AJ38" s="18"/>
      <c r="AK38" s="18"/>
      <c r="AL38" s="18"/>
      <c r="AM38" s="18"/>
    </row>
    <row r="39" spans="1:39" ht="9.9499999999999993" customHeight="1" x14ac:dyDescent="0.2">
      <c r="A39" s="104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83"/>
      <c r="P39" s="275"/>
      <c r="AD39" s="140"/>
      <c r="AE39" s="140"/>
      <c r="AF39" s="140"/>
      <c r="AG39" s="140"/>
      <c r="AH39" s="18"/>
      <c r="AI39" s="18"/>
      <c r="AJ39" s="18"/>
      <c r="AK39" s="18"/>
      <c r="AL39" s="18"/>
      <c r="AM39" s="18"/>
    </row>
    <row r="40" spans="1:39" ht="9.9499999999999993" customHeight="1" x14ac:dyDescent="0.2">
      <c r="A40" s="104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83"/>
      <c r="P40" s="126"/>
      <c r="AD40" s="140"/>
      <c r="AE40" s="140"/>
      <c r="AF40" s="140"/>
      <c r="AG40" s="140"/>
      <c r="AH40" s="18"/>
      <c r="AI40" s="18"/>
      <c r="AJ40" s="18"/>
      <c r="AK40" s="18"/>
      <c r="AL40" s="18"/>
      <c r="AM40" s="18"/>
    </row>
    <row r="41" spans="1:39" ht="9.9499999999999993" customHeight="1" x14ac:dyDescent="0.2">
      <c r="A41" s="104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83"/>
      <c r="P41" s="277"/>
      <c r="AD41" s="140"/>
      <c r="AE41" s="140"/>
      <c r="AF41" s="140"/>
      <c r="AG41" s="140"/>
      <c r="AH41" s="18"/>
      <c r="AI41" s="18"/>
      <c r="AJ41" s="18"/>
      <c r="AK41" s="18"/>
      <c r="AL41" s="18"/>
      <c r="AM41" s="18"/>
    </row>
    <row r="42" spans="1:39" ht="9.9499999999999993" customHeight="1" x14ac:dyDescent="0.2">
      <c r="A42" s="104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83"/>
      <c r="P42" s="128"/>
      <c r="S42" s="350"/>
      <c r="T42" s="295"/>
      <c r="U42" s="295"/>
      <c r="V42" s="295"/>
      <c r="W42" s="295"/>
      <c r="X42" s="295"/>
      <c r="Y42" s="295"/>
      <c r="Z42" s="295"/>
      <c r="AA42" s="362"/>
      <c r="AB42" s="362"/>
      <c r="AC42" s="362"/>
      <c r="AD42" s="1289"/>
      <c r="AE42" s="1290"/>
      <c r="AF42" s="59"/>
      <c r="AG42" s="140"/>
      <c r="AH42" s="18"/>
      <c r="AI42" s="18"/>
      <c r="AJ42" s="18"/>
      <c r="AK42" s="18"/>
      <c r="AL42" s="18"/>
      <c r="AM42" s="18"/>
    </row>
    <row r="43" spans="1:39" ht="9.9499999999999993" customHeight="1" x14ac:dyDescent="0.2">
      <c r="A43" s="104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83"/>
      <c r="P43" s="127"/>
      <c r="AD43" s="1289"/>
      <c r="AE43" s="1290"/>
      <c r="AF43" s="59"/>
      <c r="AG43" s="140"/>
      <c r="AH43" s="18"/>
      <c r="AI43" s="18"/>
      <c r="AJ43" s="18"/>
      <c r="AK43" s="18"/>
      <c r="AL43" s="18"/>
      <c r="AM43" s="18"/>
    </row>
    <row r="44" spans="1:39" ht="9.9499999999999993" customHeight="1" x14ac:dyDescent="0.2">
      <c r="A44" s="104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83"/>
      <c r="P44" s="127"/>
      <c r="S44" s="1291"/>
      <c r="T44" s="295"/>
      <c r="U44" s="295"/>
      <c r="V44" s="295"/>
      <c r="W44" s="295"/>
      <c r="X44" s="295"/>
      <c r="Y44" s="295"/>
      <c r="Z44" s="295"/>
      <c r="AA44" s="363"/>
      <c r="AB44" s="363"/>
      <c r="AC44" s="363"/>
      <c r="AD44" s="361"/>
      <c r="AE44" s="361"/>
      <c r="AF44" s="59"/>
      <c r="AG44" s="140"/>
      <c r="AH44" s="18"/>
      <c r="AI44" s="18"/>
      <c r="AJ44" s="18"/>
      <c r="AK44" s="18"/>
      <c r="AL44" s="18"/>
      <c r="AM44" s="18"/>
    </row>
    <row r="45" spans="1:39" ht="9.9499999999999993" customHeight="1" x14ac:dyDescent="0.2">
      <c r="A45" s="104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83"/>
      <c r="P45" s="257"/>
      <c r="S45" s="1291"/>
      <c r="T45" s="350"/>
      <c r="U45" s="363"/>
      <c r="V45" s="363"/>
      <c r="W45" s="363"/>
      <c r="X45" s="363"/>
      <c r="Y45" s="363"/>
      <c r="Z45" s="363"/>
      <c r="AA45" s="363"/>
      <c r="AB45" s="363"/>
      <c r="AC45" s="363"/>
      <c r="AD45" s="361"/>
      <c r="AE45" s="350"/>
      <c r="AF45" s="59"/>
      <c r="AG45" s="140"/>
      <c r="AH45" s="18"/>
      <c r="AI45" s="18"/>
      <c r="AJ45" s="18"/>
      <c r="AK45" s="18"/>
      <c r="AL45" s="18"/>
      <c r="AM45" s="18"/>
    </row>
    <row r="46" spans="1:39" ht="9.9499999999999993" customHeight="1" x14ac:dyDescent="0.2">
      <c r="A46" s="104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83"/>
      <c r="P46" s="257"/>
      <c r="S46" s="1291"/>
      <c r="T46" s="350"/>
      <c r="U46" s="363"/>
      <c r="V46" s="363"/>
      <c r="W46" s="363"/>
      <c r="X46" s="363"/>
      <c r="Y46" s="363"/>
      <c r="Z46" s="363"/>
      <c r="AA46" s="363"/>
      <c r="AB46" s="363"/>
      <c r="AC46" s="363"/>
      <c r="AD46" s="361"/>
      <c r="AE46" s="350"/>
      <c r="AF46" s="59"/>
      <c r="AG46" s="140"/>
      <c r="AH46" s="18"/>
      <c r="AI46" s="18"/>
      <c r="AJ46" s="18"/>
      <c r="AK46" s="18"/>
      <c r="AL46" s="18"/>
      <c r="AM46" s="18"/>
    </row>
    <row r="47" spans="1:39" ht="9.9499999999999993" customHeight="1" x14ac:dyDescent="0.2">
      <c r="A47" s="104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83"/>
      <c r="P47" s="259"/>
      <c r="S47" s="732"/>
      <c r="AD47" s="350"/>
      <c r="AE47" s="350"/>
      <c r="AF47" s="59"/>
      <c r="AG47" s="140"/>
      <c r="AH47" s="18"/>
      <c r="AI47" s="18"/>
      <c r="AJ47" s="18"/>
      <c r="AK47" s="18"/>
      <c r="AL47" s="18"/>
      <c r="AM47" s="18"/>
    </row>
    <row r="48" spans="1:39" ht="9.9499999999999993" customHeight="1" x14ac:dyDescent="0.2">
      <c r="A48" s="104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83"/>
      <c r="P48" s="259"/>
      <c r="S48" s="732"/>
      <c r="AD48" s="350"/>
      <c r="AE48" s="350"/>
      <c r="AF48" s="59"/>
      <c r="AG48" s="140"/>
      <c r="AH48" s="18"/>
      <c r="AI48" s="18"/>
      <c r="AJ48" s="18"/>
      <c r="AK48" s="18"/>
      <c r="AL48" s="18"/>
      <c r="AM48" s="18"/>
    </row>
    <row r="49" spans="1:39" ht="9.9499999999999993" customHeight="1" x14ac:dyDescent="0.2">
      <c r="A49" s="1258"/>
      <c r="B49" s="1259"/>
      <c r="C49" s="1259"/>
      <c r="D49" s="1259"/>
      <c r="E49" s="1259"/>
      <c r="F49" s="1259"/>
      <c r="G49" s="1259"/>
      <c r="H49" s="1259"/>
      <c r="I49" s="1259"/>
      <c r="J49" s="1259"/>
      <c r="K49" s="1259"/>
      <c r="L49" s="1259"/>
      <c r="M49" s="1259"/>
      <c r="N49" s="1259"/>
      <c r="O49" s="1260"/>
      <c r="P49" s="259"/>
      <c r="S49" s="732"/>
      <c r="AD49" s="350"/>
      <c r="AE49" s="350"/>
      <c r="AF49" s="59"/>
      <c r="AG49" s="140"/>
      <c r="AH49" s="18"/>
      <c r="AI49" s="18"/>
      <c r="AJ49" s="18"/>
      <c r="AK49" s="18"/>
      <c r="AL49" s="18"/>
      <c r="AM49" s="18"/>
    </row>
    <row r="50" spans="1:39" ht="9.9499999999999993" customHeight="1" x14ac:dyDescent="0.2">
      <c r="A50" s="1234" t="s">
        <v>105</v>
      </c>
      <c r="B50" s="1235"/>
      <c r="C50" s="1235"/>
      <c r="D50" s="1235"/>
      <c r="E50" s="1235"/>
      <c r="F50" s="1235"/>
      <c r="G50" s="1235"/>
      <c r="H50" s="1235"/>
      <c r="I50" s="1235"/>
      <c r="J50" s="1235"/>
      <c r="K50" s="1235"/>
      <c r="L50" s="1235"/>
      <c r="M50" s="1235"/>
      <c r="N50" s="1235"/>
      <c r="O50" s="1236"/>
      <c r="P50" s="278"/>
      <c r="S50" s="1292"/>
      <c r="T50" s="727"/>
      <c r="U50" s="363"/>
      <c r="V50" s="363"/>
      <c r="W50" s="363"/>
      <c r="X50" s="363"/>
      <c r="Y50" s="363"/>
      <c r="Z50" s="363"/>
      <c r="AA50" s="363"/>
      <c r="AB50" s="363"/>
      <c r="AC50" s="364"/>
      <c r="AD50" s="350"/>
      <c r="AE50" s="350"/>
      <c r="AF50" s="59"/>
      <c r="AG50" s="140"/>
      <c r="AH50" s="18"/>
      <c r="AI50" s="18"/>
      <c r="AJ50" s="18"/>
      <c r="AK50" s="18"/>
      <c r="AL50" s="18"/>
      <c r="AM50" s="18"/>
    </row>
    <row r="51" spans="1:39" ht="12.75" customHeight="1" x14ac:dyDescent="0.2">
      <c r="A51" s="156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157"/>
      <c r="P51" s="255"/>
      <c r="S51" s="1292"/>
      <c r="T51" s="350"/>
      <c r="U51" s="363"/>
      <c r="V51" s="363"/>
      <c r="W51" s="363"/>
      <c r="X51" s="363"/>
      <c r="Y51" s="363"/>
      <c r="Z51" s="363"/>
      <c r="AA51" s="363"/>
      <c r="AB51" s="363"/>
      <c r="AC51" s="364"/>
      <c r="AD51" s="350"/>
      <c r="AE51" s="350"/>
      <c r="AF51" s="59"/>
      <c r="AG51" s="140"/>
      <c r="AH51" s="18"/>
      <c r="AI51" s="18"/>
      <c r="AJ51" s="18"/>
      <c r="AK51" s="18"/>
      <c r="AL51" s="18"/>
      <c r="AM51" s="18"/>
    </row>
    <row r="52" spans="1:39" ht="12.75" customHeight="1" x14ac:dyDescent="0.2">
      <c r="A52" s="1122" t="s">
        <v>3</v>
      </c>
      <c r="B52" s="1123"/>
      <c r="C52" s="1176"/>
      <c r="D52" s="1176"/>
      <c r="E52" s="1176"/>
      <c r="F52" s="1176"/>
      <c r="G52" s="1176"/>
      <c r="H52" s="1176"/>
      <c r="I52" s="1176"/>
      <c r="J52" s="1176"/>
      <c r="K52" s="1176"/>
      <c r="L52" s="1176"/>
      <c r="M52" s="1176"/>
      <c r="N52" s="1176"/>
      <c r="O52" s="1177"/>
      <c r="P52" s="130"/>
      <c r="S52" s="1292"/>
      <c r="T52" s="350"/>
      <c r="U52" s="363"/>
      <c r="V52" s="363"/>
      <c r="W52" s="363"/>
      <c r="X52" s="363"/>
      <c r="Y52" s="363"/>
      <c r="Z52" s="363"/>
      <c r="AA52" s="363"/>
      <c r="AB52" s="363"/>
      <c r="AC52" s="364"/>
      <c r="AD52" s="350"/>
      <c r="AE52" s="350"/>
      <c r="AF52" s="59"/>
      <c r="AG52" s="140"/>
      <c r="AH52" s="18"/>
      <c r="AI52" s="18"/>
      <c r="AJ52" s="18"/>
      <c r="AK52" s="18"/>
      <c r="AL52" s="18"/>
      <c r="AM52" s="18"/>
    </row>
    <row r="53" spans="1:39" ht="8.25" customHeight="1" x14ac:dyDescent="0.2">
      <c r="A53" s="1253"/>
      <c r="B53" s="1254"/>
      <c r="C53" s="1254"/>
      <c r="D53" s="1254"/>
      <c r="E53" s="1254"/>
      <c r="F53" s="1254"/>
      <c r="G53" s="1254"/>
      <c r="H53" s="1254"/>
      <c r="I53" s="1254"/>
      <c r="J53" s="1254"/>
      <c r="K53" s="1254"/>
      <c r="L53" s="1254"/>
      <c r="M53" s="1254"/>
      <c r="N53" s="1254"/>
      <c r="O53" s="1255"/>
      <c r="P53" s="130"/>
      <c r="S53" s="259"/>
      <c r="T53" s="2"/>
      <c r="U53" s="146"/>
      <c r="V53" s="147"/>
      <c r="W53" s="3"/>
      <c r="X53" s="4"/>
      <c r="Y53" s="4"/>
      <c r="Z53" s="149"/>
      <c r="AA53" s="2"/>
      <c r="AF53" s="140"/>
      <c r="AG53" s="140"/>
      <c r="AH53" s="18"/>
      <c r="AI53" s="18"/>
      <c r="AJ53" s="18"/>
      <c r="AK53" s="18"/>
      <c r="AL53" s="18"/>
      <c r="AM53" s="18"/>
    </row>
    <row r="54" spans="1:39" ht="12.75" customHeight="1" x14ac:dyDescent="0.2">
      <c r="A54" s="1228" t="s">
        <v>245</v>
      </c>
      <c r="B54" s="1229"/>
      <c r="C54" s="1229"/>
      <c r="D54" s="1229"/>
      <c r="E54" s="1229"/>
      <c r="F54" s="1229"/>
      <c r="G54" s="1229"/>
      <c r="H54" s="1238"/>
      <c r="I54" s="1228" t="s">
        <v>9</v>
      </c>
      <c r="J54" s="1229"/>
      <c r="K54" s="1229"/>
      <c r="L54" s="1229"/>
      <c r="M54" s="1229"/>
      <c r="N54" s="1229"/>
      <c r="O54" s="1230"/>
      <c r="P54" s="130"/>
      <c r="Q54" s="295"/>
      <c r="R54" s="295"/>
      <c r="S54" s="259"/>
      <c r="T54" s="332"/>
      <c r="U54" s="334"/>
      <c r="V54" s="335"/>
      <c r="W54" s="336"/>
      <c r="X54" s="337"/>
      <c r="Y54" s="337"/>
      <c r="Z54" s="338"/>
      <c r="AA54" s="332"/>
      <c r="AB54" s="295"/>
      <c r="AC54" s="295"/>
      <c r="AD54" s="295"/>
      <c r="AF54" s="140"/>
      <c r="AG54" s="140"/>
      <c r="AH54" s="18"/>
      <c r="AI54" s="18"/>
      <c r="AJ54" s="18"/>
      <c r="AK54" s="18"/>
      <c r="AL54" s="18"/>
      <c r="AM54" s="18"/>
    </row>
    <row r="55" spans="1:39" ht="42" customHeight="1" x14ac:dyDescent="0.2">
      <c r="A55" s="1199"/>
      <c r="B55" s="1140"/>
      <c r="C55" s="1140"/>
      <c r="D55" s="1140"/>
      <c r="E55" s="1140"/>
      <c r="F55" s="1140"/>
      <c r="G55" s="1140"/>
      <c r="H55" s="1239"/>
      <c r="I55" s="1199"/>
      <c r="J55" s="1140"/>
      <c r="K55" s="1140"/>
      <c r="L55" s="1140"/>
      <c r="M55" s="1140"/>
      <c r="N55" s="1140"/>
      <c r="O55" s="1141"/>
      <c r="P55" s="279"/>
      <c r="Q55" s="295"/>
      <c r="R55" s="295"/>
      <c r="S55" s="259"/>
      <c r="T55" s="332"/>
      <c r="U55" s="334"/>
      <c r="V55" s="335"/>
      <c r="W55" s="336"/>
      <c r="X55" s="337"/>
      <c r="Y55" s="337"/>
      <c r="Z55" s="338"/>
      <c r="AA55" s="332"/>
      <c r="AB55" s="295"/>
      <c r="AC55" s="295"/>
      <c r="AD55" s="295"/>
      <c r="AF55" s="140"/>
      <c r="AG55" s="140"/>
      <c r="AH55" s="18"/>
      <c r="AI55" s="18"/>
      <c r="AJ55" s="18"/>
      <c r="AK55" s="18"/>
      <c r="AL55" s="18"/>
      <c r="AM55" s="18"/>
    </row>
    <row r="56" spans="1:39" ht="14.25" customHeight="1" x14ac:dyDescent="0.2">
      <c r="A56" s="1200" t="s">
        <v>154</v>
      </c>
      <c r="B56" s="1143"/>
      <c r="C56" s="1143"/>
      <c r="D56" s="1143"/>
      <c r="E56" s="1143"/>
      <c r="F56" s="1143"/>
      <c r="G56" s="1143"/>
      <c r="H56" s="1240"/>
      <c r="I56" s="1200" t="s">
        <v>154</v>
      </c>
      <c r="J56" s="1143"/>
      <c r="K56" s="1143"/>
      <c r="L56" s="1143"/>
      <c r="M56" s="1143"/>
      <c r="N56" s="1143"/>
      <c r="O56" s="1144"/>
      <c r="P56" s="279"/>
      <c r="Q56" s="295"/>
      <c r="R56" s="295"/>
      <c r="S56" s="286"/>
      <c r="T56" s="332"/>
      <c r="U56" s="334"/>
      <c r="V56" s="335"/>
      <c r="W56" s="336"/>
      <c r="X56" s="337"/>
      <c r="Y56" s="337"/>
      <c r="Z56" s="338"/>
      <c r="AA56" s="332"/>
      <c r="AB56" s="295"/>
      <c r="AC56" s="295"/>
      <c r="AD56" s="295"/>
      <c r="AF56" s="140"/>
      <c r="AG56" s="140"/>
      <c r="AH56" s="18"/>
      <c r="AI56" s="18"/>
      <c r="AJ56" s="18"/>
      <c r="AK56" s="18"/>
      <c r="AL56" s="18"/>
      <c r="AM56" s="18"/>
    </row>
    <row r="57" spans="1:39" ht="14.25" customHeight="1" thickBot="1" x14ac:dyDescent="0.25">
      <c r="A57" s="1201" t="str">
        <f>IF(A56="--","",VLOOKUP(A56,firmas!A31:B34,2,0))</f>
        <v/>
      </c>
      <c r="B57" s="1202"/>
      <c r="C57" s="1202"/>
      <c r="D57" s="1202"/>
      <c r="E57" s="1202"/>
      <c r="F57" s="1202"/>
      <c r="G57" s="1202"/>
      <c r="H57" s="1241"/>
      <c r="I57" s="1201" t="str">
        <f>IF(I56="--","",VLOOKUP(I56,firmas!$A$36:$B$37,2,0))</f>
        <v/>
      </c>
      <c r="J57" s="1202"/>
      <c r="K57" s="1202"/>
      <c r="L57" s="1202"/>
      <c r="M57" s="1202"/>
      <c r="N57" s="1202"/>
      <c r="O57" s="1203"/>
      <c r="P57" s="279"/>
      <c r="Q57" s="295"/>
      <c r="R57" s="295"/>
      <c r="S57" s="133"/>
      <c r="T57" s="332"/>
      <c r="U57" s="334"/>
      <c r="V57" s="335"/>
      <c r="W57" s="336"/>
      <c r="X57" s="337"/>
      <c r="Y57" s="337"/>
      <c r="Z57" s="338"/>
      <c r="AA57" s="332"/>
      <c r="AB57" s="295"/>
      <c r="AC57" s="295"/>
      <c r="AD57" s="295"/>
      <c r="AF57" s="140"/>
      <c r="AG57" s="140"/>
      <c r="AH57" s="18"/>
      <c r="AI57" s="18"/>
      <c r="AJ57" s="18"/>
      <c r="AK57" s="18"/>
      <c r="AL57" s="18"/>
      <c r="AM57" s="18"/>
    </row>
    <row r="58" spans="1:39" ht="12" customHeight="1" thickTop="1" thickBot="1" x14ac:dyDescent="0.25">
      <c r="A58" s="1164" t="s">
        <v>156</v>
      </c>
      <c r="B58" s="1164"/>
      <c r="C58" s="1164"/>
      <c r="D58" s="1164"/>
      <c r="E58" s="1164"/>
      <c r="F58" s="1164"/>
      <c r="G58" s="1164"/>
      <c r="H58" s="1164"/>
      <c r="I58" s="1164"/>
      <c r="J58" s="1164"/>
      <c r="K58" s="1164"/>
      <c r="L58" s="1164"/>
      <c r="M58" s="1164"/>
      <c r="N58" s="1164"/>
      <c r="O58" s="1164"/>
      <c r="P58" s="131"/>
      <c r="Q58" s="295"/>
      <c r="R58" s="295"/>
      <c r="S58" s="155"/>
      <c r="T58" s="155"/>
      <c r="U58" s="331"/>
      <c r="V58" s="331"/>
      <c r="W58" s="336"/>
      <c r="X58" s="337"/>
      <c r="Y58" s="337"/>
      <c r="Z58" s="338"/>
      <c r="AA58" s="332"/>
      <c r="AB58" s="295"/>
      <c r="AC58" s="295"/>
      <c r="AD58" s="295"/>
      <c r="AF58" s="140"/>
      <c r="AG58" s="140"/>
      <c r="AH58" s="18"/>
      <c r="AI58" s="18"/>
      <c r="AJ58" s="18"/>
      <c r="AK58" s="18"/>
      <c r="AL58" s="18"/>
      <c r="AM58" s="18"/>
    </row>
    <row r="59" spans="1:39" ht="18" customHeight="1" thickTop="1" x14ac:dyDescent="0.2">
      <c r="A59" s="1231" t="s">
        <v>200</v>
      </c>
      <c r="B59" s="1231"/>
      <c r="C59" s="1231"/>
      <c r="D59" s="1231"/>
      <c r="E59" s="1231"/>
      <c r="F59" s="1231"/>
      <c r="G59" s="1231"/>
      <c r="H59" s="1231"/>
      <c r="I59" s="1231"/>
      <c r="J59" s="1231"/>
      <c r="K59" s="1231"/>
      <c r="L59" s="1231"/>
      <c r="M59" s="1231"/>
      <c r="N59" s="1231"/>
      <c r="O59" s="1231"/>
      <c r="P59" s="279"/>
      <c r="Q59" s="295"/>
      <c r="R59" s="295"/>
      <c r="S59" s="155"/>
      <c r="T59" s="332"/>
      <c r="U59" s="331"/>
      <c r="V59" s="331"/>
      <c r="W59" s="336"/>
      <c r="X59" s="337"/>
      <c r="Y59" s="337"/>
      <c r="Z59" s="338"/>
      <c r="AA59" s="332"/>
      <c r="AB59" s="295"/>
      <c r="AC59" s="295"/>
      <c r="AD59" s="295"/>
      <c r="AF59" s="140"/>
      <c r="AG59" s="140"/>
      <c r="AH59" s="18"/>
      <c r="AI59" s="18"/>
      <c r="AJ59" s="18"/>
      <c r="AK59" s="18"/>
      <c r="AL59" s="18"/>
      <c r="AM59" s="18"/>
    </row>
    <row r="60" spans="1:39" ht="28.5" customHeight="1" x14ac:dyDescent="0.2">
      <c r="A60" s="1151" t="s">
        <v>247</v>
      </c>
      <c r="B60" s="1151"/>
      <c r="C60" s="1151"/>
      <c r="D60" s="1151"/>
      <c r="E60" s="1151"/>
      <c r="F60" s="1151"/>
      <c r="G60" s="1151"/>
      <c r="H60" s="1151"/>
      <c r="I60" s="1151"/>
      <c r="J60" s="1151"/>
      <c r="K60" s="1151"/>
      <c r="L60" s="1151"/>
      <c r="M60" s="1151"/>
      <c r="N60" s="1151"/>
      <c r="O60" s="1151"/>
      <c r="P60" s="255"/>
      <c r="Q60" s="295"/>
      <c r="R60" s="295"/>
      <c r="S60" s="155"/>
      <c r="T60" s="332"/>
      <c r="U60" s="331"/>
      <c r="V60" s="339"/>
      <c r="W60" s="336"/>
      <c r="X60" s="337"/>
      <c r="Y60" s="337"/>
      <c r="Z60" s="338"/>
      <c r="AA60" s="332"/>
      <c r="AB60" s="295"/>
      <c r="AC60" s="295"/>
      <c r="AD60" s="295"/>
      <c r="AF60" s="140"/>
      <c r="AG60" s="140"/>
      <c r="AH60" s="18"/>
      <c r="AI60" s="18"/>
      <c r="AJ60" s="18"/>
      <c r="AK60" s="18"/>
      <c r="AL60" s="18"/>
      <c r="AM60" s="18"/>
    </row>
    <row r="61" spans="1:39" ht="22.5" customHeight="1" x14ac:dyDescent="0.2">
      <c r="A61" s="1136"/>
      <c r="B61" s="1137"/>
      <c r="C61" s="1137"/>
      <c r="D61" s="75"/>
      <c r="P61" s="255"/>
      <c r="Q61" s="295"/>
      <c r="R61" s="295"/>
      <c r="S61" s="282"/>
      <c r="T61" s="282"/>
      <c r="U61" s="282"/>
      <c r="V61" s="282"/>
      <c r="W61" s="336"/>
      <c r="X61" s="337"/>
      <c r="Y61" s="337"/>
      <c r="Z61" s="338"/>
      <c r="AA61" s="332"/>
      <c r="AB61" s="295"/>
      <c r="AC61" s="295"/>
      <c r="AD61" s="295"/>
      <c r="AF61" s="140"/>
      <c r="AG61" s="140"/>
      <c r="AH61" s="18"/>
      <c r="AI61" s="18"/>
      <c r="AJ61" s="18"/>
      <c r="AK61" s="18"/>
      <c r="AL61" s="18"/>
      <c r="AM61" s="18"/>
    </row>
    <row r="62" spans="1:39" ht="34.5" customHeight="1" x14ac:dyDescent="0.2">
      <c r="Q62" s="295"/>
      <c r="R62" s="295"/>
      <c r="S62" s="282"/>
      <c r="T62" s="282"/>
      <c r="U62" s="282"/>
      <c r="V62" s="282"/>
      <c r="W62" s="336"/>
      <c r="X62" s="337"/>
      <c r="Y62" s="337"/>
      <c r="Z62" s="338"/>
      <c r="AA62" s="332"/>
      <c r="AB62" s="295"/>
      <c r="AC62" s="295"/>
      <c r="AD62" s="295"/>
      <c r="AF62" s="140"/>
      <c r="AG62" s="140"/>
      <c r="AH62" s="18"/>
      <c r="AI62" s="18"/>
      <c r="AJ62" s="18"/>
      <c r="AK62" s="18"/>
      <c r="AL62" s="18"/>
      <c r="AM62" s="18"/>
    </row>
    <row r="63" spans="1:39" ht="12.95" customHeight="1" x14ac:dyDescent="0.2">
      <c r="Q63" s="295"/>
      <c r="R63" s="295"/>
      <c r="S63" s="332"/>
      <c r="T63" s="340"/>
      <c r="U63" s="341"/>
      <c r="V63" s="341"/>
      <c r="W63" s="336"/>
      <c r="X63" s="337"/>
      <c r="Y63" s="337"/>
      <c r="Z63" s="338"/>
      <c r="AA63" s="332"/>
      <c r="AB63" s="295"/>
      <c r="AC63" s="295"/>
      <c r="AD63" s="295"/>
      <c r="AF63" s="140"/>
      <c r="AG63" s="140"/>
      <c r="AH63" s="18"/>
      <c r="AI63" s="18"/>
      <c r="AJ63" s="18"/>
      <c r="AK63" s="18"/>
      <c r="AL63" s="18"/>
      <c r="AM63" s="18"/>
    </row>
    <row r="64" spans="1:39" ht="12.95" customHeight="1" x14ac:dyDescent="0.2">
      <c r="Q64" s="295"/>
      <c r="R64" s="295"/>
      <c r="S64" s="292"/>
      <c r="T64" s="332"/>
      <c r="U64" s="334"/>
      <c r="V64" s="335"/>
      <c r="W64" s="342"/>
      <c r="X64" s="343"/>
      <c r="Y64" s="343"/>
      <c r="Z64" s="338"/>
      <c r="AA64" s="77"/>
      <c r="AB64" s="295"/>
      <c r="AC64" s="295"/>
      <c r="AD64" s="295"/>
      <c r="AF64" s="140"/>
      <c r="AG64" s="140"/>
      <c r="AH64" s="18"/>
      <c r="AI64" s="18"/>
      <c r="AJ64" s="18"/>
      <c r="AK64" s="18"/>
      <c r="AL64" s="18"/>
      <c r="AM64" s="18"/>
    </row>
    <row r="65" spans="17:39" ht="12.95" customHeight="1" x14ac:dyDescent="0.2">
      <c r="Q65" s="295"/>
      <c r="R65" s="295"/>
      <c r="S65" s="294"/>
      <c r="T65" s="332"/>
      <c r="U65" s="334"/>
      <c r="V65" s="335"/>
      <c r="W65" s="336"/>
      <c r="X65" s="337"/>
      <c r="Y65" s="337"/>
      <c r="Z65" s="338"/>
      <c r="AA65" s="77"/>
      <c r="AB65" s="295"/>
      <c r="AC65" s="295"/>
      <c r="AD65" s="295"/>
      <c r="AF65" s="140"/>
      <c r="AG65" s="140"/>
      <c r="AH65" s="18"/>
      <c r="AI65" s="18"/>
      <c r="AJ65" s="18"/>
      <c r="AK65" s="18"/>
      <c r="AL65" s="18"/>
      <c r="AM65" s="18"/>
    </row>
    <row r="66" spans="17:39" ht="12.95" customHeight="1" x14ac:dyDescent="0.2">
      <c r="Q66" s="295"/>
      <c r="R66" s="295"/>
      <c r="S66" s="291"/>
      <c r="T66" s="332"/>
      <c r="U66" s="334"/>
      <c r="V66" s="335"/>
      <c r="W66" s="336"/>
      <c r="X66" s="337"/>
      <c r="Y66" s="337"/>
      <c r="Z66" s="338"/>
      <c r="AA66" s="77"/>
      <c r="AB66" s="295"/>
      <c r="AC66" s="295"/>
      <c r="AD66" s="295"/>
      <c r="AF66" s="140"/>
      <c r="AG66" s="140"/>
      <c r="AH66" s="18"/>
      <c r="AI66" s="18"/>
      <c r="AJ66" s="18"/>
      <c r="AK66" s="18"/>
      <c r="AL66" s="18"/>
      <c r="AM66" s="18"/>
    </row>
    <row r="67" spans="17:39" ht="12.95" customHeight="1" x14ac:dyDescent="0.2">
      <c r="Q67" s="295"/>
      <c r="R67" s="295"/>
      <c r="S67" s="134"/>
      <c r="T67" s="332"/>
      <c r="U67" s="334"/>
      <c r="V67" s="335"/>
      <c r="W67" s="336"/>
      <c r="X67" s="337"/>
      <c r="Y67" s="337"/>
      <c r="Z67" s="338"/>
      <c r="AA67" s="77"/>
      <c r="AB67" s="295"/>
      <c r="AC67" s="295"/>
      <c r="AD67" s="295"/>
      <c r="AF67" s="140"/>
      <c r="AG67" s="140"/>
      <c r="AH67" s="18"/>
      <c r="AI67" s="18"/>
      <c r="AJ67" s="18"/>
      <c r="AK67" s="18"/>
      <c r="AL67" s="18"/>
      <c r="AM67" s="18"/>
    </row>
    <row r="68" spans="17:39" ht="12.95" customHeight="1" x14ac:dyDescent="0.2">
      <c r="Q68" s="295"/>
      <c r="R68" s="295"/>
      <c r="S68" s="135"/>
      <c r="T68" s="332"/>
      <c r="U68" s="334"/>
      <c r="V68" s="335"/>
      <c r="W68" s="336"/>
      <c r="X68" s="337"/>
      <c r="Y68" s="337"/>
      <c r="Z68" s="338"/>
      <c r="AA68" s="77"/>
      <c r="AB68" s="295"/>
      <c r="AC68" s="295"/>
      <c r="AD68" s="295"/>
      <c r="AF68" s="140"/>
      <c r="AG68" s="140"/>
      <c r="AH68" s="18"/>
      <c r="AI68" s="18"/>
      <c r="AJ68" s="18"/>
      <c r="AK68" s="18"/>
      <c r="AL68" s="18"/>
      <c r="AM68" s="18"/>
    </row>
    <row r="69" spans="17:39" ht="12.95" customHeight="1" x14ac:dyDescent="0.2">
      <c r="Q69" s="295"/>
      <c r="R69" s="295"/>
      <c r="S69" s="289"/>
      <c r="T69" s="332"/>
      <c r="U69" s="334"/>
      <c r="V69" s="335"/>
      <c r="W69" s="336"/>
      <c r="X69" s="337"/>
      <c r="Y69" s="337"/>
      <c r="Z69" s="338"/>
      <c r="AA69" s="77"/>
      <c r="AB69" s="295"/>
      <c r="AC69" s="295"/>
      <c r="AD69" s="295"/>
      <c r="AF69" s="140"/>
      <c r="AG69" s="140"/>
      <c r="AH69" s="18"/>
      <c r="AI69" s="18"/>
      <c r="AJ69" s="18"/>
      <c r="AK69" s="18"/>
      <c r="AL69" s="18"/>
      <c r="AM69" s="18"/>
    </row>
    <row r="70" spans="17:39" ht="12.95" customHeight="1" x14ac:dyDescent="0.2">
      <c r="Q70" s="295"/>
      <c r="R70" s="295"/>
      <c r="S70" s="289"/>
      <c r="T70" s="344"/>
      <c r="U70" s="59"/>
      <c r="V70" s="59"/>
      <c r="W70" s="336"/>
      <c r="X70" s="337"/>
      <c r="Y70" s="337"/>
      <c r="Z70" s="338"/>
      <c r="AA70" s="332"/>
      <c r="AB70" s="295"/>
      <c r="AC70" s="295"/>
      <c r="AD70" s="295"/>
      <c r="AF70" s="140"/>
      <c r="AG70" s="140"/>
      <c r="AH70" s="18"/>
      <c r="AI70" s="18"/>
      <c r="AJ70" s="18"/>
      <c r="AK70" s="18"/>
      <c r="AL70" s="18"/>
      <c r="AM70" s="18"/>
    </row>
    <row r="71" spans="17:39" ht="12.95" customHeight="1" x14ac:dyDescent="0.2">
      <c r="Q71" s="295"/>
      <c r="R71" s="295"/>
      <c r="S71" s="289"/>
      <c r="T71" s="332"/>
      <c r="U71" s="334"/>
      <c r="V71" s="335"/>
      <c r="W71" s="336"/>
      <c r="X71" s="337"/>
      <c r="Y71" s="337"/>
      <c r="Z71" s="338"/>
      <c r="AA71" s="332"/>
      <c r="AB71" s="295"/>
      <c r="AC71" s="295"/>
      <c r="AD71" s="295"/>
      <c r="AF71" s="140"/>
      <c r="AG71" s="140"/>
      <c r="AH71" s="18"/>
      <c r="AI71" s="18"/>
      <c r="AJ71" s="18"/>
      <c r="AK71" s="18"/>
      <c r="AL71" s="18"/>
      <c r="AM71" s="18"/>
    </row>
    <row r="72" spans="17:39" ht="12.95" customHeight="1" x14ac:dyDescent="0.2">
      <c r="Q72" s="295"/>
      <c r="R72" s="295"/>
      <c r="S72" s="227"/>
      <c r="T72" s="77"/>
      <c r="U72" s="258"/>
      <c r="V72" s="253"/>
      <c r="W72" s="336"/>
      <c r="X72" s="337"/>
      <c r="Y72" s="337"/>
      <c r="Z72" s="338"/>
      <c r="AA72" s="332"/>
      <c r="AB72" s="295"/>
      <c r="AC72" s="295"/>
      <c r="AD72" s="295"/>
      <c r="AL72" s="20"/>
      <c r="AM72" s="20"/>
    </row>
    <row r="73" spans="17:39" ht="12.95" customHeight="1" x14ac:dyDescent="0.2">
      <c r="Q73" s="295"/>
      <c r="R73" s="295"/>
      <c r="S73" s="90"/>
      <c r="T73" s="77"/>
      <c r="U73" s="76"/>
      <c r="V73" s="76"/>
      <c r="W73" s="336"/>
      <c r="X73" s="337"/>
      <c r="Y73" s="337"/>
      <c r="Z73" s="338"/>
      <c r="AA73" s="332"/>
      <c r="AB73" s="295"/>
      <c r="AC73" s="295"/>
      <c r="AD73" s="295"/>
      <c r="AL73" s="20"/>
      <c r="AM73" s="20"/>
    </row>
    <row r="74" spans="17:39" ht="12.95" customHeight="1" x14ac:dyDescent="0.2">
      <c r="Q74" s="295"/>
      <c r="R74" s="295"/>
      <c r="S74" s="190"/>
      <c r="T74" s="191"/>
      <c r="U74" s="191"/>
      <c r="V74" s="191"/>
      <c r="W74" s="336"/>
      <c r="X74" s="337"/>
      <c r="Y74" s="337"/>
      <c r="Z74" s="337"/>
      <c r="AA74" s="343"/>
      <c r="AB74" s="77"/>
      <c r="AC74" s="57"/>
      <c r="AD74" s="57"/>
      <c r="AE74" s="46"/>
      <c r="AL74" s="20"/>
      <c r="AM74" s="20"/>
    </row>
    <row r="75" spans="17:39" ht="12.95" customHeight="1" x14ac:dyDescent="0.2">
      <c r="Q75" s="295"/>
      <c r="R75" s="295"/>
      <c r="S75" s="222"/>
      <c r="T75" s="223"/>
      <c r="U75" s="223"/>
      <c r="V75" s="223"/>
      <c r="W75" s="336"/>
      <c r="X75" s="337"/>
      <c r="Y75" s="337"/>
      <c r="Z75" s="337"/>
      <c r="AA75" s="77"/>
      <c r="AB75" s="57"/>
      <c r="AC75" s="57"/>
      <c r="AD75" s="57"/>
      <c r="AE75" s="46"/>
      <c r="AL75" s="20"/>
      <c r="AM75" s="20"/>
    </row>
    <row r="76" spans="17:39" ht="12.95" customHeight="1" x14ac:dyDescent="0.2">
      <c r="Q76" s="295"/>
      <c r="R76" s="295"/>
      <c r="S76" s="222"/>
      <c r="T76" s="223"/>
      <c r="U76" s="223"/>
      <c r="V76" s="223"/>
      <c r="W76" s="336"/>
      <c r="X76" s="337"/>
      <c r="Y76" s="337"/>
      <c r="Z76" s="337"/>
      <c r="AA76" s="77"/>
      <c r="AB76" s="57"/>
      <c r="AC76" s="57"/>
      <c r="AD76" s="57"/>
      <c r="AE76" s="46"/>
      <c r="AL76" s="20"/>
      <c r="AM76" s="20"/>
    </row>
    <row r="77" spans="17:39" ht="12.95" customHeight="1" x14ac:dyDescent="0.2">
      <c r="Q77" s="295"/>
      <c r="R77" s="295"/>
      <c r="S77" s="200"/>
      <c r="T77" s="201"/>
      <c r="U77" s="201"/>
      <c r="V77" s="201"/>
      <c r="W77" s="336"/>
      <c r="X77" s="337"/>
      <c r="Y77" s="337"/>
      <c r="Z77" s="343"/>
      <c r="AA77" s="77"/>
      <c r="AB77" s="57"/>
      <c r="AC77" s="57"/>
      <c r="AD77" s="57"/>
      <c r="AE77" s="46"/>
      <c r="AL77" s="20"/>
      <c r="AM77" s="20"/>
    </row>
    <row r="78" spans="17:39" s="17" customFormat="1" ht="12.95" customHeight="1" x14ac:dyDescent="0.2">
      <c r="Q78" s="295"/>
      <c r="R78" s="295"/>
      <c r="S78" s="90"/>
      <c r="T78" s="77"/>
      <c r="U78" s="258"/>
      <c r="V78" s="154"/>
      <c r="W78" s="336"/>
      <c r="X78" s="337"/>
      <c r="Y78" s="337"/>
      <c r="Z78" s="337"/>
      <c r="AA78" s="343"/>
      <c r="AB78" s="77"/>
      <c r="AC78" s="57"/>
      <c r="AD78" s="57"/>
      <c r="AE78" s="46"/>
      <c r="AL78" s="20"/>
      <c r="AM78" s="20"/>
    </row>
    <row r="79" spans="17:39" s="17" customFormat="1" ht="12.95" customHeight="1" x14ac:dyDescent="0.2">
      <c r="Q79" s="295"/>
      <c r="R79" s="295"/>
      <c r="S79" s="292"/>
      <c r="T79" s="77"/>
      <c r="U79" s="258"/>
      <c r="V79" s="154"/>
      <c r="W79" s="336"/>
      <c r="X79" s="337"/>
      <c r="Y79" s="337"/>
      <c r="Z79" s="337"/>
      <c r="AA79" s="77"/>
      <c r="AB79" s="57"/>
      <c r="AC79" s="57"/>
      <c r="AD79" s="57"/>
      <c r="AE79" s="46"/>
      <c r="AL79" s="20"/>
      <c r="AM79" s="20"/>
    </row>
    <row r="80" spans="17:39" s="17" customFormat="1" ht="12.95" customHeight="1" x14ac:dyDescent="0.2">
      <c r="Q80" s="295"/>
      <c r="R80" s="295"/>
      <c r="S80" s="136"/>
      <c r="T80" s="76"/>
      <c r="U80" s="77"/>
      <c r="V80" s="154"/>
      <c r="W80" s="336"/>
      <c r="X80" s="337"/>
      <c r="Y80" s="337"/>
      <c r="Z80" s="337"/>
      <c r="AA80" s="77"/>
      <c r="AB80" s="57"/>
      <c r="AC80" s="57"/>
      <c r="AD80" s="57"/>
      <c r="AE80" s="46"/>
      <c r="AL80" s="20"/>
      <c r="AM80" s="20"/>
    </row>
    <row r="81" spans="17:39" s="17" customFormat="1" ht="12.95" customHeight="1" x14ac:dyDescent="0.2">
      <c r="Q81" s="295"/>
      <c r="R81" s="295"/>
      <c r="S81" s="136"/>
      <c r="T81" s="76"/>
      <c r="U81" s="77"/>
      <c r="V81" s="154"/>
      <c r="W81" s="336"/>
      <c r="X81" s="337"/>
      <c r="Y81" s="337"/>
      <c r="Z81" s="343"/>
      <c r="AA81" s="77"/>
      <c r="AB81" s="57"/>
      <c r="AC81" s="57"/>
      <c r="AD81" s="57"/>
      <c r="AE81" s="46"/>
      <c r="AL81" s="20"/>
      <c r="AM81" s="20"/>
    </row>
    <row r="82" spans="17:39" s="17" customFormat="1" ht="11.1" customHeight="1" x14ac:dyDescent="0.2">
      <c r="Q82" s="295"/>
      <c r="R82" s="295"/>
      <c r="S82" s="136"/>
      <c r="T82" s="76"/>
      <c r="U82" s="77"/>
      <c r="V82" s="154"/>
      <c r="W82" s="336"/>
      <c r="X82" s="337"/>
      <c r="Y82" s="337"/>
      <c r="Z82" s="343"/>
      <c r="AA82" s="77"/>
      <c r="AB82" s="57"/>
      <c r="AC82" s="57"/>
      <c r="AD82" s="57"/>
      <c r="AE82" s="46"/>
      <c r="AL82" s="20"/>
      <c r="AM82" s="20"/>
    </row>
    <row r="83" spans="17:39" s="17" customFormat="1" ht="11.1" customHeight="1" x14ac:dyDescent="0.2">
      <c r="Q83" s="295"/>
      <c r="R83" s="295"/>
      <c r="S83" s="136"/>
      <c r="T83" s="76"/>
      <c r="U83" s="77"/>
      <c r="V83" s="154"/>
      <c r="W83" s="336"/>
      <c r="X83" s="337"/>
      <c r="Y83" s="337"/>
      <c r="Z83" s="77"/>
      <c r="AA83" s="57"/>
      <c r="AB83" s="57"/>
      <c r="AC83" s="57"/>
      <c r="AD83" s="57"/>
      <c r="AE83" s="46"/>
      <c r="AL83" s="19"/>
      <c r="AM83" s="19"/>
    </row>
    <row r="84" spans="17:39" ht="11.1" customHeight="1" x14ac:dyDescent="0.2">
      <c r="Q84" s="295"/>
      <c r="R84" s="295"/>
      <c r="S84" s="136"/>
      <c r="T84" s="76"/>
      <c r="U84" s="77"/>
      <c r="V84" s="154"/>
      <c r="W84" s="336"/>
      <c r="X84" s="337"/>
      <c r="Y84" s="337"/>
      <c r="Z84" s="77"/>
      <c r="AA84" s="57"/>
      <c r="AB84" s="57"/>
      <c r="AC84" s="57"/>
      <c r="AD84" s="57"/>
      <c r="AE84" s="46"/>
      <c r="AL84" s="19"/>
      <c r="AM84" s="19"/>
    </row>
    <row r="85" spans="17:39" ht="11.1" customHeight="1" x14ac:dyDescent="0.2">
      <c r="Q85" s="295"/>
      <c r="R85" s="295"/>
      <c r="S85" s="252"/>
      <c r="T85" s="76"/>
      <c r="U85" s="77"/>
      <c r="V85" s="154"/>
      <c r="W85" s="342"/>
      <c r="X85" s="343"/>
      <c r="Y85" s="343"/>
      <c r="Z85" s="77"/>
      <c r="AA85" s="57"/>
      <c r="AB85" s="57"/>
      <c r="AC85" s="57"/>
      <c r="AD85" s="57"/>
      <c r="AE85" s="46"/>
    </row>
    <row r="86" spans="17:39" ht="11.1" customHeight="1" x14ac:dyDescent="0.2">
      <c r="Q86" s="295"/>
      <c r="R86" s="295"/>
      <c r="S86" s="252"/>
      <c r="T86" s="76"/>
      <c r="U86" s="77"/>
      <c r="V86" s="57"/>
      <c r="W86" s="336"/>
      <c r="X86" s="337"/>
      <c r="Y86" s="337"/>
      <c r="Z86" s="77"/>
      <c r="AA86" s="57"/>
      <c r="AB86" s="57"/>
      <c r="AC86" s="57"/>
      <c r="AD86" s="57"/>
      <c r="AE86" s="46"/>
    </row>
    <row r="87" spans="17:39" ht="11.1" customHeight="1" x14ac:dyDescent="0.2">
      <c r="Q87" s="295"/>
      <c r="R87" s="295"/>
      <c r="S87" s="254"/>
      <c r="T87" s="76"/>
      <c r="U87" s="57"/>
      <c r="V87" s="57"/>
      <c r="W87" s="336"/>
      <c r="X87" s="337"/>
      <c r="Y87" s="337"/>
      <c r="Z87" s="92"/>
      <c r="AA87" s="92"/>
      <c r="AB87" s="57"/>
      <c r="AC87" s="57"/>
      <c r="AD87" s="57"/>
      <c r="AE87" s="46"/>
    </row>
    <row r="88" spans="17:39" ht="11.1" customHeight="1" x14ac:dyDescent="0.2">
      <c r="Q88" s="295"/>
      <c r="R88" s="295"/>
      <c r="S88" s="136"/>
      <c r="T88" s="76"/>
      <c r="U88" s="76"/>
      <c r="V88" s="57"/>
      <c r="W88" s="336"/>
      <c r="X88" s="337"/>
      <c r="Y88" s="337"/>
      <c r="Z88" s="92"/>
      <c r="AA88" s="92"/>
      <c r="AB88" s="91"/>
      <c r="AC88" s="91"/>
      <c r="AD88" s="91"/>
      <c r="AE88" s="46"/>
    </row>
    <row r="89" spans="17:39" ht="11.1" customHeight="1" x14ac:dyDescent="0.2">
      <c r="Q89" s="295"/>
      <c r="R89" s="295"/>
      <c r="S89" s="254"/>
      <c r="T89" s="57"/>
      <c r="U89" s="57"/>
      <c r="V89" s="57"/>
      <c r="W89" s="336"/>
      <c r="X89" s="337"/>
      <c r="Y89" s="337"/>
      <c r="Z89" s="92"/>
      <c r="AA89" s="92"/>
      <c r="AB89" s="57"/>
      <c r="AC89" s="57"/>
      <c r="AD89" s="57"/>
      <c r="AE89" s="46"/>
    </row>
    <row r="90" spans="17:39" ht="11.1" customHeight="1" x14ac:dyDescent="0.2">
      <c r="Q90" s="295"/>
      <c r="R90" s="295"/>
      <c r="S90" s="227"/>
      <c r="T90" s="57"/>
      <c r="U90" s="57"/>
      <c r="V90" s="57"/>
      <c r="W90" s="336"/>
      <c r="X90" s="337"/>
      <c r="Y90" s="337"/>
      <c r="Z90" s="93"/>
      <c r="AA90" s="93"/>
      <c r="AB90" s="93"/>
      <c r="AC90" s="93"/>
      <c r="AD90" s="93"/>
      <c r="AE90" s="93"/>
    </row>
    <row r="91" spans="17:39" ht="11.1" customHeight="1" x14ac:dyDescent="0.2">
      <c r="Q91" s="295"/>
      <c r="R91" s="295"/>
      <c r="S91" s="1227"/>
      <c r="T91" s="1227"/>
      <c r="U91" s="57"/>
      <c r="V91" s="57"/>
      <c r="W91" s="336"/>
      <c r="X91" s="337"/>
      <c r="Y91" s="337"/>
      <c r="Z91" s="57"/>
      <c r="AA91" s="57"/>
      <c r="AB91" s="57"/>
      <c r="AC91" s="57"/>
      <c r="AD91" s="57"/>
      <c r="AE91" s="46"/>
    </row>
    <row r="92" spans="17:39" ht="11.1" customHeight="1" x14ac:dyDescent="0.2">
      <c r="Q92" s="295"/>
      <c r="R92" s="295"/>
      <c r="S92" s="155"/>
      <c r="T92" s="332"/>
      <c r="U92" s="57"/>
      <c r="V92" s="57"/>
      <c r="W92" s="336"/>
      <c r="X92" s="337"/>
      <c r="Y92" s="337"/>
      <c r="Z92" s="57"/>
      <c r="AA92" s="57"/>
      <c r="AB92" s="57"/>
      <c r="AC92" s="57"/>
      <c r="AD92" s="57"/>
      <c r="AE92" s="46"/>
    </row>
    <row r="93" spans="17:39" ht="11.1" customHeight="1" x14ac:dyDescent="0.2">
      <c r="Q93" s="295"/>
      <c r="R93" s="295"/>
      <c r="S93" s="155"/>
      <c r="T93" s="332"/>
      <c r="U93" s="57"/>
      <c r="V93" s="57"/>
      <c r="W93" s="336"/>
      <c r="X93" s="337"/>
      <c r="Y93" s="337"/>
      <c r="Z93" s="57"/>
      <c r="AA93" s="57"/>
      <c r="AB93" s="57"/>
      <c r="AC93" s="57"/>
      <c r="AD93" s="57"/>
      <c r="AE93" s="46"/>
    </row>
    <row r="94" spans="17:39" s="18" customFormat="1" ht="11.1" customHeight="1" x14ac:dyDescent="0.2">
      <c r="Q94" s="295"/>
      <c r="R94" s="295"/>
      <c r="S94" s="1237"/>
      <c r="T94" s="1237"/>
      <c r="U94" s="57"/>
      <c r="V94" s="57"/>
      <c r="W94" s="336"/>
      <c r="X94" s="337"/>
      <c r="Y94" s="337"/>
      <c r="Z94" s="57"/>
      <c r="AA94" s="57"/>
      <c r="AB94" s="57"/>
      <c r="AC94" s="57"/>
      <c r="AD94" s="57"/>
      <c r="AE94" s="46"/>
      <c r="AL94" s="11"/>
      <c r="AM94" s="11"/>
    </row>
    <row r="95" spans="17:39" s="18" customFormat="1" ht="11.1" customHeight="1" x14ac:dyDescent="0.2">
      <c r="Q95" s="295"/>
      <c r="R95" s="295"/>
      <c r="S95" s="1237"/>
      <c r="T95" s="1237"/>
      <c r="U95" s="57"/>
      <c r="V95" s="57"/>
      <c r="W95" s="336"/>
      <c r="X95" s="337"/>
      <c r="Y95" s="337"/>
      <c r="Z95" s="57"/>
      <c r="AA95" s="57"/>
      <c r="AB95" s="57"/>
      <c r="AC95" s="57"/>
      <c r="AD95" s="57"/>
      <c r="AE95" s="46"/>
      <c r="AL95" s="11"/>
      <c r="AM95" s="11"/>
    </row>
    <row r="96" spans="17:39" s="18" customFormat="1" ht="11.1" customHeight="1" x14ac:dyDescent="0.2">
      <c r="Q96" s="295"/>
      <c r="R96" s="295"/>
      <c r="S96" s="1226"/>
      <c r="T96" s="1226"/>
      <c r="U96" s="57"/>
      <c r="V96" s="57"/>
      <c r="W96" s="336"/>
      <c r="X96" s="337"/>
      <c r="Y96" s="337"/>
      <c r="Z96" s="57"/>
      <c r="AA96" s="57"/>
      <c r="AB96" s="57"/>
      <c r="AC96" s="57"/>
      <c r="AD96" s="57"/>
      <c r="AE96" s="46"/>
      <c r="AL96" s="11"/>
      <c r="AM96" s="11"/>
    </row>
    <row r="97" spans="17:39" s="18" customFormat="1" ht="11.1" customHeight="1" x14ac:dyDescent="0.2">
      <c r="Q97" s="295"/>
      <c r="R97" s="295"/>
      <c r="S97" s="287"/>
      <c r="T97" s="75"/>
      <c r="U97" s="57"/>
      <c r="V97" s="57"/>
      <c r="W97" s="336"/>
      <c r="X97" s="337"/>
      <c r="Y97" s="337"/>
      <c r="Z97" s="57"/>
      <c r="AA97" s="57"/>
      <c r="AB97" s="57"/>
      <c r="AC97" s="57"/>
      <c r="AD97" s="57"/>
      <c r="AE97" s="46"/>
      <c r="AL97" s="11"/>
      <c r="AM97" s="11"/>
    </row>
    <row r="98" spans="17:39" s="18" customFormat="1" ht="11.1" customHeight="1" x14ac:dyDescent="0.2">
      <c r="Q98" s="295"/>
      <c r="R98" s="295"/>
      <c r="S98" s="295"/>
      <c r="T98" s="295"/>
      <c r="U98" s="57"/>
      <c r="V98" s="57"/>
      <c r="W98" s="336"/>
      <c r="X98" s="337"/>
      <c r="Y98" s="337"/>
      <c r="Z98" s="57"/>
      <c r="AA98" s="57"/>
      <c r="AB98" s="57"/>
      <c r="AC98" s="57"/>
      <c r="AD98" s="57"/>
      <c r="AE98" s="46"/>
      <c r="AL98" s="11"/>
      <c r="AM98" s="11"/>
    </row>
    <row r="99" spans="17:39" s="18" customFormat="1" ht="11.1" customHeight="1" x14ac:dyDescent="0.2">
      <c r="Q99" s="295"/>
      <c r="R99" s="295"/>
      <c r="S99" s="295"/>
      <c r="T99" s="295"/>
      <c r="U99" s="57"/>
      <c r="V99" s="57"/>
      <c r="W99" s="336"/>
      <c r="X99" s="337"/>
      <c r="Y99" s="337"/>
      <c r="Z99" s="57"/>
      <c r="AA99" s="57"/>
      <c r="AB99" s="57"/>
      <c r="AC99" s="57"/>
      <c r="AD99" s="57"/>
      <c r="AE99" s="46"/>
      <c r="AL99" s="11"/>
      <c r="AM99" s="11"/>
    </row>
    <row r="100" spans="17:39" s="18" customFormat="1" ht="10.5" customHeight="1" x14ac:dyDescent="0.2">
      <c r="Q100" s="295"/>
      <c r="R100" s="295"/>
      <c r="S100" s="295"/>
      <c r="T100" s="295"/>
      <c r="U100" s="57"/>
      <c r="V100" s="57"/>
      <c r="W100" s="336"/>
      <c r="X100" s="337"/>
      <c r="Y100" s="337"/>
      <c r="Z100" s="57"/>
      <c r="AA100" s="57"/>
      <c r="AB100" s="57"/>
      <c r="AC100" s="57"/>
      <c r="AD100" s="57"/>
      <c r="AE100" s="46"/>
      <c r="AL100" s="11"/>
      <c r="AM100" s="11"/>
    </row>
    <row r="101" spans="17:39" s="18" customFormat="1" ht="18" customHeight="1" x14ac:dyDescent="0.2">
      <c r="Q101" s="295"/>
      <c r="R101" s="295"/>
      <c r="S101" s="295"/>
      <c r="T101" s="295"/>
      <c r="U101" s="57"/>
      <c r="V101" s="57"/>
      <c r="W101" s="342"/>
      <c r="X101" s="343"/>
      <c r="Y101" s="343"/>
      <c r="Z101" s="57"/>
      <c r="AA101" s="57"/>
      <c r="AB101" s="57"/>
      <c r="AC101" s="57"/>
      <c r="AD101" s="57"/>
      <c r="AE101" s="46"/>
      <c r="AL101" s="11"/>
      <c r="AM101" s="11"/>
    </row>
    <row r="102" spans="17:39" s="18" customFormat="1" ht="27.95" customHeight="1" x14ac:dyDescent="0.2">
      <c r="Q102" s="295"/>
      <c r="R102" s="295"/>
      <c r="S102" s="295"/>
      <c r="T102" s="295"/>
      <c r="U102" s="57"/>
      <c r="V102" s="57"/>
      <c r="W102" s="336"/>
      <c r="X102" s="337"/>
      <c r="Y102" s="337"/>
      <c r="Z102" s="57"/>
      <c r="AA102" s="57"/>
      <c r="AB102" s="57"/>
      <c r="AC102" s="57"/>
      <c r="AD102" s="57"/>
      <c r="AE102" s="46"/>
      <c r="AL102" s="11"/>
      <c r="AM102" s="11"/>
    </row>
    <row r="103" spans="17:39" s="18" customFormat="1" ht="9.75" customHeight="1" x14ac:dyDescent="0.2">
      <c r="Q103" s="295"/>
      <c r="R103" s="295"/>
      <c r="S103" s="295"/>
      <c r="T103" s="295"/>
      <c r="U103" s="57"/>
      <c r="V103" s="57"/>
      <c r="W103" s="336"/>
      <c r="X103" s="337"/>
      <c r="Y103" s="337"/>
      <c r="Z103" s="57"/>
      <c r="AA103" s="57"/>
      <c r="AB103" s="57"/>
      <c r="AC103" s="57"/>
      <c r="AD103" s="57"/>
      <c r="AE103" s="46"/>
      <c r="AL103" s="11"/>
      <c r="AM103" s="11"/>
    </row>
    <row r="104" spans="17:39" s="18" customFormat="1" ht="14.1" customHeight="1" x14ac:dyDescent="0.2">
      <c r="Q104" s="295"/>
      <c r="R104" s="295"/>
      <c r="S104" s="57"/>
      <c r="T104" s="57"/>
      <c r="U104" s="57"/>
      <c r="V104" s="57"/>
      <c r="W104" s="336"/>
      <c r="X104" s="337"/>
      <c r="Y104" s="337"/>
      <c r="Z104" s="57"/>
      <c r="AA104" s="57"/>
      <c r="AB104" s="57"/>
      <c r="AC104" s="57"/>
      <c r="AD104" s="57"/>
      <c r="AE104" s="46"/>
      <c r="AF104" s="46"/>
      <c r="AG104" s="46"/>
      <c r="AH104" s="11"/>
      <c r="AI104" s="11"/>
      <c r="AJ104" s="11"/>
      <c r="AK104" s="11"/>
      <c r="AL104" s="11"/>
      <c r="AM104" s="11"/>
    </row>
    <row r="105" spans="17:39" s="18" customFormat="1" ht="14.1" customHeight="1" x14ac:dyDescent="0.2">
      <c r="Q105" s="11"/>
      <c r="R105" s="11"/>
      <c r="S105" s="46"/>
      <c r="T105" s="46"/>
      <c r="U105" s="46"/>
      <c r="V105" s="46"/>
      <c r="W105" s="3"/>
      <c r="X105" s="4"/>
      <c r="Y105" s="4"/>
      <c r="Z105" s="46"/>
      <c r="AA105" s="46"/>
      <c r="AB105" s="46"/>
      <c r="AC105" s="46"/>
      <c r="AD105" s="46"/>
      <c r="AE105" s="46"/>
      <c r="AF105" s="46"/>
      <c r="AG105" s="46"/>
      <c r="AH105" s="11"/>
      <c r="AI105" s="11"/>
      <c r="AJ105" s="11"/>
      <c r="AK105" s="11"/>
      <c r="AL105" s="11"/>
      <c r="AM105" s="11"/>
    </row>
    <row r="106" spans="17:39" s="18" customFormat="1" ht="14.1" customHeight="1" x14ac:dyDescent="0.2">
      <c r="Q106" s="11"/>
      <c r="R106" s="11"/>
      <c r="S106" s="46"/>
      <c r="T106" s="46"/>
      <c r="U106" s="46"/>
      <c r="V106" s="46"/>
      <c r="W106" s="3"/>
      <c r="X106" s="4"/>
      <c r="Y106" s="4"/>
      <c r="Z106" s="46"/>
      <c r="AA106" s="46"/>
      <c r="AB106" s="46"/>
      <c r="AC106" s="46"/>
      <c r="AD106" s="46"/>
      <c r="AE106" s="46"/>
      <c r="AF106" s="46"/>
      <c r="AG106" s="46"/>
      <c r="AH106" s="11"/>
      <c r="AI106" s="11"/>
      <c r="AJ106" s="11"/>
      <c r="AK106" s="11"/>
      <c r="AL106" s="11"/>
      <c r="AM106" s="11"/>
    </row>
    <row r="107" spans="17:39" s="18" customFormat="1" ht="12" customHeight="1" x14ac:dyDescent="0.2">
      <c r="Q107" s="11"/>
      <c r="R107" s="11"/>
      <c r="S107" s="46"/>
      <c r="T107" s="46"/>
      <c r="U107" s="46"/>
      <c r="V107" s="46"/>
      <c r="W107" s="3"/>
      <c r="X107" s="4"/>
      <c r="Y107" s="4"/>
      <c r="Z107" s="46"/>
      <c r="AA107" s="46"/>
      <c r="AB107" s="46"/>
      <c r="AC107" s="46"/>
      <c r="AD107" s="46"/>
      <c r="AE107" s="46"/>
      <c r="AF107" s="46"/>
      <c r="AG107" s="46"/>
      <c r="AH107" s="11"/>
      <c r="AI107" s="11"/>
      <c r="AJ107" s="11"/>
      <c r="AK107" s="11"/>
      <c r="AL107" s="11"/>
      <c r="AM107" s="11"/>
    </row>
    <row r="108" spans="17:39" s="18" customFormat="1" ht="12" customHeight="1" x14ac:dyDescent="0.2">
      <c r="Q108" s="11"/>
      <c r="R108" s="11"/>
      <c r="S108" s="46"/>
      <c r="T108" s="46"/>
      <c r="U108" s="46"/>
      <c r="V108" s="46"/>
      <c r="W108" s="3"/>
      <c r="X108" s="4"/>
      <c r="Y108" s="4"/>
      <c r="Z108" s="46"/>
      <c r="AA108" s="46"/>
      <c r="AB108" s="46"/>
      <c r="AC108" s="46"/>
      <c r="AD108" s="46"/>
      <c r="AE108" s="46"/>
      <c r="AF108" s="46"/>
      <c r="AG108" s="46"/>
      <c r="AH108" s="11"/>
      <c r="AI108" s="11"/>
      <c r="AJ108" s="11"/>
      <c r="AK108" s="11"/>
      <c r="AL108" s="11"/>
      <c r="AM108" s="11"/>
    </row>
    <row r="109" spans="17:39" s="18" customFormat="1" ht="14.1" customHeight="1" x14ac:dyDescent="0.2">
      <c r="Q109" s="11"/>
      <c r="R109" s="11"/>
      <c r="S109" s="46"/>
      <c r="T109" s="46"/>
      <c r="U109" s="46"/>
      <c r="V109" s="46"/>
      <c r="W109" s="3"/>
      <c r="X109" s="4"/>
      <c r="Y109" s="4"/>
      <c r="Z109" s="46"/>
      <c r="AA109" s="46"/>
      <c r="AB109" s="46"/>
      <c r="AC109" s="46"/>
      <c r="AD109" s="46"/>
      <c r="AE109" s="46"/>
      <c r="AF109" s="46"/>
      <c r="AG109" s="46"/>
      <c r="AH109" s="11"/>
      <c r="AI109" s="11"/>
      <c r="AJ109" s="11"/>
      <c r="AK109" s="11"/>
      <c r="AL109" s="11"/>
      <c r="AM109" s="11"/>
    </row>
    <row r="110" spans="17:39" s="18" customFormat="1" ht="14.1" customHeight="1" x14ac:dyDescent="0.2">
      <c r="Q110" s="11"/>
      <c r="R110" s="11"/>
      <c r="S110" s="46"/>
      <c r="T110" s="46"/>
      <c r="U110" s="46"/>
      <c r="V110" s="46"/>
      <c r="W110" s="3"/>
      <c r="X110" s="4"/>
      <c r="Y110" s="4"/>
      <c r="Z110" s="46"/>
      <c r="AA110" s="46"/>
      <c r="AB110" s="46"/>
      <c r="AC110" s="46"/>
      <c r="AD110" s="46"/>
      <c r="AE110" s="46"/>
      <c r="AF110" s="46"/>
      <c r="AG110" s="46"/>
      <c r="AH110" s="11"/>
      <c r="AI110" s="11"/>
      <c r="AJ110" s="11"/>
      <c r="AK110" s="11"/>
      <c r="AL110" s="11"/>
      <c r="AM110" s="11"/>
    </row>
    <row r="111" spans="17:39" s="18" customFormat="1" ht="14.1" customHeight="1" x14ac:dyDescent="0.2">
      <c r="Q111" s="11"/>
      <c r="R111" s="11"/>
      <c r="S111" s="46"/>
      <c r="T111" s="46"/>
      <c r="U111" s="46"/>
      <c r="V111" s="46"/>
      <c r="W111" s="3"/>
      <c r="X111" s="4"/>
      <c r="Y111" s="4"/>
      <c r="Z111" s="46"/>
      <c r="AA111" s="46"/>
      <c r="AB111" s="46"/>
      <c r="AC111" s="46"/>
      <c r="AD111" s="46"/>
      <c r="AE111" s="46"/>
      <c r="AF111" s="46"/>
      <c r="AG111" s="46"/>
      <c r="AH111" s="11"/>
      <c r="AI111" s="11"/>
      <c r="AJ111" s="11"/>
      <c r="AK111" s="11"/>
      <c r="AL111" s="11"/>
      <c r="AM111" s="11"/>
    </row>
    <row r="112" spans="17:39" s="18" customFormat="1" ht="14.1" customHeight="1" x14ac:dyDescent="0.2">
      <c r="Q112" s="11"/>
      <c r="R112" s="11"/>
      <c r="S112" s="46"/>
      <c r="T112" s="46"/>
      <c r="U112" s="46"/>
      <c r="V112" s="46"/>
      <c r="W112" s="3"/>
      <c r="X112" s="4"/>
      <c r="Y112" s="4"/>
      <c r="Z112" s="46"/>
      <c r="AA112" s="46"/>
      <c r="AB112" s="46"/>
      <c r="AC112" s="46"/>
      <c r="AD112" s="46"/>
      <c r="AE112" s="46"/>
      <c r="AF112" s="46"/>
      <c r="AG112" s="46"/>
      <c r="AH112" s="11"/>
      <c r="AI112" s="11"/>
      <c r="AJ112" s="11"/>
      <c r="AK112" s="11"/>
      <c r="AL112" s="11"/>
      <c r="AM112" s="11"/>
    </row>
    <row r="113" spans="17:39" s="18" customFormat="1" ht="13.5" customHeight="1" x14ac:dyDescent="0.2">
      <c r="Q113" s="11"/>
      <c r="R113" s="11"/>
      <c r="S113" s="46"/>
      <c r="T113" s="46"/>
      <c r="U113" s="46"/>
      <c r="V113" s="46"/>
      <c r="W113" s="3"/>
      <c r="X113" s="4"/>
      <c r="Y113" s="4"/>
      <c r="Z113" s="46"/>
      <c r="AA113" s="46"/>
      <c r="AB113" s="46"/>
      <c r="AC113" s="46"/>
      <c r="AD113" s="46"/>
      <c r="AE113" s="46"/>
      <c r="AF113" s="46"/>
      <c r="AG113" s="46"/>
      <c r="AH113" s="11"/>
      <c r="AI113" s="11"/>
      <c r="AJ113" s="11"/>
      <c r="AK113" s="11"/>
      <c r="AL113" s="11"/>
      <c r="AM113" s="11"/>
    </row>
    <row r="114" spans="17:39" s="18" customFormat="1" ht="15" customHeight="1" x14ac:dyDescent="0.2">
      <c r="Q114" s="11"/>
      <c r="R114" s="11"/>
      <c r="S114" s="46"/>
      <c r="T114" s="46"/>
      <c r="U114" s="46"/>
      <c r="V114" s="46"/>
      <c r="W114" s="3"/>
      <c r="X114" s="4"/>
      <c r="Y114" s="4"/>
      <c r="Z114" s="46"/>
      <c r="AA114" s="46"/>
      <c r="AB114" s="46"/>
      <c r="AC114" s="46"/>
      <c r="AD114" s="46"/>
      <c r="AE114" s="46"/>
      <c r="AF114" s="46"/>
      <c r="AG114" s="46"/>
      <c r="AH114" s="11"/>
      <c r="AI114" s="11"/>
      <c r="AJ114" s="11"/>
      <c r="AK114" s="11"/>
      <c r="AL114" s="11"/>
      <c r="AM114" s="11"/>
    </row>
    <row r="115" spans="17:39" s="18" customFormat="1" ht="20.100000000000001" customHeight="1" x14ac:dyDescent="0.2">
      <c r="Q115" s="11"/>
      <c r="R115" s="11"/>
      <c r="S115" s="46"/>
      <c r="T115" s="46"/>
      <c r="U115" s="46"/>
      <c r="V115" s="46"/>
      <c r="W115" s="3"/>
      <c r="X115" s="4"/>
      <c r="Y115" s="4"/>
      <c r="Z115" s="46"/>
      <c r="AA115" s="46"/>
      <c r="AB115" s="46"/>
      <c r="AC115" s="46"/>
      <c r="AD115" s="46"/>
      <c r="AE115" s="46"/>
      <c r="AF115" s="46"/>
      <c r="AG115" s="46"/>
      <c r="AH115" s="11"/>
      <c r="AI115" s="11"/>
      <c r="AJ115" s="11"/>
      <c r="AK115" s="11"/>
      <c r="AL115" s="11"/>
      <c r="AM115" s="11"/>
    </row>
    <row r="116" spans="17:39" s="18" customFormat="1" ht="15" customHeight="1" x14ac:dyDescent="0.2">
      <c r="Q116" s="11"/>
      <c r="R116" s="11"/>
      <c r="S116" s="46"/>
      <c r="T116" s="46"/>
      <c r="U116" s="46"/>
      <c r="V116" s="46"/>
      <c r="W116" s="3"/>
      <c r="X116" s="4"/>
      <c r="Y116" s="4"/>
      <c r="Z116" s="46"/>
      <c r="AA116" s="46"/>
      <c r="AB116" s="46"/>
      <c r="AC116" s="46"/>
      <c r="AD116" s="46"/>
      <c r="AE116" s="46"/>
      <c r="AF116" s="46"/>
      <c r="AG116" s="46"/>
      <c r="AH116" s="11"/>
      <c r="AI116" s="11"/>
      <c r="AJ116" s="11"/>
      <c r="AK116" s="11"/>
      <c r="AL116" s="11"/>
      <c r="AM116" s="11"/>
    </row>
    <row r="117" spans="17:39" s="18" customFormat="1" ht="15" customHeight="1" x14ac:dyDescent="0.2">
      <c r="Q117" s="11"/>
      <c r="R117" s="11"/>
      <c r="S117" s="46"/>
      <c r="T117" s="46"/>
      <c r="U117" s="46"/>
      <c r="V117" s="46"/>
      <c r="W117" s="5"/>
      <c r="X117" s="6"/>
      <c r="Y117" s="6"/>
      <c r="Z117" s="46"/>
      <c r="AA117" s="46"/>
      <c r="AB117" s="46"/>
      <c r="AC117" s="46"/>
      <c r="AD117" s="46"/>
      <c r="AE117" s="46"/>
      <c r="AF117" s="46"/>
      <c r="AG117" s="46"/>
      <c r="AH117" s="11"/>
      <c r="AI117" s="11"/>
      <c r="AJ117" s="11"/>
      <c r="AK117" s="11"/>
      <c r="AL117" s="11"/>
      <c r="AM117" s="11"/>
    </row>
    <row r="118" spans="17:39" s="18" customFormat="1" ht="15" customHeight="1" x14ac:dyDescent="0.2">
      <c r="Q118" s="11"/>
      <c r="R118" s="11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11"/>
      <c r="AI118" s="11"/>
      <c r="AJ118" s="11"/>
      <c r="AK118" s="11"/>
      <c r="AL118" s="11"/>
      <c r="AM118" s="11"/>
    </row>
    <row r="119" spans="17:39" s="18" customFormat="1" ht="15" customHeight="1" x14ac:dyDescent="0.2">
      <c r="Q119" s="11"/>
      <c r="R119" s="11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11"/>
      <c r="AI119" s="11"/>
      <c r="AJ119" s="11"/>
      <c r="AK119" s="11"/>
      <c r="AL119" s="11"/>
      <c r="AM119" s="11"/>
    </row>
    <row r="120" spans="17:39" s="18" customFormat="1" ht="20.100000000000001" customHeight="1" x14ac:dyDescent="0.2">
      <c r="Q120" s="11"/>
      <c r="R120" s="11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11"/>
      <c r="AI120" s="11"/>
      <c r="AJ120" s="11"/>
      <c r="AK120" s="11"/>
      <c r="AL120" s="11"/>
      <c r="AM120" s="11"/>
    </row>
    <row r="121" spans="17:39" s="18" customFormat="1" ht="20.100000000000001" customHeight="1" x14ac:dyDescent="0.2">
      <c r="Q121" s="11"/>
      <c r="R121" s="11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11"/>
      <c r="AI121" s="11"/>
      <c r="AJ121" s="11"/>
      <c r="AK121" s="11"/>
      <c r="AL121" s="11"/>
      <c r="AM121" s="11"/>
    </row>
    <row r="122" spans="17:39" s="18" customFormat="1" ht="21" customHeight="1" x14ac:dyDescent="0.2">
      <c r="Q122" s="11"/>
      <c r="R122" s="11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11"/>
      <c r="AI122" s="11"/>
      <c r="AJ122" s="11"/>
      <c r="AK122" s="11"/>
      <c r="AL122" s="11"/>
      <c r="AM122" s="11"/>
    </row>
    <row r="123" spans="17:39" s="18" customFormat="1" ht="15" customHeight="1" x14ac:dyDescent="0.2">
      <c r="Q123" s="11"/>
      <c r="R123" s="11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11"/>
      <c r="AI123" s="11"/>
      <c r="AJ123" s="11"/>
      <c r="AK123" s="11"/>
      <c r="AL123" s="11"/>
      <c r="AM123" s="11"/>
    </row>
    <row r="124" spans="17:39" s="18" customFormat="1" ht="15" customHeight="1" x14ac:dyDescent="0.2">
      <c r="Q124" s="11"/>
      <c r="R124" s="11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11"/>
      <c r="AI124" s="11"/>
      <c r="AJ124" s="11"/>
      <c r="AK124" s="11"/>
      <c r="AL124" s="11"/>
      <c r="AM124" s="11"/>
    </row>
    <row r="125" spans="17:39" s="18" customFormat="1" ht="14.1" customHeight="1" x14ac:dyDescent="0.2"/>
    <row r="126" spans="17:39" s="18" customFormat="1" ht="14.1" customHeight="1" x14ac:dyDescent="0.2"/>
    <row r="127" spans="17:39" s="18" customFormat="1" ht="14.1" customHeight="1" x14ac:dyDescent="0.2"/>
    <row r="128" spans="17:39" s="18" customFormat="1" ht="14.1" customHeight="1" x14ac:dyDescent="0.2"/>
    <row r="129" s="18" customFormat="1" ht="15" customHeight="1" x14ac:dyDescent="0.2"/>
    <row r="130" s="20" customFormat="1" ht="15" customHeight="1" x14ac:dyDescent="0.2"/>
    <row r="131" s="20" customFormat="1" ht="15" customHeight="1" x14ac:dyDescent="0.2"/>
    <row r="132" s="20" customFormat="1" ht="15" customHeight="1" x14ac:dyDescent="0.2"/>
    <row r="133" s="20" customFormat="1" ht="15" customHeight="1" x14ac:dyDescent="0.2"/>
    <row r="134" s="20" customFormat="1" ht="15" customHeight="1" x14ac:dyDescent="0.2"/>
    <row r="135" s="20" customFormat="1" ht="15" customHeight="1" x14ac:dyDescent="0.2"/>
    <row r="136" s="20" customFormat="1" ht="15" customHeight="1" x14ac:dyDescent="0.2"/>
    <row r="137" s="20" customFormat="1" ht="15" customHeight="1" x14ac:dyDescent="0.2"/>
    <row r="138" s="20" customFormat="1" ht="15" customHeight="1" x14ac:dyDescent="0.2"/>
    <row r="139" s="20" customFormat="1" ht="15" customHeight="1" x14ac:dyDescent="0.2"/>
    <row r="140" s="20" customFormat="1" ht="15" customHeight="1" x14ac:dyDescent="0.2"/>
    <row r="141" s="19" customFormat="1" ht="15" customHeight="1" x14ac:dyDescent="0.2"/>
    <row r="142" s="19" customFormat="1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24" customHeight="1" x14ac:dyDescent="0.2"/>
    <row r="151" ht="21.95" customHeight="1" x14ac:dyDescent="0.2"/>
    <row r="152" ht="21" customHeight="1" x14ac:dyDescent="0.2"/>
    <row r="153" ht="15.75" customHeight="1" x14ac:dyDescent="0.2"/>
    <row r="154" ht="12.75" customHeight="1" x14ac:dyDescent="0.2"/>
    <row r="155" ht="18.75" customHeight="1" x14ac:dyDescent="0.2"/>
    <row r="156" ht="29.25" customHeight="1" x14ac:dyDescent="0.2"/>
    <row r="157" ht="27.95" customHeight="1" x14ac:dyDescent="0.2"/>
    <row r="158" ht="27.95" customHeight="1" x14ac:dyDescent="0.2"/>
    <row r="159" ht="12.95" customHeight="1" x14ac:dyDescent="0.2"/>
    <row r="160" ht="12" customHeight="1" x14ac:dyDescent="0.2"/>
    <row r="183" spans="16:31" x14ac:dyDescent="0.2"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</row>
    <row r="184" spans="16:31" x14ac:dyDescent="0.2"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</row>
  </sheetData>
  <sheetProtection algorithmName="SHA-512" hashValue="QT0Q2oEoX8apgqiR7Uw+0TMOLK9AvlFCUAcWeRuByD2qnZhvXtzMjtLj2eO/NiheyQQoI2h3CPwavESXs4LEsg==" saltValue="hx8ILio6NlrdIJTWt06jww==" spinCount="100000" sheet="1" formatCells="0" formatColumns="0" formatRows="0"/>
  <protectedRanges>
    <protectedRange sqref="M2:N4" name="Rango1_1_1"/>
  </protectedRanges>
  <mergeCells count="99">
    <mergeCell ref="R13:R14"/>
    <mergeCell ref="S4:S7"/>
    <mergeCell ref="S8:S14"/>
    <mergeCell ref="S15:S20"/>
    <mergeCell ref="S21:S26"/>
    <mergeCell ref="R18:R19"/>
    <mergeCell ref="AD42:AD43"/>
    <mergeCell ref="AE42:AE43"/>
    <mergeCell ref="S44:S46"/>
    <mergeCell ref="S50:S52"/>
    <mergeCell ref="S27:AB27"/>
    <mergeCell ref="N13:O13"/>
    <mergeCell ref="A1:C5"/>
    <mergeCell ref="D1:O1"/>
    <mergeCell ref="D4:L4"/>
    <mergeCell ref="M4:O4"/>
    <mergeCell ref="D5:O5"/>
    <mergeCell ref="D2:O3"/>
    <mergeCell ref="E10:J10"/>
    <mergeCell ref="B13:C13"/>
    <mergeCell ref="D13:F13"/>
    <mergeCell ref="G13:I13"/>
    <mergeCell ref="J13:L13"/>
    <mergeCell ref="A9:D9"/>
    <mergeCell ref="E9:J9"/>
    <mergeCell ref="E8:J8"/>
    <mergeCell ref="E6:J6"/>
    <mergeCell ref="E7:J7"/>
    <mergeCell ref="M9:O9"/>
    <mergeCell ref="M6:O6"/>
    <mergeCell ref="M7:O7"/>
    <mergeCell ref="M10:O10"/>
    <mergeCell ref="M8:O8"/>
    <mergeCell ref="B14:C14"/>
    <mergeCell ref="D14:F14"/>
    <mergeCell ref="G14:I14"/>
    <mergeCell ref="J14:L14"/>
    <mergeCell ref="N14:O14"/>
    <mergeCell ref="A20:A23"/>
    <mergeCell ref="B20:C22"/>
    <mergeCell ref="A52:B52"/>
    <mergeCell ref="C52:O52"/>
    <mergeCell ref="A53:O53"/>
    <mergeCell ref="C32:D32"/>
    <mergeCell ref="A49:O49"/>
    <mergeCell ref="B23:D23"/>
    <mergeCell ref="A24:A27"/>
    <mergeCell ref="B24:C26"/>
    <mergeCell ref="N24:O32"/>
    <mergeCell ref="B27:D27"/>
    <mergeCell ref="A28:B29"/>
    <mergeCell ref="C28:D28"/>
    <mergeCell ref="C29:D29"/>
    <mergeCell ref="A30:B32"/>
    <mergeCell ref="C30:D30"/>
    <mergeCell ref="C31:D31"/>
    <mergeCell ref="A50:O50"/>
    <mergeCell ref="A61:C61"/>
    <mergeCell ref="S94:T95"/>
    <mergeCell ref="A54:H54"/>
    <mergeCell ref="A55:H55"/>
    <mergeCell ref="A56:H56"/>
    <mergeCell ref="A57:H57"/>
    <mergeCell ref="S31:S32"/>
    <mergeCell ref="S96:T96"/>
    <mergeCell ref="S91:T91"/>
    <mergeCell ref="I54:O54"/>
    <mergeCell ref="I55:O55"/>
    <mergeCell ref="I56:O56"/>
    <mergeCell ref="I57:O57"/>
    <mergeCell ref="A59:O59"/>
    <mergeCell ref="A60:O60"/>
    <mergeCell ref="A58:O58"/>
    <mergeCell ref="Q18:Q19"/>
    <mergeCell ref="N15:O15"/>
    <mergeCell ref="C19:D19"/>
    <mergeCell ref="B16:C16"/>
    <mergeCell ref="D16:F16"/>
    <mergeCell ref="G16:I16"/>
    <mergeCell ref="J16:L16"/>
    <mergeCell ref="N16:O16"/>
    <mergeCell ref="B17:C17"/>
    <mergeCell ref="D17:F17"/>
    <mergeCell ref="G17:I17"/>
    <mergeCell ref="J17:L17"/>
    <mergeCell ref="A18:B19"/>
    <mergeCell ref="C18:D18"/>
    <mergeCell ref="N18:N19"/>
    <mergeCell ref="O18:O19"/>
    <mergeCell ref="M12:O12"/>
    <mergeCell ref="M11:O11"/>
    <mergeCell ref="K11:L11"/>
    <mergeCell ref="D12:J12"/>
    <mergeCell ref="E11:J11"/>
    <mergeCell ref="B15:C15"/>
    <mergeCell ref="D15:F15"/>
    <mergeCell ref="G15:I15"/>
    <mergeCell ref="J15:L15"/>
    <mergeCell ref="N17:O17"/>
  </mergeCells>
  <dataValidations count="2">
    <dataValidation type="list" allowBlank="1" showInputMessage="1" showErrorMessage="1" sqref="A56">
      <formula1>revisonombres</formula1>
    </dataValidation>
    <dataValidation type="list" allowBlank="1" showInputMessage="1" showErrorMessage="1" sqref="P36 I56">
      <formula1>aprobonombres</formula1>
    </dataValidation>
  </dataValidations>
  <printOptions horizontalCentered="1"/>
  <pageMargins left="0.59055118110236227" right="0.19685039370078741" top="0" bottom="0" header="0" footer="3.937007874015748E-2"/>
  <pageSetup paperSize="9" pageOrder="overThenDown" orientation="portrait" r:id="rId1"/>
  <headerFooter scaleWithDoc="0">
    <oddFooter xml:space="preserve">&amp;L&amp;6Calle 26 No. 57-41 Torre 8 Piso 8 CEMSA - CP: 1113111            
Pbx: 3779555  - Información: Línea 195     
www.umv.gov.co111311&amp;C&amp;6Página 1 de 1
</oddFooter>
  </headerFooter>
  <ignoredErrors>
    <ignoredError sqref="K25:K26" formula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BE174"/>
  <sheetViews>
    <sheetView showGridLines="0" view="pageBreakPreview" zoomScaleSheetLayoutView="100" workbookViewId="0">
      <selection activeCell="E8" sqref="E8:J8"/>
    </sheetView>
  </sheetViews>
  <sheetFormatPr baseColWidth="10" defaultRowHeight="12.75" x14ac:dyDescent="0.2"/>
  <cols>
    <col min="1" max="1" width="6.42578125" style="11" customWidth="1"/>
    <col min="2" max="2" width="7" style="11" customWidth="1"/>
    <col min="3" max="3" width="6" style="11" customWidth="1"/>
    <col min="4" max="4" width="5.140625" style="11" customWidth="1"/>
    <col min="5" max="5" width="6.140625" style="11" customWidth="1"/>
    <col min="6" max="6" width="5.140625" style="11" customWidth="1"/>
    <col min="7" max="7" width="5" style="11" customWidth="1"/>
    <col min="8" max="8" width="7.85546875" style="11" customWidth="1"/>
    <col min="9" max="9" width="4.7109375" style="11" customWidth="1"/>
    <col min="10" max="10" width="7.42578125" style="11" customWidth="1"/>
    <col min="11" max="11" width="8.28515625" style="11" customWidth="1"/>
    <col min="12" max="12" width="9.42578125" style="11" customWidth="1"/>
    <col min="13" max="13" width="7.7109375" style="11" customWidth="1"/>
    <col min="14" max="15" width="4.7109375" style="11" customWidth="1"/>
    <col min="16" max="16" width="13" style="11" customWidth="1"/>
    <col min="17" max="25" width="13.140625" style="11" customWidth="1"/>
    <col min="26" max="16384" width="11.42578125" style="11"/>
  </cols>
  <sheetData>
    <row r="1" spans="1:51" ht="15" customHeight="1" x14ac:dyDescent="0.2">
      <c r="A1" s="1004"/>
      <c r="B1" s="1005"/>
      <c r="C1" s="1005"/>
      <c r="D1" s="1006"/>
      <c r="E1" s="1391" t="s">
        <v>364</v>
      </c>
      <c r="F1" s="1392"/>
      <c r="G1" s="1392"/>
      <c r="H1" s="1392"/>
      <c r="I1" s="1392"/>
      <c r="J1" s="1392"/>
      <c r="K1" s="1392"/>
      <c r="L1" s="1392"/>
      <c r="M1" s="1392"/>
      <c r="N1" s="1392"/>
      <c r="O1" s="1393"/>
      <c r="P1" s="126"/>
      <c r="Q1" s="222"/>
      <c r="R1" s="223"/>
      <c r="S1" s="223"/>
      <c r="T1" s="223"/>
      <c r="U1" s="46"/>
      <c r="V1" s="46"/>
      <c r="W1" s="46"/>
      <c r="X1" s="46"/>
      <c r="Y1" s="46"/>
      <c r="AH1" s="46"/>
      <c r="AI1" s="46"/>
      <c r="AQ1" s="46"/>
      <c r="AR1" s="46"/>
      <c r="AS1" s="46"/>
      <c r="AT1" s="46"/>
      <c r="AU1" s="46"/>
      <c r="AV1" s="46"/>
      <c r="AW1" s="46"/>
      <c r="AX1" s="46"/>
    </row>
    <row r="2" spans="1:51" ht="15" customHeight="1" x14ac:dyDescent="0.2">
      <c r="A2" s="1007"/>
      <c r="B2" s="1008"/>
      <c r="C2" s="1008"/>
      <c r="D2" s="1009"/>
      <c r="E2" s="1394"/>
      <c r="F2" s="1395"/>
      <c r="G2" s="1395"/>
      <c r="H2" s="1395"/>
      <c r="I2" s="1395"/>
      <c r="J2" s="1395"/>
      <c r="K2" s="1395"/>
      <c r="L2" s="1395"/>
      <c r="M2" s="1395"/>
      <c r="N2" s="1395"/>
      <c r="O2" s="1396"/>
      <c r="P2" s="247"/>
      <c r="Q2" s="222"/>
      <c r="R2" s="223"/>
      <c r="S2" s="223"/>
      <c r="T2" s="223"/>
      <c r="U2" s="46"/>
      <c r="AQ2" s="46"/>
      <c r="AR2" s="46"/>
      <c r="AS2" s="46"/>
      <c r="AT2" s="46"/>
      <c r="AU2" s="46"/>
      <c r="AV2" s="46"/>
      <c r="AW2" s="46"/>
      <c r="AX2" s="46"/>
    </row>
    <row r="3" spans="1:51" ht="15" customHeight="1" x14ac:dyDescent="0.2">
      <c r="A3" s="1007"/>
      <c r="B3" s="1008"/>
      <c r="C3" s="1008"/>
      <c r="D3" s="1009"/>
      <c r="E3" s="1397"/>
      <c r="F3" s="1398"/>
      <c r="G3" s="1398"/>
      <c r="H3" s="1398"/>
      <c r="I3" s="1398"/>
      <c r="J3" s="1398"/>
      <c r="K3" s="1398"/>
      <c r="L3" s="1398"/>
      <c r="M3" s="1398"/>
      <c r="N3" s="1398"/>
      <c r="O3" s="1399"/>
      <c r="P3" s="247"/>
      <c r="Q3" s="811" t="s">
        <v>370</v>
      </c>
      <c r="R3" s="223"/>
      <c r="S3" s="223"/>
      <c r="T3" s="223"/>
      <c r="U3" s="46"/>
      <c r="AQ3" s="46"/>
      <c r="AR3" s="46"/>
      <c r="AS3" s="46"/>
      <c r="AT3" s="46"/>
      <c r="AU3" s="46"/>
      <c r="AV3" s="46"/>
      <c r="AW3" s="46"/>
      <c r="AX3" s="46"/>
    </row>
    <row r="4" spans="1:51" ht="14.1" customHeight="1" x14ac:dyDescent="0.2">
      <c r="A4" s="1007"/>
      <c r="B4" s="1008"/>
      <c r="C4" s="1008"/>
      <c r="D4" s="1009"/>
      <c r="E4" s="1400" t="s">
        <v>327</v>
      </c>
      <c r="F4" s="1401"/>
      <c r="G4" s="1401"/>
      <c r="H4" s="1401"/>
      <c r="I4" s="1401"/>
      <c r="J4" s="1401"/>
      <c r="K4" s="1401"/>
      <c r="L4" s="1402"/>
      <c r="M4" s="1400" t="s">
        <v>326</v>
      </c>
      <c r="N4" s="1401"/>
      <c r="O4" s="1402"/>
      <c r="P4" s="127"/>
      <c r="Q4" s="200"/>
      <c r="R4" s="200"/>
      <c r="S4" s="200"/>
      <c r="T4" s="200"/>
      <c r="U4" s="46"/>
      <c r="V4" s="46"/>
      <c r="W4" s="46"/>
      <c r="X4" s="46"/>
      <c r="Y4" s="46"/>
      <c r="AH4" s="46"/>
      <c r="AI4" s="46"/>
      <c r="AQ4" s="46"/>
      <c r="AR4" s="46"/>
      <c r="AS4" s="46"/>
      <c r="AT4" s="46"/>
      <c r="AU4" s="46"/>
      <c r="AV4" s="46"/>
      <c r="AW4" s="46"/>
      <c r="AX4" s="46"/>
    </row>
    <row r="5" spans="1:51" ht="14.1" customHeight="1" x14ac:dyDescent="0.2">
      <c r="A5" s="1010"/>
      <c r="B5" s="1011"/>
      <c r="C5" s="1011"/>
      <c r="D5" s="1012"/>
      <c r="E5" s="1400" t="s">
        <v>363</v>
      </c>
      <c r="F5" s="1401"/>
      <c r="G5" s="1401"/>
      <c r="H5" s="1401"/>
      <c r="I5" s="1401"/>
      <c r="J5" s="1401"/>
      <c r="K5" s="1401"/>
      <c r="L5" s="1401"/>
      <c r="M5" s="1401"/>
      <c r="N5" s="1401"/>
      <c r="O5" s="1402"/>
      <c r="P5" s="127"/>
      <c r="Y5" s="46"/>
      <c r="AH5" s="46"/>
      <c r="AI5" s="46"/>
      <c r="AQ5" s="46"/>
      <c r="AR5" s="46"/>
      <c r="AS5" s="46"/>
      <c r="AT5" s="46"/>
      <c r="AU5" s="46"/>
      <c r="AV5" s="46"/>
      <c r="AW5" s="46"/>
      <c r="AX5" s="46"/>
    </row>
    <row r="6" spans="1:51" ht="14.1" customHeight="1" x14ac:dyDescent="0.2">
      <c r="A6" s="892" t="s">
        <v>41</v>
      </c>
      <c r="B6" s="885"/>
      <c r="C6" s="885"/>
      <c r="E6" s="1308" t="str">
        <f>IF(Resumen!E6="","",Resumen!E6)</f>
        <v/>
      </c>
      <c r="F6" s="1308"/>
      <c r="G6" s="1308"/>
      <c r="H6" s="1308"/>
      <c r="I6" s="1308"/>
      <c r="J6" s="1308"/>
      <c r="K6" s="885" t="s">
        <v>59</v>
      </c>
      <c r="L6" s="885"/>
      <c r="M6" s="1025" t="str">
        <f>+IF(Resumen!M6="","",Resumen!M6)</f>
        <v/>
      </c>
      <c r="N6" s="1025"/>
      <c r="O6" s="1192"/>
      <c r="P6" s="137"/>
      <c r="AH6" s="46"/>
      <c r="AI6" s="46"/>
      <c r="AQ6" s="46"/>
      <c r="AR6" s="46"/>
      <c r="AS6" s="46"/>
      <c r="AT6" s="46"/>
      <c r="AU6" s="46"/>
      <c r="AV6" s="46"/>
      <c r="AW6" s="46"/>
      <c r="AX6" s="46"/>
    </row>
    <row r="7" spans="1:51" ht="14.1" customHeight="1" x14ac:dyDescent="0.2">
      <c r="A7" s="1016" t="s">
        <v>42</v>
      </c>
      <c r="B7" s="1017"/>
      <c r="C7" s="1017"/>
      <c r="E7" s="1286" t="str">
        <f>+IF(Resumen!E7="","",Resumen!E7)</f>
        <v/>
      </c>
      <c r="F7" s="1286"/>
      <c r="G7" s="1286"/>
      <c r="H7" s="1286"/>
      <c r="I7" s="1286"/>
      <c r="J7" s="1286"/>
      <c r="K7" s="887" t="s">
        <v>47</v>
      </c>
      <c r="L7" s="887"/>
      <c r="M7" s="1193" t="str">
        <f>+IF(Resumen!M7="","",Resumen!M7)</f>
        <v/>
      </c>
      <c r="N7" s="1193"/>
      <c r="O7" s="1194"/>
      <c r="P7" s="137"/>
      <c r="AH7" s="46"/>
      <c r="AI7" s="46"/>
      <c r="AQ7" s="46"/>
      <c r="AR7" s="46"/>
      <c r="AS7" s="46"/>
      <c r="AT7" s="46"/>
      <c r="AU7" s="46"/>
      <c r="AV7" s="46"/>
      <c r="AW7" s="46"/>
      <c r="AX7" s="46"/>
    </row>
    <row r="8" spans="1:51" ht="14.1" customHeight="1" x14ac:dyDescent="0.2">
      <c r="A8" s="1016" t="s">
        <v>56</v>
      </c>
      <c r="B8" s="1017"/>
      <c r="C8" s="1017"/>
      <c r="D8" s="1017"/>
      <c r="E8" s="1193" t="str">
        <f>+IF(Resumen!E8="","",Resumen!E8)</f>
        <v/>
      </c>
      <c r="F8" s="1193"/>
      <c r="G8" s="1193"/>
      <c r="H8" s="1193"/>
      <c r="I8" s="1193"/>
      <c r="J8" s="1193"/>
      <c r="K8" s="887" t="s">
        <v>60</v>
      </c>
      <c r="L8" s="887"/>
      <c r="M8" s="1174" t="str">
        <f>+IF(Resumen!M8="","",Resumen!M8)</f>
        <v/>
      </c>
      <c r="N8" s="1174"/>
      <c r="O8" s="1175"/>
      <c r="P8" s="256"/>
      <c r="AH8" s="46"/>
      <c r="AI8" s="46"/>
      <c r="AQ8" s="46"/>
      <c r="AR8" s="46"/>
      <c r="AS8" s="46"/>
      <c r="AT8" s="46"/>
      <c r="AU8" s="46"/>
      <c r="AV8" s="46"/>
      <c r="AW8" s="46"/>
      <c r="AX8" s="46"/>
    </row>
    <row r="9" spans="1:51" ht="14.1" customHeight="1" x14ac:dyDescent="0.2">
      <c r="A9" s="1021" t="s">
        <v>387</v>
      </c>
      <c r="B9" s="1022"/>
      <c r="C9" s="1022"/>
      <c r="D9" s="1022"/>
      <c r="E9" s="1193" t="str">
        <f>+IF(Resumen!E9="","",Resumen!E9)</f>
        <v/>
      </c>
      <c r="F9" s="1193"/>
      <c r="G9" s="1193"/>
      <c r="H9" s="1193"/>
      <c r="I9" s="1193"/>
      <c r="J9" s="1193"/>
      <c r="K9" s="887" t="s">
        <v>61</v>
      </c>
      <c r="L9" s="887"/>
      <c r="M9" s="1174" t="str">
        <f>+IF(Resumen!M9="","",Resumen!M9)</f>
        <v/>
      </c>
      <c r="N9" s="1174"/>
      <c r="O9" s="1175"/>
      <c r="P9" s="256"/>
      <c r="Q9" s="46"/>
      <c r="R9" s="46"/>
      <c r="S9" s="46"/>
      <c r="T9" s="46"/>
      <c r="U9" s="46"/>
      <c r="V9" s="46"/>
      <c r="W9" s="46"/>
      <c r="X9" s="46"/>
      <c r="Y9" s="46"/>
      <c r="AH9" s="46"/>
      <c r="AI9" s="46"/>
      <c r="AQ9" s="46"/>
      <c r="AR9" s="46"/>
      <c r="AS9" s="46"/>
      <c r="AT9" s="46"/>
      <c r="AU9" s="46"/>
      <c r="AV9" s="46"/>
      <c r="AW9" s="46"/>
      <c r="AX9" s="46"/>
    </row>
    <row r="10" spans="1:51" ht="14.1" customHeight="1" x14ac:dyDescent="0.2">
      <c r="A10" s="895" t="s">
        <v>196</v>
      </c>
      <c r="B10" s="887"/>
      <c r="C10" s="887"/>
      <c r="E10" s="1193" t="str">
        <f>+IF(Resumen!E10="","",Resumen!E10)</f>
        <v/>
      </c>
      <c r="F10" s="1193"/>
      <c r="G10" s="1193"/>
      <c r="H10" s="1193"/>
      <c r="I10" s="1193"/>
      <c r="J10" s="1193"/>
      <c r="K10" s="887" t="s">
        <v>53</v>
      </c>
      <c r="L10" s="887"/>
      <c r="M10" s="1019"/>
      <c r="N10" s="1019"/>
      <c r="O10" s="1020"/>
      <c r="P10" s="256"/>
      <c r="Q10" s="382"/>
      <c r="R10" s="382"/>
      <c r="S10" s="382"/>
      <c r="T10" s="382"/>
      <c r="U10" s="382"/>
      <c r="V10" s="382"/>
      <c r="W10" s="382"/>
      <c r="X10" s="382"/>
      <c r="Y10" s="46"/>
      <c r="AB10" s="2"/>
      <c r="AH10" s="46"/>
      <c r="AI10" s="46"/>
      <c r="AQ10" s="46"/>
      <c r="AR10" s="46"/>
      <c r="AS10" s="46"/>
      <c r="AT10" s="46"/>
      <c r="AU10" s="46"/>
      <c r="AV10" s="46"/>
      <c r="AW10" s="46"/>
      <c r="AX10" s="46"/>
    </row>
    <row r="11" spans="1:51" ht="15" customHeight="1" thickBot="1" x14ac:dyDescent="0.25">
      <c r="A11" s="895" t="s">
        <v>91</v>
      </c>
      <c r="B11" s="887"/>
      <c r="C11" s="887"/>
      <c r="E11" s="1195" t="str">
        <f>+IF(Resumen!E11="","",Resumen!E11)</f>
        <v/>
      </c>
      <c r="F11" s="1195"/>
      <c r="G11" s="1195"/>
      <c r="H11" s="1195"/>
      <c r="I11" s="1195"/>
      <c r="J11" s="1195"/>
      <c r="K11" s="1191" t="s">
        <v>253</v>
      </c>
      <c r="L11" s="1191"/>
      <c r="M11" s="1174" t="str">
        <f>+IF(Resumen!M11="","",Resumen!M11)</f>
        <v/>
      </c>
      <c r="N11" s="1174"/>
      <c r="O11" s="1175"/>
      <c r="P11" s="129"/>
      <c r="Q11" s="382"/>
      <c r="R11" s="382"/>
      <c r="S11" s="382"/>
      <c r="T11" s="382"/>
      <c r="U11" s="382"/>
      <c r="V11" s="382"/>
      <c r="W11" s="382"/>
      <c r="X11" s="382"/>
      <c r="Y11" s="46"/>
      <c r="AB11" s="2"/>
      <c r="AH11" s="46"/>
      <c r="AI11" s="46"/>
      <c r="AQ11" s="46"/>
      <c r="AR11" s="46"/>
      <c r="AS11" s="46"/>
      <c r="AT11" s="46"/>
      <c r="AU11" s="46"/>
      <c r="AV11" s="46"/>
      <c r="AW11" s="46"/>
      <c r="AX11" s="46"/>
    </row>
    <row r="12" spans="1:51" ht="15" customHeight="1" thickTop="1" x14ac:dyDescent="0.2">
      <c r="A12" s="896"/>
      <c r="B12" s="897"/>
      <c r="C12" s="897"/>
      <c r="D12" s="1190"/>
      <c r="E12" s="1190"/>
      <c r="F12" s="1190"/>
      <c r="G12" s="1190"/>
      <c r="H12" s="1190"/>
      <c r="I12" s="1190"/>
      <c r="J12" s="1190"/>
      <c r="K12" s="889" t="s">
        <v>163</v>
      </c>
      <c r="L12" s="891"/>
      <c r="M12" s="1018"/>
      <c r="N12" s="1018"/>
      <c r="O12" s="1028"/>
      <c r="P12" s="1409" t="s">
        <v>371</v>
      </c>
      <c r="Q12" s="1411" t="s">
        <v>288</v>
      </c>
      <c r="R12" s="1411"/>
      <c r="S12" s="1411"/>
      <c r="T12" s="1411"/>
      <c r="U12" s="1411"/>
      <c r="V12" s="1411"/>
      <c r="W12" s="1411"/>
      <c r="X12" s="1412"/>
      <c r="Y12" s="46"/>
      <c r="AB12" s="2"/>
      <c r="AH12" s="46"/>
      <c r="AI12" s="46"/>
      <c r="AQ12" s="46"/>
      <c r="AR12" s="46"/>
      <c r="AS12" s="46"/>
      <c r="AT12" s="46"/>
      <c r="AU12" s="46"/>
      <c r="AV12" s="46"/>
      <c r="AW12" s="46"/>
      <c r="AX12" s="46"/>
    </row>
    <row r="13" spans="1:51" ht="24.95" customHeight="1" x14ac:dyDescent="0.2">
      <c r="A13" s="1403" t="s">
        <v>221</v>
      </c>
      <c r="B13" s="1404"/>
      <c r="C13" s="1404"/>
      <c r="D13" s="1404"/>
      <c r="E13" s="1404"/>
      <c r="F13" s="1404"/>
      <c r="G13" s="1404"/>
      <c r="H13" s="1404"/>
      <c r="I13" s="1404"/>
      <c r="J13" s="1404"/>
      <c r="K13" s="1404"/>
      <c r="L13" s="1404"/>
      <c r="M13" s="1404"/>
      <c r="N13" s="1404"/>
      <c r="O13" s="1405"/>
      <c r="P13" s="1410"/>
      <c r="Q13" s="1414">
        <v>1</v>
      </c>
      <c r="R13" s="1415"/>
      <c r="S13" s="1416">
        <v>2</v>
      </c>
      <c r="T13" s="1415"/>
      <c r="U13" s="1416">
        <v>3</v>
      </c>
      <c r="V13" s="1415"/>
      <c r="W13" s="1416">
        <v>4</v>
      </c>
      <c r="X13" s="1417"/>
      <c r="Y13" s="46"/>
      <c r="AB13" s="2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</row>
    <row r="14" spans="1:51" ht="17.25" customHeight="1" x14ac:dyDescent="0.2">
      <c r="A14" s="1363" t="s">
        <v>158</v>
      </c>
      <c r="B14" s="1364"/>
      <c r="C14" s="1364"/>
      <c r="D14" s="1364"/>
      <c r="E14" s="86"/>
      <c r="F14" s="86"/>
      <c r="G14" s="87"/>
      <c r="H14" s="1365" t="s">
        <v>6</v>
      </c>
      <c r="I14" s="1365"/>
      <c r="J14" s="876">
        <v>1</v>
      </c>
      <c r="K14" s="876">
        <v>2</v>
      </c>
      <c r="L14" s="876">
        <v>3</v>
      </c>
      <c r="M14" s="876">
        <v>4</v>
      </c>
      <c r="N14" s="1350"/>
      <c r="O14" s="1351"/>
      <c r="P14" s="1406" t="str">
        <f>IF(U33="","",IF(U33="ESTA FUERA DEL ALCANCE",U33,""))</f>
        <v/>
      </c>
      <c r="Q14" s="833"/>
      <c r="R14" s="530"/>
      <c r="S14" s="530"/>
      <c r="T14" s="530"/>
      <c r="U14" s="530"/>
      <c r="V14" s="530"/>
      <c r="W14" s="530"/>
      <c r="X14" s="531"/>
      <c r="Y14" s="140"/>
      <c r="AB14" s="2"/>
      <c r="AH14" s="140"/>
      <c r="AI14" s="140"/>
      <c r="AJ14" s="140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</row>
    <row r="15" spans="1:51" ht="24.95" customHeight="1" thickBot="1" x14ac:dyDescent="0.25">
      <c r="A15" s="1354" t="s">
        <v>228</v>
      </c>
      <c r="B15" s="1355"/>
      <c r="C15" s="1355"/>
      <c r="D15" s="1355"/>
      <c r="E15" s="1355"/>
      <c r="F15" s="1355"/>
      <c r="G15" s="1355"/>
      <c r="H15" s="1342" t="s">
        <v>11</v>
      </c>
      <c r="I15" s="1342"/>
      <c r="J15" s="60" t="str">
        <f>+IF(Q14="","",AVERAGE(Q14:R15))</f>
        <v/>
      </c>
      <c r="K15" s="60" t="str">
        <f>+IF(S14="","",AVERAGE(S14:T15))</f>
        <v/>
      </c>
      <c r="L15" s="60" t="str">
        <f>+IF(U14="","",AVERAGE(U14:V15))</f>
        <v/>
      </c>
      <c r="M15" s="60" t="str">
        <f>+IF(W14="","",AVERAGE(W14:X15))</f>
        <v/>
      </c>
      <c r="N15" s="1352"/>
      <c r="O15" s="1353"/>
      <c r="P15" s="1406"/>
      <c r="Q15" s="834"/>
      <c r="R15" s="532"/>
      <c r="S15" s="532"/>
      <c r="T15" s="532"/>
      <c r="U15" s="532"/>
      <c r="V15" s="532"/>
      <c r="W15" s="532"/>
      <c r="X15" s="533"/>
      <c r="Y15" s="1"/>
      <c r="AB15" s="2"/>
      <c r="AH15" s="140"/>
      <c r="AI15" s="140"/>
      <c r="AJ15" s="140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</row>
    <row r="16" spans="1:51" ht="24.95" customHeight="1" thickTop="1" thickBot="1" x14ac:dyDescent="0.25">
      <c r="A16" s="1354" t="s">
        <v>308</v>
      </c>
      <c r="B16" s="1341"/>
      <c r="C16" s="1341"/>
      <c r="D16" s="1341"/>
      <c r="E16" s="1341"/>
      <c r="F16" s="1341"/>
      <c r="G16" s="1341"/>
      <c r="H16" s="1342" t="s">
        <v>11</v>
      </c>
      <c r="I16" s="1342"/>
      <c r="J16" s="60" t="str">
        <f>+IF(Q19="","",AVERAGE(Q19:R19))</f>
        <v/>
      </c>
      <c r="K16" s="60" t="str">
        <f>+IF(S19="","",AVERAGE(S19:T19))</f>
        <v/>
      </c>
      <c r="L16" s="60" t="str">
        <f>+IF(U19="","",AVERAGE(U19:V19))</f>
        <v/>
      </c>
      <c r="M16" s="60" t="str">
        <f>+IF(W19="","",AVERAGE(W19:X19))</f>
        <v/>
      </c>
      <c r="N16" s="1352"/>
      <c r="O16" s="1353"/>
      <c r="P16" s="1406"/>
      <c r="Q16" s="382"/>
      <c r="R16" s="382"/>
      <c r="S16" s="382"/>
      <c r="T16" s="382"/>
      <c r="U16" s="382"/>
      <c r="V16" s="382"/>
      <c r="W16" s="382"/>
      <c r="X16" s="382"/>
      <c r="Y16" s="1"/>
      <c r="AG16" s="140"/>
      <c r="AH16" s="140"/>
      <c r="AI16" s="140"/>
      <c r="AJ16" s="140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</row>
    <row r="17" spans="1:57" ht="24.95" customHeight="1" thickTop="1" x14ac:dyDescent="0.2">
      <c r="A17" s="1340" t="s">
        <v>76</v>
      </c>
      <c r="B17" s="1341"/>
      <c r="C17" s="1341"/>
      <c r="D17" s="1341"/>
      <c r="E17" s="1341"/>
      <c r="F17" s="1341"/>
      <c r="G17" s="1341"/>
      <c r="H17" s="1390" t="s">
        <v>64</v>
      </c>
      <c r="I17" s="1390"/>
      <c r="J17" s="10"/>
      <c r="K17" s="10"/>
      <c r="L17" s="10"/>
      <c r="M17" s="10"/>
      <c r="N17" s="1352"/>
      <c r="O17" s="1353"/>
      <c r="P17" s="1406"/>
      <c r="Q17" s="1418" t="s">
        <v>309</v>
      </c>
      <c r="R17" s="1418"/>
      <c r="S17" s="1418"/>
      <c r="T17" s="1418"/>
      <c r="U17" s="1418"/>
      <c r="V17" s="1418"/>
      <c r="W17" s="1418"/>
      <c r="X17" s="1419"/>
      <c r="Y17" s="2"/>
      <c r="AG17" s="140"/>
      <c r="AH17" s="140"/>
      <c r="AI17" s="140"/>
      <c r="AJ17" s="140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</row>
    <row r="18" spans="1:57" ht="24.95" customHeight="1" x14ac:dyDescent="0.2">
      <c r="A18" s="1340" t="s">
        <v>159</v>
      </c>
      <c r="B18" s="1341"/>
      <c r="C18" s="1341"/>
      <c r="D18" s="1341"/>
      <c r="E18" s="1341"/>
      <c r="F18" s="1341"/>
      <c r="G18" s="1341"/>
      <c r="H18" s="1342" t="s">
        <v>40</v>
      </c>
      <c r="I18" s="1342"/>
      <c r="J18" s="10"/>
      <c r="K18" s="10"/>
      <c r="L18" s="10"/>
      <c r="M18" s="10"/>
      <c r="N18" s="1352"/>
      <c r="O18" s="1353"/>
      <c r="P18" s="1407" t="str">
        <f>IF(S21="","",IF(S21="No cumple precisión",S21,""))</f>
        <v/>
      </c>
      <c r="Q18" s="1414">
        <v>1</v>
      </c>
      <c r="R18" s="1415"/>
      <c r="S18" s="1416">
        <v>2</v>
      </c>
      <c r="T18" s="1415"/>
      <c r="U18" s="1416">
        <v>3</v>
      </c>
      <c r="V18" s="1415"/>
      <c r="W18" s="1416">
        <v>4</v>
      </c>
      <c r="X18" s="1417"/>
      <c r="Y18" s="140"/>
      <c r="Z18" s="290"/>
      <c r="AA18" s="330"/>
      <c r="AB18" s="330"/>
      <c r="AC18" s="143"/>
      <c r="AD18" s="143"/>
      <c r="AE18" s="140"/>
      <c r="AF18" s="140"/>
      <c r="AG18" s="140"/>
      <c r="AH18" s="140"/>
      <c r="AI18" s="140"/>
      <c r="AJ18" s="140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</row>
    <row r="19" spans="1:57" ht="24.95" customHeight="1" thickBot="1" x14ac:dyDescent="0.25">
      <c r="A19" s="1340" t="s">
        <v>160</v>
      </c>
      <c r="B19" s="1341"/>
      <c r="C19" s="1341"/>
      <c r="D19" s="1341"/>
      <c r="E19" s="1341"/>
      <c r="F19" s="1341"/>
      <c r="G19" s="1341"/>
      <c r="H19" s="1342" t="s">
        <v>40</v>
      </c>
      <c r="I19" s="1342"/>
      <c r="J19" s="9"/>
      <c r="K19" s="9"/>
      <c r="L19" s="9"/>
      <c r="M19" s="9"/>
      <c r="N19" s="1352"/>
      <c r="O19" s="1353"/>
      <c r="P19" s="1407"/>
      <c r="Q19" s="834"/>
      <c r="R19" s="532"/>
      <c r="S19" s="532"/>
      <c r="T19" s="532"/>
      <c r="U19" s="532"/>
      <c r="V19" s="532"/>
      <c r="W19" s="532"/>
      <c r="X19" s="533"/>
      <c r="Y19" s="2"/>
      <c r="AH19" s="140"/>
      <c r="AI19" s="140"/>
      <c r="AJ19" s="144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8"/>
      <c r="BA19" s="18"/>
      <c r="BB19" s="18"/>
      <c r="BC19" s="18"/>
    </row>
    <row r="20" spans="1:57" ht="24.95" customHeight="1" thickTop="1" thickBot="1" x14ac:dyDescent="0.25">
      <c r="A20" s="1354" t="s">
        <v>229</v>
      </c>
      <c r="B20" s="1355"/>
      <c r="C20" s="1355"/>
      <c r="D20" s="1355"/>
      <c r="E20" s="1355"/>
      <c r="F20" s="1355"/>
      <c r="G20" s="1355"/>
      <c r="H20" s="1342" t="s">
        <v>40</v>
      </c>
      <c r="I20" s="1342"/>
      <c r="J20" s="9"/>
      <c r="K20" s="9"/>
      <c r="L20" s="9"/>
      <c r="M20" s="9"/>
      <c r="N20" s="1352"/>
      <c r="O20" s="1353"/>
      <c r="P20" s="1408"/>
      <c r="Q20" s="382"/>
      <c r="R20" s="382"/>
      <c r="S20" s="382"/>
      <c r="T20" s="382"/>
      <c r="U20" s="382"/>
      <c r="V20" s="456"/>
      <c r="W20" s="456"/>
      <c r="X20" s="456"/>
      <c r="Y20" s="2"/>
      <c r="AH20" s="145"/>
      <c r="AI20" s="145"/>
      <c r="AJ20" s="144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8"/>
      <c r="BA20" s="18"/>
      <c r="BB20" s="18"/>
      <c r="BC20" s="18"/>
    </row>
    <row r="21" spans="1:57" ht="24.95" customHeight="1" thickTop="1" x14ac:dyDescent="0.2">
      <c r="A21" s="1354" t="s">
        <v>215</v>
      </c>
      <c r="B21" s="1355"/>
      <c r="C21" s="1355"/>
      <c r="D21" s="1355"/>
      <c r="E21" s="1355"/>
      <c r="F21" s="1355"/>
      <c r="G21" s="1355"/>
      <c r="H21" s="1342" t="s">
        <v>40</v>
      </c>
      <c r="I21" s="1342"/>
      <c r="J21" s="60" t="str">
        <f>IF(J20="","",+J20-J19)</f>
        <v/>
      </c>
      <c r="K21" s="60" t="str">
        <f>IF(K20="","",+K20-K19)</f>
        <v/>
      </c>
      <c r="L21" s="60" t="str">
        <f>IF(L20="","",+L20-L19)</f>
        <v/>
      </c>
      <c r="M21" s="60" t="str">
        <f>IF(M20="","",+M20-M19)</f>
        <v/>
      </c>
      <c r="N21" s="1359" t="s">
        <v>5</v>
      </c>
      <c r="O21" s="1360"/>
      <c r="P21" s="260"/>
      <c r="Q21" s="1313" t="s">
        <v>341</v>
      </c>
      <c r="R21" s="1314"/>
      <c r="S21" s="1315" t="str">
        <f>IF(J22="","",IF(AND(L28=Q29,OR(MAX(J22:K22)-MIN(J22:K22)&gt;0.023,MAX(J22:L22)-MIN(J22:L22)&gt;0.026,MAX(J22:M22)-MIN(J22:M22)&gt;0.029)),"No cumple precisión",IF(AND(L28=Q28,OR(MAX(J22:K22)-MIN(J22:K22)&gt;0.037,MAX(J22:L22)-MIN(J22:L22)&gt;0.043,MAX(J22:M22)-MIN(J22:M22)&gt;0.047)),"No cumple precisión","Cumple la precisión")))</f>
        <v/>
      </c>
      <c r="T21" s="1316"/>
      <c r="U21" s="382"/>
      <c r="AH21" s="145"/>
      <c r="AI21" s="145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8"/>
      <c r="BA21" s="18"/>
      <c r="BB21" s="18"/>
      <c r="BC21" s="18"/>
    </row>
    <row r="22" spans="1:57" ht="24.95" customHeight="1" x14ac:dyDescent="0.2">
      <c r="A22" s="1361" t="s">
        <v>140</v>
      </c>
      <c r="B22" s="1362"/>
      <c r="C22" s="1362"/>
      <c r="D22" s="1362"/>
      <c r="E22" s="1362"/>
      <c r="F22" s="1362"/>
      <c r="G22" s="1362"/>
      <c r="H22" s="1356"/>
      <c r="I22" s="1356"/>
      <c r="J22" s="61" t="str">
        <f>IF(J18="","",+J18/J21)</f>
        <v/>
      </c>
      <c r="K22" s="61" t="str">
        <f>IF(K18="","",+K18/K21)</f>
        <v/>
      </c>
      <c r="L22" s="61" t="str">
        <f>IF(L18="","",+L18/L21)</f>
        <v/>
      </c>
      <c r="M22" s="61" t="str">
        <f>IF(M18="","",+M18/M21)</f>
        <v/>
      </c>
      <c r="N22" s="1357" t="str">
        <f>IF(J22="","",+AVERAGE(J22:M22))</f>
        <v/>
      </c>
      <c r="O22" s="1358"/>
      <c r="P22" s="260"/>
      <c r="Q22" s="1326" t="s">
        <v>348</v>
      </c>
      <c r="R22" s="1326"/>
      <c r="S22" s="1327" t="str">
        <f>IF(J24="","",IF(OR(J24&gt;2,K24&gt;2,L24&gt;2,M24&gt;2),"no cumple la absorsión","Cumple la absorción"))</f>
        <v/>
      </c>
      <c r="T22" s="1327"/>
      <c r="U22" s="382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8"/>
      <c r="BA22" s="18"/>
      <c r="BB22" s="18"/>
      <c r="BC22" s="18"/>
    </row>
    <row r="23" spans="1:57" ht="24.95" customHeight="1" x14ac:dyDescent="0.2">
      <c r="A23" s="1340" t="s">
        <v>230</v>
      </c>
      <c r="B23" s="1341"/>
      <c r="C23" s="1341"/>
      <c r="D23" s="1341"/>
      <c r="E23" s="1341"/>
      <c r="F23" s="1341"/>
      <c r="G23" s="1341"/>
      <c r="H23" s="1342" t="s">
        <v>118</v>
      </c>
      <c r="I23" s="1342"/>
      <c r="J23" s="62" t="str">
        <f>IF(J22="","",+J22*997)</f>
        <v/>
      </c>
      <c r="K23" s="62" t="str">
        <f>IF(K22="","",+K22*997)</f>
        <v/>
      </c>
      <c r="L23" s="62" t="str">
        <f>IF(L22="","",+L22*997)</f>
        <v/>
      </c>
      <c r="M23" s="62" t="str">
        <f>IF(M22="","",+M22*997)</f>
        <v/>
      </c>
      <c r="N23" s="1343" t="str">
        <f>IF(J23="","",+AVERAGE(J23:M23))</f>
        <v/>
      </c>
      <c r="O23" s="1344"/>
      <c r="P23" s="260"/>
      <c r="U23" s="382"/>
      <c r="V23" s="790"/>
      <c r="W23" s="790"/>
      <c r="X23" s="791"/>
      <c r="Y23" s="2"/>
      <c r="Z23" s="791"/>
      <c r="AA23" s="793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8"/>
      <c r="BA23" s="18"/>
      <c r="BB23" s="18"/>
      <c r="BC23" s="18"/>
    </row>
    <row r="24" spans="1:57" ht="24.95" customHeight="1" thickBot="1" x14ac:dyDescent="0.25">
      <c r="A24" s="1345" t="s">
        <v>141</v>
      </c>
      <c r="B24" s="1346"/>
      <c r="C24" s="1346"/>
      <c r="D24" s="1346"/>
      <c r="E24" s="1346"/>
      <c r="F24" s="1346"/>
      <c r="G24" s="1346"/>
      <c r="H24" s="1347" t="s">
        <v>39</v>
      </c>
      <c r="I24" s="1347"/>
      <c r="J24" s="63" t="str">
        <f>IF(J20="","",+(J20-J18)/(J20-J19)*100)</f>
        <v/>
      </c>
      <c r="K24" s="63" t="str">
        <f>IF(K19="","",+(K20-K18)/(K20-K19)*100)</f>
        <v/>
      </c>
      <c r="L24" s="63" t="str">
        <f>IF(L20="","",+(L20-L18)/(L20-L19)*100)</f>
        <v/>
      </c>
      <c r="M24" s="63" t="str">
        <f>IF(M20="","",+(M20-M18)/(M20-M19)*100)</f>
        <v/>
      </c>
      <c r="N24" s="1348" t="str">
        <f>IF(J24="","",+AVERAGE(J24:M24))</f>
        <v/>
      </c>
      <c r="O24" s="1349"/>
      <c r="P24" s="260"/>
      <c r="U24" s="811"/>
      <c r="V24" s="530" t="s">
        <v>338</v>
      </c>
      <c r="W24" s="785" t="s">
        <v>339</v>
      </c>
      <c r="X24" s="788" t="s">
        <v>340</v>
      </c>
      <c r="Y24" s="789" t="s">
        <v>310</v>
      </c>
      <c r="Z24" s="792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8"/>
      <c r="BA24" s="18"/>
      <c r="BB24" s="18"/>
      <c r="BC24" s="18"/>
    </row>
    <row r="25" spans="1:57" ht="24.95" customHeight="1" thickTop="1" x14ac:dyDescent="0.2">
      <c r="A25" s="1335" t="s">
        <v>155</v>
      </c>
      <c r="B25" s="1336"/>
      <c r="C25" s="1336"/>
      <c r="D25" s="1336"/>
      <c r="E25" s="1336"/>
      <c r="F25" s="1336"/>
      <c r="G25" s="1336"/>
      <c r="H25" s="1336"/>
      <c r="I25" s="1336"/>
      <c r="J25" s="1336"/>
      <c r="K25" s="1336"/>
      <c r="L25" s="1336"/>
      <c r="M25" s="1336"/>
      <c r="N25" s="1336"/>
      <c r="O25" s="1337"/>
      <c r="P25" s="138"/>
      <c r="Q25" s="534" t="s">
        <v>310</v>
      </c>
      <c r="R25" s="535" t="s">
        <v>311</v>
      </c>
      <c r="S25" s="1311" t="s">
        <v>312</v>
      </c>
      <c r="T25" s="1312"/>
      <c r="U25" s="811"/>
      <c r="V25" s="786" t="str">
        <f>'782'!E18</f>
        <v/>
      </c>
      <c r="W25" s="787" t="str">
        <f>+'782'!E27</f>
        <v/>
      </c>
      <c r="X25" s="787" t="str">
        <f>IF(W25="","",100-W25)</f>
        <v/>
      </c>
      <c r="Y25" s="928" t="str">
        <f>IF(E8="","",IF(X25&gt;=15,Q26,IF(X26&gt;=15,Q27,IF(X27&gt;=15,Q28,IF(OR(X28&gt;=15,X29&gt;=15,X30&gt;=15),Q29,"")))))</f>
        <v/>
      </c>
      <c r="AG25" s="1413"/>
      <c r="AH25" s="1413"/>
      <c r="AI25" s="1413"/>
      <c r="AJ25" s="295"/>
      <c r="AK25" s="151"/>
      <c r="AL25" s="151"/>
      <c r="AM25" s="151"/>
      <c r="AN25" s="151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8"/>
      <c r="BA25" s="18"/>
      <c r="BB25" s="18"/>
      <c r="BC25" s="18"/>
    </row>
    <row r="26" spans="1:57" ht="24.95" customHeight="1" thickBot="1" x14ac:dyDescent="0.25">
      <c r="A26" s="1330" t="s">
        <v>85</v>
      </c>
      <c r="B26" s="1331"/>
      <c r="C26" s="1331"/>
      <c r="D26" s="1331"/>
      <c r="E26" s="1331"/>
      <c r="F26" s="57"/>
      <c r="G26" s="1320"/>
      <c r="H26" s="1321"/>
      <c r="I26" s="1322" t="s">
        <v>217</v>
      </c>
      <c r="J26" s="1323"/>
      <c r="K26" s="1323"/>
      <c r="L26" s="1324" t="str">
        <f>IF(G27="","","Pesado en el aire")</f>
        <v/>
      </c>
      <c r="M26" s="1324"/>
      <c r="N26" s="1324"/>
      <c r="O26" s="1325"/>
      <c r="Q26" s="536" t="s">
        <v>205</v>
      </c>
      <c r="R26" s="537">
        <v>5000</v>
      </c>
      <c r="S26" s="818" t="str">
        <f>IF(AND($L$28=Q26,$G$27&lt;R26),"No cumple","Cumple")</f>
        <v>Cumple</v>
      </c>
      <c r="T26" s="797" t="str">
        <f>IF(L28="","",VLOOKUP(L28,Q26:S29,3,0))</f>
        <v/>
      </c>
      <c r="U26" s="811"/>
      <c r="V26" s="786" t="str">
        <f>+'782'!F18</f>
        <v/>
      </c>
      <c r="W26" s="787" t="str">
        <f>+'782'!F27</f>
        <v/>
      </c>
      <c r="X26" s="787" t="str">
        <f t="shared" ref="X26" si="0">IF(W26="","",100-W26)</f>
        <v/>
      </c>
      <c r="Y26" s="811"/>
      <c r="Z26" s="794"/>
      <c r="AG26" s="312"/>
      <c r="AH26" s="312"/>
      <c r="AI26" s="312"/>
      <c r="AJ26" s="295"/>
      <c r="AK26" s="152"/>
      <c r="AL26" s="152"/>
      <c r="AM26" s="152"/>
      <c r="AN26" s="152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8"/>
      <c r="BA26" s="18"/>
      <c r="BB26" s="18"/>
      <c r="BC26" s="18"/>
    </row>
    <row r="27" spans="1:57" ht="24.95" customHeight="1" thickTop="1" x14ac:dyDescent="0.2">
      <c r="A27" s="1328" t="s">
        <v>106</v>
      </c>
      <c r="B27" s="1329"/>
      <c r="C27" s="1329"/>
      <c r="D27" s="1329"/>
      <c r="E27" s="1329"/>
      <c r="F27" s="75" t="s">
        <v>40</v>
      </c>
      <c r="G27" s="1332"/>
      <c r="H27" s="1333"/>
      <c r="I27" s="1322" t="s">
        <v>86</v>
      </c>
      <c r="J27" s="1323"/>
      <c r="K27" s="1323"/>
      <c r="L27" s="1323" t="str">
        <f>IF(G27="","","Picnómetro de vacío (figura 735-1)")</f>
        <v/>
      </c>
      <c r="M27" s="1323"/>
      <c r="N27" s="1323"/>
      <c r="O27" s="1334"/>
      <c r="P27" s="1338" t="s">
        <v>371</v>
      </c>
      <c r="Q27" s="835" t="s">
        <v>0</v>
      </c>
      <c r="R27" s="537">
        <v>2500</v>
      </c>
      <c r="S27" s="818" t="str">
        <f t="shared" ref="S27:S29" si="1">+IF(AND($L$28=Q27,$G$27&lt;R27),"No cumple","Cumple")</f>
        <v>Cumple</v>
      </c>
      <c r="T27" s="797"/>
      <c r="U27" s="811"/>
      <c r="V27" s="786" t="str">
        <f>+'782'!G18</f>
        <v/>
      </c>
      <c r="W27" s="784" t="str">
        <f>+'782'!G27</f>
        <v/>
      </c>
      <c r="X27" s="787" t="str">
        <f>IF(W27="","",100-W27)</f>
        <v/>
      </c>
      <c r="Y27" s="540"/>
      <c r="AG27" s="148"/>
      <c r="AH27" s="148"/>
      <c r="AI27" s="148"/>
      <c r="AJ27" s="295"/>
      <c r="AK27" s="152"/>
      <c r="AL27" s="152"/>
      <c r="AM27" s="152"/>
      <c r="AN27" s="152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8"/>
      <c r="BA27" s="18"/>
      <c r="BB27" s="18"/>
      <c r="BC27" s="18"/>
    </row>
    <row r="28" spans="1:57" ht="24.95" customHeight="1" x14ac:dyDescent="0.2">
      <c r="A28" s="1367" t="s">
        <v>139</v>
      </c>
      <c r="B28" s="1368"/>
      <c r="C28" s="1368"/>
      <c r="D28" s="1368"/>
      <c r="E28" s="1368"/>
      <c r="F28" s="75" t="s">
        <v>40</v>
      </c>
      <c r="G28" s="1332"/>
      <c r="H28" s="1333"/>
      <c r="I28" s="1322" t="s">
        <v>117</v>
      </c>
      <c r="J28" s="1323"/>
      <c r="K28" s="1323"/>
      <c r="L28" s="1369" t="str">
        <f>IF(E8="","",Y25)</f>
        <v/>
      </c>
      <c r="M28" s="1369"/>
      <c r="N28" s="1369"/>
      <c r="O28" s="1370"/>
      <c r="P28" s="1339"/>
      <c r="Q28" s="835" t="s">
        <v>1</v>
      </c>
      <c r="R28" s="537">
        <v>2500</v>
      </c>
      <c r="S28" s="818" t="str">
        <f t="shared" si="1"/>
        <v>Cumple</v>
      </c>
      <c r="T28" s="797"/>
      <c r="U28" s="811"/>
      <c r="V28" s="786" t="str">
        <f>+'782'!H18</f>
        <v/>
      </c>
      <c r="W28" s="784" t="str">
        <f>+'782'!H27</f>
        <v/>
      </c>
      <c r="X28" s="787" t="str">
        <f>IF(W28="","",100-W28)</f>
        <v/>
      </c>
      <c r="Y28" s="540"/>
      <c r="AG28" s="295"/>
      <c r="AH28" s="295"/>
      <c r="AI28" s="295"/>
      <c r="AJ28" s="295"/>
      <c r="AK28" s="152"/>
      <c r="AL28" s="152"/>
      <c r="AM28" s="152"/>
      <c r="AN28" s="152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8"/>
      <c r="BA28" s="18"/>
      <c r="BB28" s="18"/>
      <c r="BC28" s="18"/>
    </row>
    <row r="29" spans="1:57" ht="24.95" customHeight="1" thickBot="1" x14ac:dyDescent="0.25">
      <c r="A29" s="1381" t="s">
        <v>195</v>
      </c>
      <c r="B29" s="1382"/>
      <c r="C29" s="1382"/>
      <c r="D29" s="1382"/>
      <c r="E29" s="1382"/>
      <c r="F29" s="75" t="s">
        <v>40</v>
      </c>
      <c r="G29" s="1383" t="str">
        <f>+IF(Q30="","",AVERAGE(Q30:R30))</f>
        <v/>
      </c>
      <c r="H29" s="1384"/>
      <c r="I29" s="368"/>
      <c r="J29" s="88"/>
      <c r="K29" s="88"/>
      <c r="L29" s="88"/>
      <c r="M29" s="88"/>
      <c r="N29" s="88"/>
      <c r="O29" s="89"/>
      <c r="P29" s="836" t="str">
        <f>+IF(D8="","",IF(T26="No cumple"," La muestra no cumple con el tamaño minimo",""))</f>
        <v/>
      </c>
      <c r="Q29" s="838" t="s">
        <v>4</v>
      </c>
      <c r="R29" s="839">
        <v>1500</v>
      </c>
      <c r="S29" s="819" t="str">
        <f t="shared" si="1"/>
        <v>Cumple</v>
      </c>
      <c r="T29" s="798"/>
      <c r="U29" s="813"/>
      <c r="V29" s="786" t="str">
        <f>+'782'!I18</f>
        <v/>
      </c>
      <c r="W29" s="784" t="str">
        <f>+'782'!I27</f>
        <v/>
      </c>
      <c r="X29" s="787" t="str">
        <f>IF(W29="","",100-W29)</f>
        <v/>
      </c>
      <c r="Y29" s="811"/>
      <c r="Z29" s="317"/>
      <c r="AA29" s="315"/>
      <c r="AB29" s="313"/>
      <c r="AC29" s="313"/>
      <c r="AD29" s="150"/>
      <c r="AE29" s="150"/>
      <c r="AF29" s="150"/>
      <c r="AG29" s="148"/>
      <c r="AH29" s="148"/>
      <c r="AI29" s="148"/>
      <c r="AJ29" s="295"/>
      <c r="AK29" s="152"/>
      <c r="AL29" s="152"/>
      <c r="AM29" s="152"/>
      <c r="AN29" s="152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8"/>
      <c r="BA29" s="18"/>
      <c r="BB29" s="18"/>
      <c r="BC29" s="18"/>
    </row>
    <row r="30" spans="1:57" ht="24.95" customHeight="1" thickTop="1" thickBot="1" x14ac:dyDescent="0.25">
      <c r="A30" s="1374" t="s">
        <v>142</v>
      </c>
      <c r="B30" s="1375"/>
      <c r="C30" s="1375"/>
      <c r="D30" s="1375"/>
      <c r="E30" s="1375"/>
      <c r="F30" s="868"/>
      <c r="G30" s="1376" t="str">
        <f>IF(G27="","",(G27/(G27+G28-G29)))</f>
        <v/>
      </c>
      <c r="H30" s="1377"/>
      <c r="I30" s="368"/>
      <c r="J30" s="88"/>
      <c r="K30" s="88"/>
      <c r="L30" s="88"/>
      <c r="M30" s="88"/>
      <c r="N30" s="88"/>
      <c r="O30" s="89"/>
      <c r="P30" s="837" t="str">
        <f>IF(U35="","",IF(U35="ESTA FUERA DEL ALCANCE",U35,""))</f>
        <v/>
      </c>
      <c r="Q30" s="840"/>
      <c r="R30" s="841"/>
      <c r="V30" s="786" t="str">
        <f>+'782'!J19</f>
        <v/>
      </c>
      <c r="W30" s="784" t="str">
        <f>+'782'!J28</f>
        <v/>
      </c>
      <c r="X30" s="787" t="str">
        <f>IF(W30="","",100-W30)</f>
        <v/>
      </c>
      <c r="Y30" s="77"/>
      <c r="Z30" s="295"/>
      <c r="AA30" s="295"/>
      <c r="AB30" s="295"/>
      <c r="AC30" s="295"/>
      <c r="AD30" s="295"/>
      <c r="AE30" s="295"/>
      <c r="AF30" s="295"/>
      <c r="AG30" s="148"/>
      <c r="AH30" s="148"/>
      <c r="AI30" s="148"/>
      <c r="AJ30" s="295"/>
      <c r="AK30" s="152"/>
      <c r="AL30" s="152"/>
      <c r="AM30" s="152"/>
      <c r="AN30" s="152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8"/>
      <c r="BA30" s="18"/>
      <c r="BB30" s="18"/>
      <c r="BC30" s="18"/>
    </row>
    <row r="31" spans="1:57" ht="25.5" customHeight="1" thickTop="1" x14ac:dyDescent="0.2">
      <c r="A31" s="1385" t="s">
        <v>369</v>
      </c>
      <c r="B31" s="1386"/>
      <c r="C31" s="1387" t="str">
        <f>+IF(P30="ESTA FUERA DEL ALCANCE",Q3,"")</f>
        <v/>
      </c>
      <c r="D31" s="1387"/>
      <c r="E31" s="1387"/>
      <c r="F31" s="1387"/>
      <c r="G31" s="1387"/>
      <c r="H31" s="1387"/>
      <c r="I31" s="1387"/>
      <c r="J31" s="1387"/>
      <c r="K31" s="1387"/>
      <c r="L31" s="1387"/>
      <c r="M31" s="1387"/>
      <c r="N31" s="1387"/>
      <c r="O31" s="1388"/>
      <c r="W31" s="541"/>
      <c r="X31" s="542"/>
      <c r="Y31" s="77"/>
      <c r="Z31" s="317"/>
      <c r="AA31" s="316"/>
      <c r="AB31" s="314"/>
      <c r="AC31" s="314"/>
      <c r="AD31" s="150"/>
      <c r="AE31" s="150"/>
      <c r="AF31" s="150"/>
      <c r="AG31" s="148"/>
      <c r="AH31" s="148"/>
      <c r="AI31" s="148"/>
      <c r="AJ31" s="295"/>
      <c r="AK31" s="152"/>
      <c r="AL31" s="152"/>
      <c r="AM31" s="152"/>
      <c r="AN31" s="152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8"/>
      <c r="BA31" s="18"/>
      <c r="BB31" s="18"/>
      <c r="BC31" s="18"/>
      <c r="BD31" s="18"/>
      <c r="BE31" s="18"/>
    </row>
    <row r="32" spans="1:57" s="783" customFormat="1" ht="25.5" customHeight="1" x14ac:dyDescent="0.2">
      <c r="A32" s="1378"/>
      <c r="B32" s="1379"/>
      <c r="C32" s="1379"/>
      <c r="D32" s="1379"/>
      <c r="E32" s="1379"/>
      <c r="F32" s="1379"/>
      <c r="G32" s="1379"/>
      <c r="H32" s="1379"/>
      <c r="I32" s="1379"/>
      <c r="J32" s="1379"/>
      <c r="K32" s="1379"/>
      <c r="L32" s="1379"/>
      <c r="M32" s="1379"/>
      <c r="N32" s="1379"/>
      <c r="O32" s="1380"/>
      <c r="Q32" s="1317" t="s">
        <v>344</v>
      </c>
      <c r="R32" s="1318"/>
      <c r="S32" s="1318"/>
      <c r="T32" s="1318"/>
      <c r="U32" s="1318"/>
      <c r="V32" s="1319"/>
      <c r="W32" s="541"/>
      <c r="X32" s="542"/>
      <c r="Y32" s="77"/>
      <c r="Z32" s="317"/>
      <c r="AA32" s="316"/>
      <c r="AB32" s="314"/>
      <c r="AC32" s="314"/>
      <c r="AD32" s="150"/>
      <c r="AE32" s="150"/>
      <c r="AF32" s="150"/>
      <c r="AG32" s="148"/>
      <c r="AH32" s="148"/>
      <c r="AI32" s="148"/>
      <c r="AJ32" s="295"/>
      <c r="AK32" s="152"/>
      <c r="AL32" s="152"/>
      <c r="AM32" s="152"/>
      <c r="AN32" s="152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8"/>
      <c r="BA32" s="18"/>
      <c r="BB32" s="18"/>
      <c r="BC32" s="18"/>
      <c r="BD32" s="18"/>
      <c r="BE32" s="18"/>
    </row>
    <row r="33" spans="1:57" ht="14.1" customHeight="1" x14ac:dyDescent="0.2">
      <c r="A33" s="1371" t="s">
        <v>192</v>
      </c>
      <c r="B33" s="1372"/>
      <c r="C33" s="1372"/>
      <c r="D33" s="1372"/>
      <c r="E33" s="1372"/>
      <c r="F33" s="1372"/>
      <c r="G33" s="1372"/>
      <c r="H33" s="1373"/>
      <c r="I33" s="1371" t="s">
        <v>9</v>
      </c>
      <c r="J33" s="1372"/>
      <c r="K33" s="1372"/>
      <c r="L33" s="1372"/>
      <c r="M33" s="1372"/>
      <c r="N33" s="1372"/>
      <c r="O33" s="1373"/>
      <c r="Q33" s="800" t="s">
        <v>342</v>
      </c>
      <c r="R33" s="801">
        <v>1.994</v>
      </c>
      <c r="S33" s="802" t="s">
        <v>343</v>
      </c>
      <c r="T33" s="801">
        <v>2.3159999999999998</v>
      </c>
      <c r="U33" s="1309" t="str">
        <f xml:space="preserve"> IF(N22="","",IF(OR(N22&lt;R33,N22&gt;T33), "ESTA FUERA DEL ALCANCE", "ESTA DENTRO DEL ALCANCE"))</f>
        <v/>
      </c>
      <c r="V33" s="1310"/>
      <c r="W33" s="541"/>
      <c r="X33" s="542"/>
      <c r="Y33" s="77"/>
      <c r="Z33" s="295"/>
      <c r="AA33" s="295"/>
      <c r="AB33" s="295"/>
      <c r="AC33" s="295"/>
      <c r="AD33" s="295"/>
      <c r="AE33" s="295"/>
      <c r="AF33" s="295"/>
      <c r="AG33" s="148"/>
      <c r="AH33" s="148"/>
      <c r="AI33" s="148"/>
      <c r="AK33" s="152"/>
      <c r="AL33" s="152"/>
      <c r="AM33" s="152"/>
      <c r="AN33" s="152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8"/>
      <c r="BA33" s="18"/>
      <c r="BB33" s="18"/>
      <c r="BC33" s="18"/>
      <c r="BD33" s="18"/>
      <c r="BE33" s="18"/>
    </row>
    <row r="34" spans="1:57" ht="45" customHeight="1" x14ac:dyDescent="0.2">
      <c r="A34" s="264"/>
      <c r="B34" s="262"/>
      <c r="C34" s="262"/>
      <c r="D34" s="262"/>
      <c r="E34" s="262"/>
      <c r="F34" s="262"/>
      <c r="G34" s="262"/>
      <c r="H34" s="263"/>
      <c r="I34" s="264"/>
      <c r="J34" s="262"/>
      <c r="K34" s="262"/>
      <c r="L34" s="262"/>
      <c r="M34" s="262"/>
      <c r="N34" s="262"/>
      <c r="O34" s="263"/>
      <c r="Q34" s="1317" t="s">
        <v>345</v>
      </c>
      <c r="R34" s="1318"/>
      <c r="S34" s="1318"/>
      <c r="T34" s="1318"/>
      <c r="U34" s="1318"/>
      <c r="V34" s="1319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K34" s="152"/>
      <c r="AL34" s="152"/>
      <c r="AM34" s="152"/>
      <c r="AN34" s="152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8"/>
      <c r="BA34" s="18"/>
      <c r="BB34" s="18"/>
      <c r="BC34" s="18"/>
      <c r="BD34" s="18"/>
      <c r="BE34" s="18"/>
    </row>
    <row r="35" spans="1:57" ht="12.95" customHeight="1" x14ac:dyDescent="0.2">
      <c r="A35" s="1142" t="s">
        <v>154</v>
      </c>
      <c r="B35" s="1143"/>
      <c r="C35" s="1143"/>
      <c r="D35" s="1143"/>
      <c r="E35" s="1143"/>
      <c r="F35" s="1143"/>
      <c r="G35" s="1143"/>
      <c r="H35" s="1144"/>
      <c r="I35" s="1142" t="s">
        <v>154</v>
      </c>
      <c r="J35" s="1143"/>
      <c r="K35" s="1143"/>
      <c r="L35" s="1143"/>
      <c r="M35" s="1143"/>
      <c r="N35" s="1143"/>
      <c r="O35" s="1144"/>
      <c r="Q35" s="800" t="s">
        <v>342</v>
      </c>
      <c r="R35" s="801">
        <v>2.2429999999999999</v>
      </c>
      <c r="S35" s="802" t="s">
        <v>343</v>
      </c>
      <c r="T35" s="803">
        <v>2.4</v>
      </c>
      <c r="U35" s="1309" t="str">
        <f xml:space="preserve"> IF(G30="","",IF(OR(G30&lt;R35,G30&gt;T35), "ESTA FUERA DEL ALCANCE", "ESTA DENTRO DEL ALCANCE"))</f>
        <v/>
      </c>
      <c r="V35" s="1310"/>
      <c r="W35" s="541"/>
      <c r="X35" s="542"/>
      <c r="Y35" s="77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K35" s="152"/>
      <c r="AL35" s="152"/>
      <c r="AM35" s="152"/>
      <c r="AN35" s="152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8"/>
      <c r="BA35" s="18"/>
      <c r="BB35" s="18"/>
      <c r="BC35" s="18"/>
      <c r="BD35" s="18"/>
      <c r="BE35" s="18"/>
    </row>
    <row r="36" spans="1:57" ht="12.95" customHeight="1" thickBot="1" x14ac:dyDescent="0.25">
      <c r="A36" s="1145" t="str">
        <f>IF(A35="--","",VLOOKUP(A35,firmas!A31:B34,2,0))</f>
        <v/>
      </c>
      <c r="B36" s="1146"/>
      <c r="C36" s="1146"/>
      <c r="D36" s="1146"/>
      <c r="E36" s="1146"/>
      <c r="F36" s="1146"/>
      <c r="G36" s="1146"/>
      <c r="H36" s="1147"/>
      <c r="I36" s="1145" t="str">
        <f>IF(I35="--","",VLOOKUP(I35,firmas!$A$36:$B$37,2,0))</f>
        <v/>
      </c>
      <c r="J36" s="1146"/>
      <c r="K36" s="1146"/>
      <c r="L36" s="1146"/>
      <c r="M36" s="1146"/>
      <c r="N36" s="1146"/>
      <c r="O36" s="1147"/>
      <c r="Q36" s="382"/>
      <c r="R36" s="382"/>
      <c r="S36" s="382"/>
      <c r="T36" s="540"/>
      <c r="U36" s="544"/>
      <c r="V36" s="541"/>
      <c r="W36" s="541"/>
      <c r="X36" s="542"/>
      <c r="Y36" s="77"/>
      <c r="AC36" s="281"/>
      <c r="AD36" s="77"/>
      <c r="AE36" s="140"/>
      <c r="AF36" s="46"/>
      <c r="AG36" s="46"/>
      <c r="AH36" s="46"/>
      <c r="AI36" s="46"/>
      <c r="AK36" s="148"/>
      <c r="AL36" s="148"/>
      <c r="AM36" s="148"/>
      <c r="AN36" s="148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8"/>
      <c r="BA36" s="18"/>
      <c r="BB36" s="18"/>
      <c r="BC36" s="18"/>
      <c r="BD36" s="18"/>
      <c r="BE36" s="18"/>
    </row>
    <row r="37" spans="1:57" s="811" customFormat="1" ht="12" customHeight="1" thickTop="1" thickBot="1" x14ac:dyDescent="0.25">
      <c r="A37" s="1164" t="s">
        <v>156</v>
      </c>
      <c r="B37" s="1164"/>
      <c r="C37" s="1164"/>
      <c r="D37" s="1164"/>
      <c r="E37" s="1164"/>
      <c r="F37" s="1164"/>
      <c r="G37" s="1164"/>
      <c r="H37" s="1164"/>
      <c r="I37" s="1164"/>
      <c r="J37" s="1164"/>
      <c r="K37" s="1164"/>
      <c r="L37" s="1164"/>
      <c r="M37" s="1164"/>
      <c r="N37" s="1164"/>
      <c r="O37" s="1164"/>
      <c r="P37" s="131"/>
      <c r="Q37" s="295"/>
      <c r="R37" s="295"/>
      <c r="S37" s="810"/>
      <c r="T37" s="810"/>
      <c r="U37" s="331"/>
      <c r="V37" s="331"/>
      <c r="W37" s="336"/>
      <c r="X37" s="337"/>
      <c r="Y37" s="337"/>
      <c r="Z37" s="338"/>
      <c r="AA37" s="332"/>
      <c r="AB37" s="295"/>
      <c r="AC37" s="295"/>
      <c r="AD37" s="295"/>
      <c r="AF37" s="140"/>
      <c r="AG37" s="140"/>
      <c r="AH37" s="18"/>
      <c r="AI37" s="18"/>
      <c r="AJ37" s="18"/>
      <c r="AK37" s="18"/>
      <c r="AL37" s="18"/>
      <c r="AM37" s="18"/>
    </row>
    <row r="38" spans="1:57" ht="19.5" customHeight="1" thickTop="1" x14ac:dyDescent="0.2">
      <c r="A38" s="1366" t="s">
        <v>200</v>
      </c>
      <c r="B38" s="1366"/>
      <c r="C38" s="1366"/>
      <c r="D38" s="1366"/>
      <c r="E38" s="1366"/>
      <c r="F38" s="1366"/>
      <c r="G38" s="1366"/>
      <c r="H38" s="1366"/>
      <c r="I38" s="1366"/>
      <c r="J38" s="1366"/>
      <c r="K38" s="1366"/>
      <c r="L38" s="1366"/>
      <c r="M38" s="1366"/>
      <c r="N38" s="1366"/>
      <c r="O38" s="1366"/>
      <c r="Q38" s="288"/>
      <c r="R38" s="545"/>
      <c r="S38" s="528"/>
      <c r="T38" s="528"/>
      <c r="U38" s="544"/>
      <c r="V38" s="541"/>
      <c r="W38" s="541"/>
      <c r="X38" s="542"/>
      <c r="Y38" s="77"/>
      <c r="AC38" s="281"/>
      <c r="AD38" s="59"/>
      <c r="AE38" s="140"/>
      <c r="AF38" s="46"/>
      <c r="AG38" s="46"/>
      <c r="AH38" s="46"/>
      <c r="AI38" s="46"/>
      <c r="AJ38" s="46"/>
      <c r="AK38" s="46"/>
      <c r="AL38" s="46"/>
      <c r="AM38" s="46"/>
      <c r="AN38" s="148"/>
      <c r="AO38" s="148"/>
      <c r="AP38" s="148"/>
      <c r="AQ38" s="140"/>
      <c r="AR38" s="140"/>
      <c r="AS38" s="140"/>
      <c r="AT38" s="140"/>
      <c r="AU38" s="140"/>
      <c r="AV38" s="140"/>
      <c r="AW38" s="140"/>
      <c r="AX38" s="140"/>
      <c r="AY38" s="140"/>
      <c r="AZ38" s="18"/>
      <c r="BA38" s="18"/>
      <c r="BB38" s="18"/>
      <c r="BC38" s="18"/>
      <c r="BD38" s="18"/>
      <c r="BE38" s="18"/>
    </row>
    <row r="39" spans="1:57" ht="30" customHeight="1" x14ac:dyDescent="0.2">
      <c r="A39" s="1151" t="s">
        <v>227</v>
      </c>
      <c r="B39" s="1151"/>
      <c r="C39" s="1151"/>
      <c r="D39" s="1151"/>
      <c r="E39" s="1151"/>
      <c r="F39" s="1151"/>
      <c r="G39" s="1151"/>
      <c r="H39" s="1151"/>
      <c r="I39" s="1151"/>
      <c r="J39" s="1151"/>
      <c r="K39" s="1151"/>
      <c r="L39" s="1151"/>
      <c r="M39" s="1151"/>
      <c r="N39" s="1151"/>
      <c r="O39" s="1151"/>
      <c r="Q39" s="288"/>
      <c r="R39" s="543"/>
      <c r="S39" s="542"/>
      <c r="T39" s="543"/>
      <c r="U39" s="544"/>
      <c r="V39" s="541"/>
      <c r="W39" s="541"/>
      <c r="X39" s="542"/>
      <c r="Y39" s="59"/>
      <c r="Z39" s="153"/>
      <c r="AA39" s="153"/>
      <c r="AB39" s="153"/>
      <c r="AC39" s="153"/>
      <c r="AD39" s="46"/>
      <c r="AE39" s="77"/>
      <c r="AF39" s="46"/>
      <c r="AG39" s="46"/>
      <c r="AH39" s="46"/>
      <c r="AI39" s="46"/>
      <c r="AJ39" s="46"/>
      <c r="AK39" s="46"/>
      <c r="AL39" s="46"/>
      <c r="AM39" s="46"/>
      <c r="AN39" s="148"/>
      <c r="AO39" s="148"/>
      <c r="AP39" s="148"/>
      <c r="AQ39" s="140"/>
      <c r="AR39" s="140"/>
      <c r="AS39" s="140"/>
      <c r="AT39" s="140"/>
      <c r="AU39" s="140"/>
      <c r="AV39" s="140"/>
      <c r="AW39" s="140"/>
      <c r="AX39" s="140"/>
      <c r="AY39" s="140"/>
      <c r="AZ39" s="18"/>
      <c r="BA39" s="18"/>
      <c r="BB39" s="18"/>
      <c r="BC39" s="18"/>
      <c r="BD39" s="18"/>
      <c r="BE39" s="18"/>
    </row>
    <row r="40" spans="1:57" ht="12.95" customHeight="1" x14ac:dyDescent="0.3">
      <c r="A40" s="1136"/>
      <c r="B40" s="1137"/>
      <c r="C40" s="1137"/>
      <c r="D40" s="75"/>
      <c r="Q40" s="546"/>
      <c r="R40" s="547"/>
      <c r="S40" s="548"/>
      <c r="T40" s="549"/>
      <c r="U40" s="544"/>
      <c r="V40" s="541"/>
      <c r="W40" s="541"/>
      <c r="X40" s="542"/>
      <c r="Y40" s="46"/>
      <c r="AF40" s="46"/>
      <c r="AG40" s="46"/>
      <c r="AH40" s="46"/>
      <c r="AI40" s="46"/>
      <c r="AJ40" s="46"/>
      <c r="AK40" s="321"/>
      <c r="AL40" s="321"/>
      <c r="AM40" s="321"/>
      <c r="AN40" s="321"/>
      <c r="AO40" s="321"/>
      <c r="AP40" s="321"/>
      <c r="AQ40" s="321"/>
      <c r="AR40" s="321"/>
      <c r="AS40" s="321"/>
      <c r="AT40" s="321"/>
      <c r="AU40" s="321"/>
      <c r="AV40" s="321"/>
      <c r="AW40" s="321"/>
      <c r="AX40" s="321"/>
      <c r="AY40" s="321"/>
      <c r="AZ40" s="321"/>
      <c r="BA40" s="321"/>
      <c r="BB40" s="321"/>
      <c r="BC40" s="321"/>
      <c r="BD40" s="18"/>
      <c r="BE40" s="18"/>
    </row>
    <row r="41" spans="1:57" ht="12.95" customHeight="1" x14ac:dyDescent="0.2">
      <c r="A41" s="1136"/>
      <c r="B41" s="1137"/>
      <c r="C41" s="1137"/>
      <c r="D41" s="75"/>
      <c r="Q41" s="550"/>
      <c r="R41" s="547"/>
      <c r="S41" s="551"/>
      <c r="T41" s="551"/>
      <c r="U41" s="544"/>
      <c r="V41" s="541"/>
      <c r="W41" s="541"/>
      <c r="X41" s="382"/>
      <c r="AF41" s="46"/>
      <c r="AG41" s="46"/>
      <c r="AH41" s="46"/>
      <c r="AI41" s="46"/>
      <c r="AJ41" s="46"/>
      <c r="AK41" s="296"/>
      <c r="AL41" s="195"/>
      <c r="AM41" s="195"/>
      <c r="AN41" s="322"/>
      <c r="AO41" s="322"/>
      <c r="AP41" s="322"/>
      <c r="AQ41" s="77"/>
      <c r="AR41" s="77"/>
      <c r="AS41" s="77"/>
      <c r="AT41" s="77"/>
      <c r="AU41" s="77"/>
      <c r="AV41" s="77"/>
      <c r="AW41" s="77"/>
      <c r="AX41" s="77"/>
      <c r="AY41" s="77"/>
      <c r="AZ41" s="20"/>
      <c r="BA41" s="20"/>
      <c r="BB41" s="20"/>
      <c r="BC41" s="20"/>
      <c r="BD41" s="18"/>
      <c r="BE41" s="18"/>
    </row>
    <row r="42" spans="1:57" ht="15.75" customHeight="1" x14ac:dyDescent="0.2">
      <c r="A42" s="1136"/>
      <c r="B42" s="1137"/>
      <c r="C42" s="1137"/>
      <c r="D42" s="75"/>
      <c r="Q42" s="552"/>
      <c r="R42" s="553"/>
      <c r="S42" s="553"/>
      <c r="T42" s="553"/>
      <c r="U42" s="544"/>
      <c r="V42" s="541"/>
      <c r="W42" s="541"/>
      <c r="X42" s="382"/>
      <c r="AF42" s="46"/>
      <c r="AG42" s="46"/>
      <c r="AH42" s="46"/>
      <c r="AI42" s="46"/>
      <c r="AJ42" s="46"/>
      <c r="AK42" s="296"/>
      <c r="AL42" s="285"/>
      <c r="AM42" s="285"/>
      <c r="AN42" s="285"/>
      <c r="AO42" s="285"/>
      <c r="AP42" s="285"/>
      <c r="AQ42" s="193"/>
      <c r="AR42" s="285"/>
      <c r="AS42" s="285"/>
      <c r="AT42" s="285"/>
      <c r="AU42" s="285"/>
      <c r="AV42" s="285"/>
      <c r="AW42" s="193"/>
      <c r="AX42" s="285"/>
      <c r="AY42" s="285"/>
      <c r="AZ42" s="285"/>
      <c r="BA42" s="285"/>
      <c r="BB42" s="285"/>
      <c r="BC42" s="20"/>
      <c r="BD42" s="18"/>
      <c r="BE42" s="18"/>
    </row>
    <row r="43" spans="1:57" ht="17.25" customHeight="1" x14ac:dyDescent="0.2">
      <c r="A43" s="1136"/>
      <c r="B43" s="1137"/>
      <c r="C43" s="1137"/>
      <c r="D43" s="75"/>
      <c r="Q43" s="554"/>
      <c r="R43" s="555"/>
      <c r="S43" s="555"/>
      <c r="T43" s="555"/>
      <c r="U43" s="544"/>
      <c r="V43" s="541"/>
      <c r="W43" s="541"/>
      <c r="X43" s="382"/>
      <c r="AF43" s="46"/>
      <c r="AG43" s="46"/>
      <c r="AH43" s="46"/>
      <c r="AI43" s="46"/>
      <c r="AJ43" s="46"/>
      <c r="AK43" s="296"/>
      <c r="AL43" s="195"/>
      <c r="AM43" s="193"/>
      <c r="AN43" s="323"/>
      <c r="AO43" s="198"/>
      <c r="AP43" s="198"/>
      <c r="AQ43" s="193"/>
      <c r="AR43" s="195"/>
      <c r="AS43" s="193"/>
      <c r="AT43" s="323"/>
      <c r="AU43" s="198"/>
      <c r="AV43" s="198"/>
      <c r="AW43" s="193"/>
      <c r="AX43" s="195"/>
      <c r="AY43" s="193"/>
      <c r="AZ43" s="323"/>
      <c r="BA43" s="198"/>
      <c r="BB43" s="198"/>
      <c r="BC43" s="20"/>
      <c r="BD43" s="18"/>
      <c r="BE43" s="18"/>
    </row>
    <row r="44" spans="1:57" ht="14.25" customHeight="1" x14ac:dyDescent="0.2">
      <c r="A44" s="1136"/>
      <c r="B44" s="1137"/>
      <c r="C44" s="1137"/>
      <c r="D44" s="75"/>
      <c r="Q44" s="554"/>
      <c r="R44" s="555"/>
      <c r="S44" s="555"/>
      <c r="T44" s="555"/>
      <c r="U44" s="544"/>
      <c r="V44" s="541"/>
      <c r="W44" s="541"/>
      <c r="X44" s="382"/>
      <c r="AF44" s="46"/>
      <c r="AG44" s="46"/>
      <c r="AH44" s="46"/>
      <c r="AI44" s="46"/>
      <c r="AJ44" s="46"/>
      <c r="AK44" s="296"/>
      <c r="AL44" s="195"/>
      <c r="AM44" s="128"/>
      <c r="AN44" s="128"/>
      <c r="AO44" s="128"/>
      <c r="AP44" s="128"/>
      <c r="AQ44" s="193"/>
      <c r="AR44" s="195"/>
      <c r="AS44" s="128"/>
      <c r="AT44" s="128"/>
      <c r="AU44" s="128"/>
      <c r="AV44" s="128"/>
      <c r="AW44" s="193"/>
      <c r="AX44" s="195"/>
      <c r="AY44" s="128"/>
      <c r="AZ44" s="128"/>
      <c r="BA44" s="128"/>
      <c r="BB44" s="128"/>
      <c r="BC44" s="20"/>
      <c r="BD44" s="18"/>
      <c r="BE44" s="18"/>
    </row>
    <row r="45" spans="1:57" ht="13.5" customHeight="1" x14ac:dyDescent="0.2">
      <c r="A45" s="1136"/>
      <c r="B45" s="1137"/>
      <c r="C45" s="1137"/>
      <c r="D45" s="75"/>
      <c r="Q45" s="556"/>
      <c r="R45" s="557"/>
      <c r="S45" s="557"/>
      <c r="T45" s="557"/>
      <c r="U45" s="544"/>
      <c r="V45" s="541"/>
      <c r="W45" s="541"/>
      <c r="X45" s="382"/>
      <c r="AF45" s="46"/>
      <c r="AG45" s="46"/>
      <c r="AH45" s="46"/>
      <c r="AI45" s="46"/>
      <c r="AJ45" s="46"/>
      <c r="AK45" s="296"/>
      <c r="AL45" s="195"/>
      <c r="AM45" s="216"/>
      <c r="AN45" s="216"/>
      <c r="AO45" s="216"/>
      <c r="AP45" s="216"/>
      <c r="AQ45" s="193"/>
      <c r="AR45" s="195"/>
      <c r="AS45" s="216"/>
      <c r="AT45" s="216"/>
      <c r="AU45" s="216"/>
      <c r="AV45" s="216"/>
      <c r="AW45" s="193"/>
      <c r="AX45" s="195"/>
      <c r="AY45" s="216"/>
      <c r="AZ45" s="216"/>
      <c r="BA45" s="216"/>
      <c r="BB45" s="216"/>
      <c r="BC45" s="20"/>
      <c r="BD45" s="18"/>
      <c r="BE45" s="18"/>
    </row>
    <row r="46" spans="1:57" ht="12" customHeight="1" x14ac:dyDescent="0.2">
      <c r="Q46" s="550"/>
      <c r="R46" s="547"/>
      <c r="S46" s="548"/>
      <c r="T46" s="558"/>
      <c r="U46" s="544"/>
      <c r="V46" s="541"/>
      <c r="W46" s="541"/>
      <c r="X46" s="382"/>
      <c r="AF46" s="46"/>
      <c r="AG46" s="46"/>
      <c r="AH46" s="46"/>
      <c r="AI46" s="46"/>
      <c r="AJ46" s="46"/>
      <c r="AK46" s="324"/>
      <c r="AL46" s="297"/>
      <c r="AM46" s="323"/>
      <c r="AN46" s="323"/>
      <c r="AO46" s="323"/>
      <c r="AP46" s="323"/>
      <c r="AQ46" s="193"/>
      <c r="AR46" s="297"/>
      <c r="AS46" s="323"/>
      <c r="AT46" s="323"/>
      <c r="AU46" s="323"/>
      <c r="AV46" s="323"/>
      <c r="AW46" s="193"/>
      <c r="AX46" s="297"/>
      <c r="AY46" s="323"/>
      <c r="AZ46" s="323"/>
      <c r="BA46" s="323"/>
      <c r="BB46" s="323"/>
      <c r="BC46" s="20"/>
      <c r="BD46" s="18"/>
      <c r="BE46" s="18"/>
    </row>
    <row r="47" spans="1:57" ht="12" customHeight="1" x14ac:dyDescent="0.2">
      <c r="Q47" s="559"/>
      <c r="R47" s="547"/>
      <c r="S47" s="548"/>
      <c r="T47" s="558"/>
      <c r="U47" s="544"/>
      <c r="V47" s="541"/>
      <c r="W47" s="541"/>
      <c r="X47" s="382"/>
      <c r="AF47" s="46"/>
      <c r="AG47" s="46"/>
      <c r="AH47" s="46"/>
      <c r="AI47" s="46"/>
      <c r="AJ47" s="46"/>
      <c r="AK47" s="324"/>
      <c r="AL47" s="297"/>
      <c r="AM47" s="323"/>
      <c r="AN47" s="323"/>
      <c r="AO47" s="323"/>
      <c r="AP47" s="323"/>
      <c r="AQ47" s="193"/>
      <c r="AR47" s="297"/>
      <c r="AS47" s="323"/>
      <c r="AT47" s="323"/>
      <c r="AU47" s="323"/>
      <c r="AV47" s="323"/>
      <c r="AW47" s="193"/>
      <c r="AX47" s="297"/>
      <c r="AY47" s="323"/>
      <c r="AZ47" s="323"/>
      <c r="BA47" s="323"/>
      <c r="BB47" s="323"/>
      <c r="BC47" s="20"/>
      <c r="BD47" s="18"/>
      <c r="BE47" s="18"/>
    </row>
    <row r="48" spans="1:57" ht="12" customHeight="1" x14ac:dyDescent="0.2">
      <c r="Q48" s="560"/>
      <c r="R48" s="551"/>
      <c r="S48" s="547"/>
      <c r="T48" s="558"/>
      <c r="U48" s="544"/>
      <c r="V48" s="541"/>
      <c r="W48" s="541"/>
      <c r="X48" s="382"/>
      <c r="Z48" s="248"/>
      <c r="AA48" s="248"/>
      <c r="AB48" s="248"/>
      <c r="AC48" s="248"/>
      <c r="AD48" s="248"/>
      <c r="AE48" s="248"/>
      <c r="AF48" s="46"/>
      <c r="AG48" s="46"/>
      <c r="AH48" s="46"/>
      <c r="AI48" s="46"/>
      <c r="AJ48" s="46"/>
      <c r="AK48" s="325"/>
      <c r="AL48" s="128"/>
      <c r="AM48" s="215"/>
      <c r="AN48" s="215"/>
      <c r="AO48" s="215"/>
      <c r="AP48" s="215"/>
      <c r="AQ48" s="193"/>
      <c r="AR48" s="128"/>
      <c r="AS48" s="215"/>
      <c r="AT48" s="215"/>
      <c r="AU48" s="215"/>
      <c r="AV48" s="215"/>
      <c r="AW48" s="193"/>
      <c r="AX48" s="128"/>
      <c r="AY48" s="215"/>
      <c r="AZ48" s="215"/>
      <c r="BA48" s="215"/>
      <c r="BB48" s="215"/>
      <c r="BC48" s="20"/>
      <c r="BD48" s="18"/>
      <c r="BE48" s="18"/>
    </row>
    <row r="49" spans="17:57" ht="12" customHeight="1" x14ac:dyDescent="0.2">
      <c r="Q49" s="560"/>
      <c r="R49" s="551"/>
      <c r="S49" s="547"/>
      <c r="T49" s="558"/>
      <c r="U49" s="544"/>
      <c r="V49" s="541"/>
      <c r="W49" s="541"/>
      <c r="X49" s="549"/>
      <c r="Y49" s="57"/>
      <c r="Z49" s="248"/>
      <c r="AA49" s="248"/>
      <c r="AB49" s="248"/>
      <c r="AC49" s="248"/>
      <c r="AD49" s="248"/>
      <c r="AE49" s="248"/>
      <c r="AF49" s="46"/>
      <c r="AG49" s="46"/>
      <c r="AH49" s="46"/>
      <c r="AI49" s="46"/>
      <c r="AJ49" s="46"/>
      <c r="AK49" s="325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18"/>
      <c r="BE49" s="18"/>
    </row>
    <row r="50" spans="17:57" ht="12.95" customHeight="1" x14ac:dyDescent="0.2">
      <c r="Q50" s="560"/>
      <c r="R50" s="551"/>
      <c r="S50" s="547"/>
      <c r="T50" s="558"/>
      <c r="U50" s="544"/>
      <c r="V50" s="541"/>
      <c r="W50" s="541"/>
      <c r="X50" s="549"/>
      <c r="Y50" s="57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325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18"/>
      <c r="BE50" s="18"/>
    </row>
    <row r="51" spans="17:57" ht="12.95" customHeight="1" x14ac:dyDescent="0.2">
      <c r="Q51" s="136"/>
      <c r="R51" s="76"/>
      <c r="S51" s="77"/>
      <c r="T51" s="154"/>
      <c r="U51" s="3"/>
      <c r="V51" s="4"/>
      <c r="W51" s="4"/>
      <c r="X51" s="77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326"/>
      <c r="AL51" s="128"/>
      <c r="AM51" s="216"/>
      <c r="AN51" s="216"/>
      <c r="AO51" s="216"/>
      <c r="AP51" s="216"/>
      <c r="AQ51" s="208"/>
      <c r="AR51" s="128"/>
      <c r="AS51" s="216"/>
      <c r="AT51" s="216"/>
      <c r="AU51" s="216"/>
      <c r="AV51" s="216"/>
      <c r="AW51" s="208"/>
      <c r="AX51" s="128"/>
      <c r="AY51" s="216"/>
      <c r="AZ51" s="216"/>
      <c r="BA51" s="216"/>
      <c r="BB51" s="216"/>
      <c r="BC51" s="19"/>
      <c r="BD51" s="18"/>
      <c r="BE51" s="18"/>
    </row>
    <row r="52" spans="17:57" ht="24" customHeight="1" x14ac:dyDescent="0.2">
      <c r="Q52" s="136"/>
      <c r="R52" s="76"/>
      <c r="S52" s="77"/>
      <c r="T52" s="154"/>
      <c r="U52" s="3"/>
      <c r="V52" s="4"/>
      <c r="W52" s="4"/>
      <c r="X52" s="77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326"/>
      <c r="AL52" s="128"/>
      <c r="AM52" s="216"/>
      <c r="AN52" s="216"/>
      <c r="AO52" s="216"/>
      <c r="AP52" s="216"/>
      <c r="AQ52" s="208"/>
      <c r="AR52" s="128"/>
      <c r="AS52" s="216"/>
      <c r="AT52" s="216"/>
      <c r="AU52" s="216"/>
      <c r="AV52" s="216"/>
      <c r="AW52" s="208"/>
      <c r="AX52" s="128"/>
      <c r="AY52" s="216"/>
      <c r="AZ52" s="216"/>
      <c r="BA52" s="216"/>
      <c r="BB52" s="216"/>
      <c r="BC52" s="19"/>
      <c r="BD52" s="18"/>
      <c r="BE52" s="18"/>
    </row>
    <row r="53" spans="17:57" ht="12.95" customHeight="1" x14ac:dyDescent="0.2">
      <c r="Q53" s="252"/>
      <c r="R53" s="76"/>
      <c r="S53" s="77"/>
      <c r="T53" s="154"/>
      <c r="U53" s="5"/>
      <c r="V53" s="6"/>
      <c r="W53" s="6"/>
      <c r="X53" s="77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296"/>
      <c r="AL53" s="128"/>
      <c r="AM53" s="216"/>
      <c r="AN53" s="216"/>
      <c r="AO53" s="216"/>
      <c r="AP53" s="216"/>
      <c r="AQ53" s="195"/>
      <c r="AR53" s="128"/>
      <c r="AS53" s="216"/>
      <c r="AT53" s="216"/>
      <c r="AU53" s="216"/>
      <c r="AV53" s="216"/>
      <c r="AW53" s="195"/>
      <c r="AX53" s="128"/>
      <c r="AY53" s="216"/>
      <c r="AZ53" s="216"/>
      <c r="BA53" s="216"/>
      <c r="BB53" s="216"/>
      <c r="BC53" s="211"/>
      <c r="BD53" s="18"/>
      <c r="BE53" s="18"/>
    </row>
    <row r="54" spans="17:57" ht="12.95" customHeight="1" x14ac:dyDescent="0.2">
      <c r="Q54" s="252"/>
      <c r="R54" s="76"/>
      <c r="S54" s="77"/>
      <c r="T54" s="57"/>
      <c r="U54" s="3"/>
      <c r="V54" s="4"/>
      <c r="W54" s="4"/>
      <c r="X54" s="77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296"/>
      <c r="AL54" s="128"/>
      <c r="AM54" s="216"/>
      <c r="AN54" s="216"/>
      <c r="AO54" s="216"/>
      <c r="AP54" s="216"/>
      <c r="AQ54" s="195"/>
      <c r="AR54" s="128"/>
      <c r="AS54" s="216"/>
      <c r="AT54" s="216"/>
      <c r="AU54" s="216"/>
      <c r="AV54" s="216"/>
      <c r="AW54" s="195"/>
      <c r="AX54" s="128"/>
      <c r="AY54" s="216"/>
      <c r="AZ54" s="216"/>
      <c r="BA54" s="216"/>
      <c r="BB54" s="216"/>
      <c r="BC54" s="211"/>
      <c r="BD54" s="18"/>
      <c r="BE54" s="18"/>
    </row>
    <row r="55" spans="17:57" ht="12.95" customHeight="1" x14ac:dyDescent="0.2">
      <c r="Q55" s="254"/>
      <c r="R55" s="76"/>
      <c r="S55" s="46"/>
      <c r="T55" s="46"/>
      <c r="U55" s="3"/>
      <c r="V55" s="4"/>
      <c r="W55" s="4"/>
      <c r="X55" s="92"/>
      <c r="Y55" s="92"/>
      <c r="Z55" s="91"/>
      <c r="AA55" s="91"/>
      <c r="AB55" s="91"/>
      <c r="AC55" s="46"/>
      <c r="AD55" s="46"/>
      <c r="AE55" s="46"/>
      <c r="AF55" s="46"/>
      <c r="AG55" s="46"/>
      <c r="AH55" s="46"/>
      <c r="AI55" s="46"/>
      <c r="AJ55" s="46"/>
      <c r="AK55" s="296"/>
      <c r="AL55" s="128"/>
      <c r="AM55" s="216"/>
      <c r="AN55" s="216"/>
      <c r="AO55" s="216"/>
      <c r="AP55" s="216"/>
      <c r="AQ55" s="195"/>
      <c r="AR55" s="128"/>
      <c r="AS55" s="216"/>
      <c r="AT55" s="216"/>
      <c r="AU55" s="216"/>
      <c r="AV55" s="216"/>
      <c r="AW55" s="195"/>
      <c r="AX55" s="128"/>
      <c r="AY55" s="216"/>
      <c r="AZ55" s="216"/>
      <c r="BA55" s="216"/>
      <c r="BB55" s="216"/>
      <c r="BC55" s="211"/>
      <c r="BD55" s="18"/>
      <c r="BE55" s="18"/>
    </row>
    <row r="56" spans="17:57" ht="12.95" customHeight="1" x14ac:dyDescent="0.2">
      <c r="Q56" s="136"/>
      <c r="R56" s="76"/>
      <c r="S56" s="76"/>
      <c r="T56" s="46"/>
      <c r="U56" s="3"/>
      <c r="V56" s="4"/>
      <c r="W56" s="4"/>
      <c r="X56" s="92"/>
      <c r="Y56" s="92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296"/>
      <c r="AL56" s="128"/>
      <c r="AM56" s="128"/>
      <c r="AN56" s="128"/>
      <c r="AO56" s="128"/>
      <c r="AP56" s="128"/>
      <c r="AQ56" s="195"/>
      <c r="AR56" s="128"/>
      <c r="AS56" s="128"/>
      <c r="AT56" s="128"/>
      <c r="AU56" s="128"/>
      <c r="AV56" s="128"/>
      <c r="AW56" s="195"/>
      <c r="AX56" s="128"/>
      <c r="AY56" s="128"/>
      <c r="AZ56" s="128"/>
      <c r="BA56" s="128"/>
      <c r="BB56" s="128"/>
      <c r="BC56" s="211"/>
      <c r="BD56" s="18"/>
      <c r="BE56" s="18"/>
    </row>
    <row r="57" spans="17:57" ht="12.95" customHeight="1" x14ac:dyDescent="0.2">
      <c r="Q57" s="254"/>
      <c r="R57" s="46"/>
      <c r="S57" s="46"/>
      <c r="T57" s="46"/>
      <c r="U57" s="3"/>
      <c r="V57" s="4"/>
      <c r="W57" s="4"/>
      <c r="X57" s="92"/>
      <c r="Y57" s="92"/>
      <c r="Z57" s="93"/>
      <c r="AA57" s="93"/>
      <c r="AB57" s="93"/>
      <c r="AC57" s="93"/>
      <c r="AD57" s="46"/>
      <c r="AE57" s="46"/>
      <c r="AF57" s="46"/>
      <c r="AG57" s="46"/>
      <c r="AH57" s="46"/>
      <c r="AI57" s="46"/>
      <c r="AJ57" s="46"/>
      <c r="AK57" s="296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211"/>
      <c r="BA57" s="211"/>
      <c r="BB57" s="211"/>
      <c r="BC57" s="211"/>
      <c r="BD57" s="18"/>
      <c r="BE57" s="18"/>
    </row>
    <row r="58" spans="17:57" ht="12.95" customHeight="1" x14ac:dyDescent="0.2">
      <c r="Q58" s="261"/>
      <c r="R58" s="57"/>
      <c r="S58" s="57"/>
      <c r="T58" s="46"/>
      <c r="U58" s="3"/>
      <c r="V58" s="4"/>
      <c r="W58" s="4"/>
      <c r="X58" s="93"/>
      <c r="Y58" s="93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296"/>
      <c r="AL58" s="1389"/>
      <c r="AM58" s="1389"/>
      <c r="AN58" s="1389"/>
      <c r="AO58" s="1389"/>
      <c r="AP58" s="1389"/>
      <c r="AQ58" s="195"/>
      <c r="AR58" s="1389"/>
      <c r="AS58" s="1389"/>
      <c r="AT58" s="1389"/>
      <c r="AU58" s="1389"/>
      <c r="AV58" s="1389"/>
      <c r="AW58" s="195"/>
      <c r="AX58" s="195"/>
      <c r="AY58" s="195"/>
      <c r="AZ58" s="211"/>
      <c r="BA58" s="211"/>
      <c r="BB58" s="211"/>
      <c r="BC58" s="211"/>
      <c r="BD58" s="18"/>
      <c r="BE58" s="18"/>
    </row>
    <row r="59" spans="17:57" ht="12.95" customHeight="1" x14ac:dyDescent="0.2">
      <c r="Q59" s="1227"/>
      <c r="R59" s="1227"/>
      <c r="S59" s="57"/>
      <c r="T59" s="46"/>
      <c r="U59" s="3"/>
      <c r="V59" s="4"/>
      <c r="W59" s="4"/>
      <c r="X59" s="57"/>
      <c r="Y59" s="57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296"/>
      <c r="AL59" s="195"/>
      <c r="AM59" s="193"/>
      <c r="AN59" s="323"/>
      <c r="AO59" s="198"/>
      <c r="AP59" s="198"/>
      <c r="AQ59" s="195"/>
      <c r="AR59" s="195"/>
      <c r="AS59" s="193"/>
      <c r="AT59" s="323"/>
      <c r="AU59" s="198"/>
      <c r="AV59" s="198"/>
      <c r="AW59" s="195"/>
      <c r="AX59" s="195"/>
      <c r="AY59" s="195"/>
      <c r="AZ59" s="211"/>
      <c r="BA59" s="211"/>
      <c r="BB59" s="211"/>
      <c r="BC59" s="211"/>
      <c r="BD59" s="18"/>
      <c r="BE59" s="18"/>
    </row>
    <row r="60" spans="17:57" ht="12.95" customHeight="1" x14ac:dyDescent="0.2">
      <c r="Q60" s="155"/>
      <c r="R60" s="332"/>
      <c r="S60" s="57"/>
      <c r="T60" s="46"/>
      <c r="U60" s="3"/>
      <c r="V60" s="4"/>
      <c r="W60" s="4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296"/>
      <c r="AL60" s="195"/>
      <c r="AM60" s="128"/>
      <c r="AN60" s="128"/>
      <c r="AO60" s="128"/>
      <c r="AP60" s="128"/>
      <c r="AQ60" s="195"/>
      <c r="AR60" s="195"/>
      <c r="AS60" s="128"/>
      <c r="AT60" s="128"/>
      <c r="AU60" s="128"/>
      <c r="AV60" s="128"/>
      <c r="AW60" s="128"/>
      <c r="AX60" s="195"/>
      <c r="AY60" s="195"/>
      <c r="AZ60" s="211"/>
      <c r="BA60" s="211"/>
      <c r="BB60" s="211"/>
      <c r="BC60" s="211"/>
      <c r="BD60" s="18"/>
      <c r="BE60" s="18"/>
    </row>
    <row r="61" spans="17:57" ht="12.95" customHeight="1" x14ac:dyDescent="0.2">
      <c r="Q61" s="155"/>
      <c r="R61" s="332"/>
      <c r="S61" s="57"/>
      <c r="T61" s="46"/>
      <c r="U61" s="3"/>
      <c r="V61" s="4"/>
      <c r="W61" s="4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296"/>
      <c r="AL61" s="195"/>
      <c r="AM61" s="216"/>
      <c r="AN61" s="216"/>
      <c r="AO61" s="216"/>
      <c r="AP61" s="216"/>
      <c r="AQ61" s="195"/>
      <c r="AR61" s="195"/>
      <c r="AS61" s="215"/>
      <c r="AT61" s="215"/>
      <c r="AU61" s="215"/>
      <c r="AV61" s="215"/>
      <c r="AW61" s="215"/>
      <c r="AX61" s="195"/>
      <c r="AY61" s="195"/>
      <c r="AZ61" s="211"/>
      <c r="BA61" s="211"/>
      <c r="BB61" s="211"/>
      <c r="BC61" s="211"/>
      <c r="BD61" s="18"/>
      <c r="BE61" s="18"/>
    </row>
    <row r="62" spans="17:57" ht="12.95" customHeight="1" x14ac:dyDescent="0.2">
      <c r="Q62" s="1237"/>
      <c r="R62" s="1237"/>
      <c r="S62" s="57"/>
      <c r="T62" s="46"/>
      <c r="U62" s="3"/>
      <c r="V62" s="4"/>
      <c r="W62" s="4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296"/>
      <c r="AL62" s="297"/>
      <c r="AM62" s="323"/>
      <c r="AN62" s="323"/>
      <c r="AO62" s="323"/>
      <c r="AP62" s="323"/>
      <c r="AQ62" s="195"/>
      <c r="AR62" s="297"/>
      <c r="AS62" s="327"/>
      <c r="AT62" s="327"/>
      <c r="AU62" s="327"/>
      <c r="AV62" s="327"/>
      <c r="AW62" s="327"/>
      <c r="AX62" s="195"/>
      <c r="AY62" s="195"/>
      <c r="AZ62" s="211"/>
      <c r="BA62" s="211"/>
      <c r="BB62" s="211"/>
      <c r="BC62" s="211"/>
      <c r="BD62" s="18"/>
      <c r="BE62" s="18"/>
    </row>
    <row r="63" spans="17:57" ht="12.95" customHeight="1" x14ac:dyDescent="0.2">
      <c r="Q63" s="1237"/>
      <c r="R63" s="1237"/>
      <c r="S63" s="57"/>
      <c r="T63" s="46"/>
      <c r="U63" s="3"/>
      <c r="V63" s="4"/>
      <c r="W63" s="4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296"/>
      <c r="AL63" s="297"/>
      <c r="AM63" s="323"/>
      <c r="AN63" s="323"/>
      <c r="AO63" s="323"/>
      <c r="AP63" s="323"/>
      <c r="AQ63" s="195"/>
      <c r="AR63" s="297"/>
      <c r="AS63" s="323"/>
      <c r="AT63" s="323"/>
      <c r="AU63" s="323"/>
      <c r="AV63" s="323"/>
      <c r="AW63" s="323"/>
      <c r="AX63" s="195"/>
      <c r="AY63" s="195"/>
      <c r="AZ63" s="211"/>
      <c r="BA63" s="211"/>
      <c r="BB63" s="211"/>
      <c r="BC63" s="211"/>
      <c r="BD63" s="18"/>
      <c r="BE63" s="18"/>
    </row>
    <row r="64" spans="17:57" ht="12.95" customHeight="1" x14ac:dyDescent="0.2">
      <c r="Q64" s="1226"/>
      <c r="R64" s="1226"/>
      <c r="S64" s="57"/>
      <c r="T64" s="46"/>
      <c r="U64" s="3"/>
      <c r="V64" s="4"/>
      <c r="W64" s="4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296"/>
      <c r="AL64" s="128"/>
      <c r="AM64" s="215"/>
      <c r="AN64" s="215"/>
      <c r="AO64" s="215"/>
      <c r="AP64" s="215"/>
      <c r="AQ64" s="195"/>
      <c r="AR64" s="128"/>
      <c r="AS64" s="328"/>
      <c r="AT64" s="328"/>
      <c r="AU64" s="328"/>
      <c r="AV64" s="328"/>
      <c r="AW64" s="328"/>
      <c r="AX64" s="195"/>
      <c r="AY64" s="195"/>
      <c r="AZ64" s="211"/>
      <c r="BA64" s="211"/>
      <c r="BB64" s="211"/>
      <c r="BC64" s="211"/>
      <c r="BD64" s="18"/>
      <c r="BE64" s="18"/>
    </row>
    <row r="65" spans="1:57" ht="12.95" customHeight="1" x14ac:dyDescent="0.2">
      <c r="Q65" s="250"/>
      <c r="R65" s="78"/>
      <c r="S65" s="46"/>
      <c r="T65" s="46"/>
      <c r="U65" s="3"/>
      <c r="V65" s="4"/>
      <c r="W65" s="4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296"/>
      <c r="AL65" s="128"/>
      <c r="AM65" s="216"/>
      <c r="AN65" s="216"/>
      <c r="AO65" s="216"/>
      <c r="AP65" s="216"/>
      <c r="AQ65" s="195"/>
      <c r="AR65" s="128"/>
      <c r="AS65" s="329"/>
      <c r="AT65" s="329"/>
      <c r="AU65" s="329"/>
      <c r="AV65" s="329"/>
      <c r="AW65" s="329"/>
      <c r="AX65" s="195"/>
      <c r="AY65" s="195"/>
      <c r="AZ65" s="211"/>
      <c r="BA65" s="211"/>
      <c r="BB65" s="211"/>
      <c r="BC65" s="211"/>
      <c r="BD65" s="18"/>
      <c r="BE65" s="18"/>
    </row>
    <row r="66" spans="1:57" ht="12.95" customHeight="1" x14ac:dyDescent="0.2">
      <c r="S66" s="46"/>
      <c r="T66" s="46"/>
      <c r="U66" s="3"/>
      <c r="V66" s="4"/>
      <c r="W66" s="4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296"/>
      <c r="AL66" s="128"/>
      <c r="AM66" s="216"/>
      <c r="AN66" s="216"/>
      <c r="AO66" s="216"/>
      <c r="AP66" s="216"/>
      <c r="AQ66" s="195"/>
      <c r="AR66" s="128"/>
      <c r="AS66" s="215"/>
      <c r="AT66" s="215"/>
      <c r="AU66" s="215"/>
      <c r="AV66" s="215"/>
      <c r="AW66" s="215"/>
      <c r="AX66" s="195"/>
      <c r="AY66" s="195"/>
      <c r="AZ66" s="211"/>
      <c r="BA66" s="211"/>
      <c r="BB66" s="211"/>
      <c r="BC66" s="211"/>
      <c r="BD66" s="18"/>
      <c r="BE66" s="18"/>
    </row>
    <row r="67" spans="1:57" ht="12.95" customHeight="1" x14ac:dyDescent="0.2">
      <c r="S67" s="46"/>
      <c r="T67" s="46"/>
      <c r="U67" s="3"/>
      <c r="V67" s="4"/>
      <c r="W67" s="4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296"/>
      <c r="AL67" s="128"/>
      <c r="AM67" s="216"/>
      <c r="AN67" s="216"/>
      <c r="AO67" s="216"/>
      <c r="AP67" s="216"/>
      <c r="AQ67" s="195"/>
      <c r="AR67" s="128"/>
      <c r="AS67" s="216"/>
      <c r="AT67" s="216"/>
      <c r="AU67" s="216"/>
      <c r="AV67" s="216"/>
      <c r="AW67" s="216"/>
      <c r="AX67" s="195"/>
      <c r="AY67" s="195"/>
      <c r="AZ67" s="211"/>
      <c r="BA67" s="211"/>
      <c r="BB67" s="211"/>
      <c r="BC67" s="211"/>
      <c r="BD67" s="18"/>
      <c r="BE67" s="18"/>
    </row>
    <row r="68" spans="1:57" s="17" customFormat="1" ht="12.95" customHeight="1" x14ac:dyDescent="0.2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Q68" s="11"/>
      <c r="R68" s="11"/>
      <c r="S68" s="46"/>
      <c r="T68" s="46"/>
      <c r="U68" s="3"/>
      <c r="V68" s="4"/>
      <c r="W68" s="4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296"/>
      <c r="AL68" s="128"/>
      <c r="AM68" s="216"/>
      <c r="AN68" s="216"/>
      <c r="AO68" s="216"/>
      <c r="AP68" s="216"/>
      <c r="AQ68" s="195"/>
      <c r="AR68" s="128"/>
      <c r="AS68" s="297"/>
      <c r="AT68" s="297"/>
      <c r="AU68" s="297"/>
      <c r="AV68" s="297"/>
      <c r="AW68" s="297"/>
      <c r="AX68" s="195"/>
      <c r="AY68" s="195"/>
      <c r="AZ68" s="211"/>
      <c r="BA68" s="211"/>
      <c r="BB68" s="211"/>
      <c r="BC68" s="211"/>
      <c r="BD68" s="18"/>
      <c r="BE68" s="18"/>
    </row>
    <row r="69" spans="1:57" s="17" customFormat="1" ht="12.95" customHeight="1" x14ac:dyDescent="0.2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Q69" s="11"/>
      <c r="R69" s="11"/>
      <c r="S69" s="46"/>
      <c r="T69" s="46"/>
      <c r="U69" s="5"/>
      <c r="V69" s="6"/>
      <c r="W69" s="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296"/>
      <c r="AL69" s="128"/>
      <c r="AM69" s="128"/>
      <c r="AN69" s="128"/>
      <c r="AO69" s="128"/>
      <c r="AP69" s="128"/>
      <c r="AQ69" s="195"/>
      <c r="AR69" s="128"/>
      <c r="AS69" s="215"/>
      <c r="AT69" s="128"/>
      <c r="AU69" s="128"/>
      <c r="AV69" s="128"/>
      <c r="AW69" s="195"/>
      <c r="AX69" s="195"/>
      <c r="AY69" s="195"/>
      <c r="AZ69" s="211"/>
      <c r="BA69" s="211"/>
      <c r="BB69" s="211"/>
      <c r="BC69" s="211"/>
      <c r="BD69" s="20"/>
      <c r="BE69" s="20"/>
    </row>
    <row r="70" spans="1:57" s="17" customFormat="1" ht="12.95" customHeight="1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Q70" s="11"/>
      <c r="R70" s="11"/>
      <c r="S70" s="46"/>
      <c r="T70" s="46"/>
      <c r="U70" s="3"/>
      <c r="V70" s="4"/>
      <c r="W70" s="4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296"/>
      <c r="AL70" s="195"/>
      <c r="AM70" s="195"/>
      <c r="AN70" s="195"/>
      <c r="AO70" s="195"/>
      <c r="AP70" s="195"/>
      <c r="AQ70" s="195"/>
      <c r="AR70" s="195"/>
      <c r="AS70" s="216"/>
      <c r="AT70" s="195"/>
      <c r="AU70" s="195"/>
      <c r="AV70" s="195"/>
      <c r="AW70" s="195"/>
      <c r="AX70" s="195"/>
      <c r="AY70" s="195"/>
      <c r="AZ70" s="211"/>
      <c r="BA70" s="211"/>
      <c r="BB70" s="211"/>
      <c r="BC70" s="211"/>
      <c r="BD70" s="20"/>
      <c r="BE70" s="20"/>
    </row>
    <row r="71" spans="1:57" s="17" customFormat="1" ht="12.95" customHeight="1" x14ac:dyDescent="0.2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Q71" s="11"/>
      <c r="R71" s="11"/>
      <c r="S71" s="46"/>
      <c r="T71" s="46"/>
      <c r="U71" s="3"/>
      <c r="V71" s="4"/>
      <c r="W71" s="4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296"/>
      <c r="AL71" s="195"/>
      <c r="AM71" s="195"/>
      <c r="AN71" s="195"/>
      <c r="AO71" s="195"/>
      <c r="AP71" s="195"/>
      <c r="AQ71" s="195"/>
      <c r="AR71" s="195"/>
      <c r="AS71" s="216"/>
      <c r="AT71" s="195"/>
      <c r="AU71" s="195"/>
      <c r="AV71" s="195"/>
      <c r="AW71" s="195"/>
      <c r="AX71" s="195"/>
      <c r="AY71" s="195"/>
      <c r="AZ71" s="211"/>
      <c r="BA71" s="211"/>
      <c r="BB71" s="211"/>
      <c r="BC71" s="211"/>
      <c r="BD71" s="20"/>
      <c r="BE71" s="20"/>
    </row>
    <row r="72" spans="1:57" s="17" customFormat="1" ht="11.1" customHeight="1" x14ac:dyDescent="0.2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Q72" s="46"/>
      <c r="R72" s="46"/>
      <c r="S72" s="46"/>
      <c r="T72" s="46"/>
      <c r="U72" s="3"/>
      <c r="V72" s="4"/>
      <c r="W72" s="4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11"/>
      <c r="BA72" s="11"/>
      <c r="BB72" s="11"/>
      <c r="BC72" s="11"/>
      <c r="BD72" s="20"/>
      <c r="BE72" s="20"/>
    </row>
    <row r="73" spans="1:57" s="17" customFormat="1" ht="11.1" customHeight="1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Q73" s="46"/>
      <c r="R73" s="46"/>
      <c r="S73" s="46"/>
      <c r="T73" s="46"/>
      <c r="U73" s="3"/>
      <c r="V73" s="4"/>
      <c r="W73" s="4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11"/>
      <c r="BA73" s="11"/>
      <c r="BB73" s="11"/>
      <c r="BC73" s="11"/>
      <c r="BD73" s="20"/>
      <c r="BE73" s="20"/>
    </row>
    <row r="74" spans="1:57" ht="11.1" customHeight="1" x14ac:dyDescent="0.2">
      <c r="Q74" s="46"/>
      <c r="R74" s="46"/>
      <c r="S74" s="46"/>
      <c r="T74" s="46"/>
      <c r="U74" s="3"/>
      <c r="V74" s="4"/>
      <c r="W74" s="4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BD74" s="20"/>
      <c r="BE74" s="20"/>
    </row>
    <row r="75" spans="1:57" ht="11.1" customHeight="1" x14ac:dyDescent="0.2">
      <c r="Q75" s="46"/>
      <c r="R75" s="46"/>
      <c r="S75" s="46"/>
      <c r="T75" s="46"/>
      <c r="U75" s="3"/>
      <c r="V75" s="4"/>
      <c r="W75" s="4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BD75" s="20"/>
      <c r="BE75" s="20"/>
    </row>
    <row r="76" spans="1:57" ht="11.1" customHeight="1" x14ac:dyDescent="0.2">
      <c r="Q76" s="46"/>
      <c r="R76" s="46"/>
      <c r="S76" s="46"/>
      <c r="T76" s="46"/>
      <c r="U76" s="3"/>
      <c r="V76" s="4"/>
      <c r="W76" s="4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57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BD76" s="20"/>
      <c r="BE76" s="20"/>
    </row>
    <row r="77" spans="1:57" ht="11.1" customHeight="1" x14ac:dyDescent="0.2">
      <c r="Q77" s="46"/>
      <c r="R77" s="46"/>
      <c r="S77" s="46"/>
      <c r="T77" s="46"/>
      <c r="U77" s="3"/>
      <c r="V77" s="4"/>
      <c r="W77" s="4"/>
      <c r="X77" s="46"/>
      <c r="Y77" s="46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46"/>
      <c r="AK77" s="46"/>
      <c r="AL77" s="46"/>
      <c r="AM77" s="46"/>
      <c r="AN77" s="57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BD77" s="20"/>
      <c r="BE77" s="20"/>
    </row>
    <row r="78" spans="1:57" ht="11.1" customHeight="1" x14ac:dyDescent="0.2"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</row>
    <row r="79" spans="1:57" ht="11.1" customHeight="1" x14ac:dyDescent="0.2">
      <c r="Q79" s="20"/>
      <c r="R79" s="20"/>
      <c r="S79" s="20"/>
      <c r="T79" s="20"/>
      <c r="U79" s="20"/>
      <c r="V79" s="20"/>
      <c r="W79" s="20"/>
      <c r="X79" s="20"/>
      <c r="Y79" s="20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</row>
    <row r="80" spans="1:57" ht="11.1" customHeight="1" x14ac:dyDescent="0.2"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</row>
    <row r="81" spans="1:57" ht="11.1" customHeight="1" x14ac:dyDescent="0.2">
      <c r="Q81" s="19"/>
      <c r="R81" s="19"/>
      <c r="S81" s="19"/>
      <c r="T81" s="19"/>
      <c r="U81" s="19"/>
      <c r="V81" s="19"/>
      <c r="W81" s="19"/>
      <c r="X81" s="19"/>
      <c r="Y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</row>
    <row r="82" spans="1:57" ht="11.1" customHeight="1" x14ac:dyDescent="0.2"/>
    <row r="83" spans="1:57" ht="11.1" customHeight="1" x14ac:dyDescent="0.2"/>
    <row r="84" spans="1:57" s="18" customFormat="1" ht="11.1" customHeight="1" x14ac:dyDescent="0.2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Q84" s="11"/>
      <c r="R84" s="11"/>
      <c r="S84" s="11"/>
      <c r="T84" s="11"/>
      <c r="U84" s="11"/>
      <c r="V84" s="11"/>
      <c r="W84" s="11"/>
      <c r="X84" s="11"/>
      <c r="Y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</row>
    <row r="85" spans="1:57" s="18" customFormat="1" ht="11.1" customHeight="1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1:57" s="18" customFormat="1" ht="11.1" customHeight="1" x14ac:dyDescent="0.2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1:57" s="18" customFormat="1" ht="11.1" customHeight="1" x14ac:dyDescent="0.2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1:57" s="18" customFormat="1" ht="11.1" customHeight="1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1:57" s="18" customFormat="1" ht="11.1" customHeight="1" x14ac:dyDescent="0.2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1:57" s="18" customFormat="1" ht="10.5" customHeight="1" x14ac:dyDescent="0.2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1:57" s="18" customFormat="1" ht="18" customHeight="1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1:57" s="18" customFormat="1" ht="27.95" customHeight="1" x14ac:dyDescent="0.2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1:57" s="18" customFormat="1" ht="9.75" customHeight="1" x14ac:dyDescent="0.2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1:57" s="18" customFormat="1" ht="14.1" customHeight="1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1:57" s="18" customFormat="1" ht="14.1" customHeight="1" x14ac:dyDescent="0.2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1:57" s="18" customFormat="1" ht="14.1" customHeight="1" x14ac:dyDescent="0.2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1:15" s="18" customFormat="1" ht="12" customHeight="1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1:15" s="18" customFormat="1" ht="12" customHeight="1" x14ac:dyDescent="0.2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1:15" s="18" customFormat="1" ht="14.1" customHeight="1" x14ac:dyDescent="0.2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1:15" s="18" customFormat="1" ht="14.1" customHeight="1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1:15" s="18" customFormat="1" ht="14.1" customHeight="1" x14ac:dyDescent="0.2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1:15" s="18" customFormat="1" ht="14.1" customHeight="1" x14ac:dyDescent="0.2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1:15" s="18" customFormat="1" ht="13.5" customHeight="1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1:15" s="18" customFormat="1" ht="15" customHeight="1" x14ac:dyDescent="0.2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1:15" s="18" customFormat="1" ht="20.100000000000001" customHeight="1" x14ac:dyDescent="0.2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1:15" s="18" customFormat="1" ht="15" customHeight="1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1:15" s="18" customFormat="1" ht="15" customHeight="1" x14ac:dyDescent="0.2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1:15" s="18" customFormat="1" ht="15" customHeight="1" x14ac:dyDescent="0.2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1:15" s="18" customFormat="1" ht="15" customHeight="1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1:15" s="18" customFormat="1" ht="20.100000000000001" customHeight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1:15" s="18" customFormat="1" ht="20.100000000000001" customHeight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1:15" s="18" customFormat="1" ht="21" customHeight="1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1:35" s="18" customFormat="1" ht="15" customHeight="1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1:35" s="18" customFormat="1" ht="15" customHeight="1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1:35" s="18" customFormat="1" ht="14.1" customHeight="1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1:35" s="18" customFormat="1" ht="14.1" customHeight="1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1:35" s="18" customFormat="1" ht="14.1" customHeight="1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1:35" s="18" customFormat="1" ht="14.1" customHeight="1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1:35" s="18" customFormat="1" ht="15" customHeight="1" x14ac:dyDescent="0.2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</row>
    <row r="120" spans="1:35" s="20" customFormat="1" ht="15" customHeight="1" x14ac:dyDescent="0.2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1:35" s="20" customFormat="1" ht="15" customHeight="1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1:35" s="20" customFormat="1" ht="15" hidden="1" customHeight="1" x14ac:dyDescent="0.2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1:35" s="20" customFormat="1" ht="15" customHeight="1" x14ac:dyDescent="0.2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1:35" s="20" customFormat="1" ht="15" customHeight="1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1:35" s="20" customFormat="1" ht="15" hidden="1" customHeight="1" x14ac:dyDescent="0.2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1:35" s="20" customFormat="1" ht="15" customHeight="1" x14ac:dyDescent="0.2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1:35" s="20" customFormat="1" ht="15" customHeight="1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1:35" s="20" customFormat="1" ht="15" hidden="1" customHeight="1" x14ac:dyDescent="0.2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1:35" s="20" customFormat="1" ht="15" hidden="1" customHeight="1" x14ac:dyDescent="0.2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1:35" s="20" customFormat="1" ht="15" customHeight="1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</row>
    <row r="131" spans="1:35" s="19" customFormat="1" ht="15" customHeight="1" x14ac:dyDescent="0.2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1:35" s="19" customFormat="1" ht="15" hidden="1" customHeight="1" x14ac:dyDescent="0.2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</row>
    <row r="133" spans="1:35" ht="15" customHeight="1" x14ac:dyDescent="0.2"/>
    <row r="134" spans="1:35" ht="15" customHeight="1" x14ac:dyDescent="0.2"/>
    <row r="135" spans="1:35" ht="15" customHeight="1" x14ac:dyDescent="0.2"/>
    <row r="136" spans="1:35" ht="15" customHeight="1" x14ac:dyDescent="0.2"/>
    <row r="137" spans="1:35" ht="15" customHeight="1" x14ac:dyDescent="0.2"/>
    <row r="138" spans="1:35" ht="15" customHeight="1" x14ac:dyDescent="0.2"/>
    <row r="139" spans="1:35" ht="15" customHeight="1" x14ac:dyDescent="0.2"/>
    <row r="140" spans="1:35" ht="24" customHeight="1" x14ac:dyDescent="0.2"/>
    <row r="141" spans="1:35" ht="21.95" customHeight="1" x14ac:dyDescent="0.2"/>
    <row r="142" spans="1:35" ht="21" customHeight="1" x14ac:dyDescent="0.2"/>
    <row r="143" spans="1:35" ht="15.75" customHeight="1" x14ac:dyDescent="0.2"/>
    <row r="144" spans="1:35" ht="12.75" customHeight="1" x14ac:dyDescent="0.2"/>
    <row r="145" spans="16:50" ht="18.75" customHeight="1" x14ac:dyDescent="0.2"/>
    <row r="146" spans="16:50" ht="29.25" customHeight="1" x14ac:dyDescent="0.2"/>
    <row r="147" spans="16:50" ht="27.95" customHeight="1" x14ac:dyDescent="0.2"/>
    <row r="148" spans="16:50" ht="27.95" customHeight="1" x14ac:dyDescent="0.2"/>
    <row r="149" spans="16:50" ht="12.95" customHeight="1" x14ac:dyDescent="0.2"/>
    <row r="150" spans="16:50" ht="12" customHeight="1" x14ac:dyDescent="0.2"/>
    <row r="157" spans="16:50" x14ac:dyDescent="0.2"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6:50" x14ac:dyDescent="0.2">
      <c r="P158" s="46"/>
      <c r="Q158" s="46"/>
      <c r="R158" s="46"/>
      <c r="S158" s="46"/>
      <c r="T158" s="3">
        <v>66</v>
      </c>
      <c r="U158" s="4">
        <f>+$W$69+((T75-$U$69)*(($V$165-$W$69)/($T$165-$U$69)))</f>
        <v>0</v>
      </c>
      <c r="V158" s="4">
        <f t="shared" ref="V158:V164" si="2">+$W$69+((T158-$U$69)*(($V$165-$W$69)/($T$165-$U$69)))</f>
        <v>0.92023988005997004</v>
      </c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  <c r="AS158" s="46"/>
      <c r="AT158" s="46"/>
      <c r="AU158" s="46"/>
      <c r="AV158" s="46"/>
      <c r="AW158" s="46"/>
      <c r="AX158" s="46"/>
    </row>
    <row r="159" spans="16:50" x14ac:dyDescent="0.2">
      <c r="P159" s="46"/>
      <c r="Q159" s="46"/>
      <c r="R159" s="46"/>
      <c r="S159" s="46"/>
      <c r="T159" s="3">
        <v>66.099999999999994</v>
      </c>
      <c r="U159" s="4">
        <f>+$W$69+((T76-$U$69)*(($V$165-$W$69)/($T$165-$U$69)))</f>
        <v>0</v>
      </c>
      <c r="V159" s="4">
        <f t="shared" si="2"/>
        <v>0.92163418290854571</v>
      </c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6"/>
      <c r="AV159" s="46"/>
      <c r="AW159" s="46"/>
      <c r="AX159" s="46"/>
    </row>
    <row r="160" spans="16:50" x14ac:dyDescent="0.2">
      <c r="P160" s="46"/>
      <c r="Q160" s="46"/>
      <c r="R160" s="46"/>
      <c r="S160" s="46"/>
      <c r="T160" s="3">
        <v>66.2</v>
      </c>
      <c r="U160" s="4">
        <f>+$W$69+((T77-$U$69)*(($V$165-$W$69)/($T$165-$U$69)))</f>
        <v>0</v>
      </c>
      <c r="V160" s="4">
        <f t="shared" si="2"/>
        <v>0.92302848575712149</v>
      </c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  <c r="AS160" s="46"/>
      <c r="AT160" s="46"/>
      <c r="AU160" s="46"/>
      <c r="AV160" s="46"/>
      <c r="AW160" s="46"/>
      <c r="AX160" s="46"/>
    </row>
    <row r="161" spans="16:50" x14ac:dyDescent="0.2">
      <c r="P161" s="46"/>
      <c r="Q161" s="46"/>
      <c r="R161" s="46"/>
      <c r="S161" s="46"/>
      <c r="T161" s="3">
        <v>66.300000000000097</v>
      </c>
      <c r="U161" s="4">
        <f>+$W$69+((S158-$U$69)*(($V$165-$W$69)/($T$165-$U$69)))</f>
        <v>0</v>
      </c>
      <c r="V161" s="4">
        <f t="shared" si="2"/>
        <v>0.92442278860569849</v>
      </c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  <c r="AS161" s="46"/>
      <c r="AT161" s="46"/>
      <c r="AU161" s="46"/>
      <c r="AV161" s="46"/>
      <c r="AW161" s="46"/>
      <c r="AX161" s="46"/>
    </row>
    <row r="162" spans="16:50" x14ac:dyDescent="0.2">
      <c r="P162" s="46"/>
      <c r="Q162" s="46"/>
      <c r="R162" s="46"/>
      <c r="S162" s="46"/>
      <c r="T162" s="3">
        <v>66.400000000000006</v>
      </c>
      <c r="U162" s="4">
        <f>+$W$69+((S159-$U$69)*(($V$165-$W$69)/($T$165-$U$69)))</f>
        <v>0</v>
      </c>
      <c r="V162" s="4">
        <f t="shared" si="2"/>
        <v>0.92581709145427293</v>
      </c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  <c r="AS162" s="46"/>
      <c r="AT162" s="46"/>
      <c r="AU162" s="46"/>
      <c r="AV162" s="46"/>
      <c r="AW162" s="46"/>
      <c r="AX162" s="46"/>
    </row>
    <row r="163" spans="16:50" x14ac:dyDescent="0.2">
      <c r="P163" s="46"/>
      <c r="Q163" s="46"/>
      <c r="R163" s="46"/>
      <c r="S163" s="46"/>
      <c r="T163" s="3">
        <v>66.500000000000099</v>
      </c>
      <c r="U163" s="4">
        <f>+$W$69+((S160-$U$69)*(($V$165-$W$69)/($T$165-$U$69)))</f>
        <v>0</v>
      </c>
      <c r="V163" s="4">
        <f t="shared" si="2"/>
        <v>0.92721139430284993</v>
      </c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6"/>
      <c r="AV163" s="46"/>
      <c r="AW163" s="46"/>
      <c r="AX163" s="46"/>
    </row>
    <row r="164" spans="16:50" x14ac:dyDescent="0.2">
      <c r="P164" s="46"/>
      <c r="Q164" s="46"/>
      <c r="R164" s="46"/>
      <c r="S164" s="46"/>
      <c r="T164" s="3">
        <v>66.600000000000094</v>
      </c>
      <c r="U164" s="4">
        <f>+$W$69+((S161-$U$69)*(($V$165-$W$69)/($T$165-$U$69)))</f>
        <v>0</v>
      </c>
      <c r="V164" s="4">
        <f t="shared" si="2"/>
        <v>0.9286056971514256</v>
      </c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  <c r="AS164" s="46"/>
      <c r="AT164" s="46"/>
      <c r="AU164" s="46"/>
      <c r="AV164" s="46"/>
      <c r="AW164" s="46"/>
      <c r="AX164" s="46"/>
    </row>
    <row r="165" spans="16:50" x14ac:dyDescent="0.2">
      <c r="P165" s="46"/>
      <c r="Q165" s="46"/>
      <c r="R165" s="46"/>
      <c r="S165" s="46"/>
      <c r="T165" s="5">
        <v>66.7</v>
      </c>
      <c r="U165" s="6">
        <v>0.93</v>
      </c>
      <c r="V165" s="6">
        <v>0.93</v>
      </c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  <c r="AS165" s="46"/>
      <c r="AT165" s="46"/>
      <c r="AU165" s="46"/>
      <c r="AV165" s="46"/>
      <c r="AW165" s="46"/>
      <c r="AX165" s="46"/>
    </row>
    <row r="166" spans="16:50" x14ac:dyDescent="0.2"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  <c r="AS166" s="46"/>
      <c r="AT166" s="46"/>
      <c r="AU166" s="46"/>
      <c r="AV166" s="46"/>
      <c r="AW166" s="46"/>
      <c r="AX166" s="46"/>
    </row>
    <row r="167" spans="16:50" x14ac:dyDescent="0.2"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  <c r="AS167" s="46"/>
      <c r="AT167" s="46"/>
      <c r="AU167" s="46"/>
      <c r="AV167" s="46"/>
      <c r="AW167" s="46"/>
      <c r="AX167" s="46"/>
    </row>
    <row r="168" spans="16:50" x14ac:dyDescent="0.2"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  <c r="AS168" s="46"/>
      <c r="AT168" s="46"/>
      <c r="AU168" s="46"/>
      <c r="AV168" s="46"/>
      <c r="AW168" s="46"/>
      <c r="AX168" s="46"/>
    </row>
    <row r="169" spans="16:50" x14ac:dyDescent="0.2"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  <c r="AS169" s="46"/>
      <c r="AT169" s="46"/>
      <c r="AU169" s="46"/>
      <c r="AV169" s="46"/>
      <c r="AW169" s="46"/>
      <c r="AX169" s="46"/>
    </row>
    <row r="170" spans="16:50" x14ac:dyDescent="0.2"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  <c r="AS170" s="46"/>
      <c r="AT170" s="46"/>
      <c r="AU170" s="46"/>
      <c r="AV170" s="46"/>
      <c r="AW170" s="46"/>
      <c r="AX170" s="46"/>
    </row>
    <row r="171" spans="16:50" x14ac:dyDescent="0.2"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  <c r="AS171" s="46"/>
      <c r="AT171" s="46"/>
      <c r="AU171" s="46"/>
      <c r="AV171" s="46"/>
      <c r="AW171" s="46"/>
      <c r="AX171" s="46"/>
    </row>
    <row r="172" spans="16:50" x14ac:dyDescent="0.2"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  <c r="AS172" s="46"/>
      <c r="AT172" s="46"/>
      <c r="AU172" s="46"/>
      <c r="AV172" s="46"/>
      <c r="AW172" s="46"/>
      <c r="AX172" s="46"/>
    </row>
    <row r="173" spans="16:50" x14ac:dyDescent="0.2"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  <c r="AS173" s="46"/>
      <c r="AT173" s="46"/>
      <c r="AU173" s="46"/>
      <c r="AV173" s="46"/>
      <c r="AW173" s="46"/>
      <c r="AX173" s="46"/>
    </row>
    <row r="174" spans="16:50" x14ac:dyDescent="0.2"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AJ174" s="46"/>
      <c r="AK174" s="46"/>
      <c r="AL174" s="46"/>
      <c r="AM174" s="46"/>
      <c r="AN174" s="46"/>
      <c r="AO174" s="46"/>
      <c r="AP174" s="46"/>
      <c r="AQ174" s="46"/>
      <c r="AR174" s="46"/>
      <c r="AS174" s="46"/>
      <c r="AT174" s="46"/>
      <c r="AU174" s="46"/>
      <c r="AV174" s="46"/>
      <c r="AW174" s="46"/>
      <c r="AX174" s="46"/>
    </row>
  </sheetData>
  <sheetProtection formatCells="0" formatColumns="0" formatRows="0"/>
  <protectedRanges>
    <protectedRange sqref="M2:N3" name="Rango1_1_1"/>
    <protectedRange sqref="M4:N4" name="Rango1_1_1_1"/>
  </protectedRanges>
  <mergeCells count="116">
    <mergeCell ref="P14:P17"/>
    <mergeCell ref="P18:P20"/>
    <mergeCell ref="P12:P13"/>
    <mergeCell ref="Q12:X12"/>
    <mergeCell ref="AG25:AI25"/>
    <mergeCell ref="Q13:R13"/>
    <mergeCell ref="S13:T13"/>
    <mergeCell ref="U13:V13"/>
    <mergeCell ref="W13:X13"/>
    <mergeCell ref="Q17:X17"/>
    <mergeCell ref="Q18:R18"/>
    <mergeCell ref="S18:T18"/>
    <mergeCell ref="U18:V18"/>
    <mergeCell ref="W18:X18"/>
    <mergeCell ref="H17:I17"/>
    <mergeCell ref="A23:G23"/>
    <mergeCell ref="D12:J12"/>
    <mergeCell ref="M12:O12"/>
    <mergeCell ref="A1:D5"/>
    <mergeCell ref="E1:O3"/>
    <mergeCell ref="E4:L4"/>
    <mergeCell ref="E5:O5"/>
    <mergeCell ref="M11:O11"/>
    <mergeCell ref="K11:L11"/>
    <mergeCell ref="M6:O6"/>
    <mergeCell ref="M7:O7"/>
    <mergeCell ref="M10:O10"/>
    <mergeCell ref="M8:O8"/>
    <mergeCell ref="M9:O9"/>
    <mergeCell ref="A13:O13"/>
    <mergeCell ref="H19:I19"/>
    <mergeCell ref="M4:O4"/>
    <mergeCell ref="H16:I16"/>
    <mergeCell ref="A15:G15"/>
    <mergeCell ref="H15:I15"/>
    <mergeCell ref="A19:G19"/>
    <mergeCell ref="A16:G16"/>
    <mergeCell ref="A17:G17"/>
    <mergeCell ref="Q64:R64"/>
    <mergeCell ref="A45:C45"/>
    <mergeCell ref="A40:C40"/>
    <mergeCell ref="A41:C41"/>
    <mergeCell ref="A42:C42"/>
    <mergeCell ref="A43:C43"/>
    <mergeCell ref="A44:C44"/>
    <mergeCell ref="AR58:AV58"/>
    <mergeCell ref="Q59:R59"/>
    <mergeCell ref="Q62:R63"/>
    <mergeCell ref="AL58:AP58"/>
    <mergeCell ref="A36:H36"/>
    <mergeCell ref="I35:O35"/>
    <mergeCell ref="I36:O36"/>
    <mergeCell ref="A39:O39"/>
    <mergeCell ref="A38:O38"/>
    <mergeCell ref="A28:E28"/>
    <mergeCell ref="G28:H28"/>
    <mergeCell ref="I28:K28"/>
    <mergeCell ref="L28:O28"/>
    <mergeCell ref="A33:H33"/>
    <mergeCell ref="I33:O33"/>
    <mergeCell ref="A30:E30"/>
    <mergeCell ref="G30:H30"/>
    <mergeCell ref="A32:O32"/>
    <mergeCell ref="A29:E29"/>
    <mergeCell ref="G29:H29"/>
    <mergeCell ref="A37:O37"/>
    <mergeCell ref="A31:B31"/>
    <mergeCell ref="C31:O31"/>
    <mergeCell ref="P27:P28"/>
    <mergeCell ref="A18:G18"/>
    <mergeCell ref="H18:I18"/>
    <mergeCell ref="N23:O23"/>
    <mergeCell ref="A24:G24"/>
    <mergeCell ref="H24:I24"/>
    <mergeCell ref="N24:O24"/>
    <mergeCell ref="H23:I23"/>
    <mergeCell ref="A8:D8"/>
    <mergeCell ref="A9:D9"/>
    <mergeCell ref="E8:J8"/>
    <mergeCell ref="E9:J9"/>
    <mergeCell ref="N14:O17"/>
    <mergeCell ref="N18:O20"/>
    <mergeCell ref="A20:G20"/>
    <mergeCell ref="H20:I20"/>
    <mergeCell ref="H22:I22"/>
    <mergeCell ref="N22:O22"/>
    <mergeCell ref="A21:G21"/>
    <mergeCell ref="H21:I21"/>
    <mergeCell ref="N21:O21"/>
    <mergeCell ref="A22:G22"/>
    <mergeCell ref="A14:D14"/>
    <mergeCell ref="H14:I14"/>
    <mergeCell ref="E6:J6"/>
    <mergeCell ref="E7:J7"/>
    <mergeCell ref="E10:J10"/>
    <mergeCell ref="E11:J11"/>
    <mergeCell ref="A7:C7"/>
    <mergeCell ref="U35:V35"/>
    <mergeCell ref="S25:T25"/>
    <mergeCell ref="Q21:R21"/>
    <mergeCell ref="S21:T21"/>
    <mergeCell ref="U33:V33"/>
    <mergeCell ref="Q34:V34"/>
    <mergeCell ref="G26:H26"/>
    <mergeCell ref="I26:K26"/>
    <mergeCell ref="L26:O26"/>
    <mergeCell ref="A35:H35"/>
    <mergeCell ref="Q22:R22"/>
    <mergeCell ref="S22:T22"/>
    <mergeCell ref="Q32:V32"/>
    <mergeCell ref="A27:E27"/>
    <mergeCell ref="A26:E26"/>
    <mergeCell ref="G27:H27"/>
    <mergeCell ref="I27:K27"/>
    <mergeCell ref="L27:O27"/>
    <mergeCell ref="A25:O25"/>
  </mergeCells>
  <conditionalFormatting sqref="U33 U35">
    <cfRule type="cellIs" dxfId="0" priority="2" operator="equal">
      <formula>"ESTA FUERA DEL ALCANCE"</formula>
    </cfRule>
  </conditionalFormatting>
  <printOptions horizontalCentered="1"/>
  <pageMargins left="0.59055118110236227" right="0.19685039370078741" top="0" bottom="0" header="0" footer="0.35433070866141736"/>
  <pageSetup paperSize="9" pageOrder="overThenDown" orientation="portrait" r:id="rId1"/>
  <headerFooter scaleWithDoc="0">
    <oddFooter xml:space="preserve">&amp;L&amp;6Calle 26 No. 57-41 Torre 8 Piso 8 CEMSA - CP: 1113111            
Pbx: 3779555  - Información: Línea 195     
www.umv.gov.co111311&amp;C&amp;6Página 1 de 1
</oddFooter>
  </headerFooter>
  <ignoredErrors>
    <ignoredError sqref="K24" formula="1"/>
    <ignoredError sqref="G30 M6:O9 M11:O11 V25:X30 S21:T22 S26:S29 U35 I36" unlockedFormula="1"/>
    <ignoredError sqref="J16:M16" formulaRange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firmas!$A$36:$A$39</xm:f>
          </x14:formula1>
          <xm:sqref>I35:O35</xm:sqref>
        </x14:dataValidation>
        <x14:dataValidation type="list" allowBlank="1" showInputMessage="1" showErrorMessage="1">
          <x14:formula1>
            <xm:f>firmas!$A$31:$A$33</xm:f>
          </x14:formula1>
          <xm:sqref>A35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BE184"/>
  <sheetViews>
    <sheetView showGridLines="0" view="pageBreakPreview" zoomScaleSheetLayoutView="100" workbookViewId="0">
      <selection activeCell="E8" sqref="E8:J8"/>
    </sheetView>
  </sheetViews>
  <sheetFormatPr baseColWidth="10" defaultRowHeight="12.75" x14ac:dyDescent="0.2"/>
  <cols>
    <col min="1" max="1" width="6.42578125" style="11" customWidth="1"/>
    <col min="2" max="2" width="7" style="11" customWidth="1"/>
    <col min="3" max="3" width="6" style="11" customWidth="1"/>
    <col min="4" max="4" width="5.140625" style="11" customWidth="1"/>
    <col min="5" max="5" width="6.140625" style="11" customWidth="1"/>
    <col min="6" max="6" width="5.140625" style="11" customWidth="1"/>
    <col min="7" max="7" width="3.7109375" style="11" customWidth="1"/>
    <col min="8" max="8" width="7.85546875" style="11" customWidth="1"/>
    <col min="9" max="9" width="4.7109375" style="11" customWidth="1"/>
    <col min="10" max="10" width="7.42578125" style="11" customWidth="1"/>
    <col min="11" max="11" width="8.28515625" style="11" customWidth="1"/>
    <col min="12" max="12" width="9.5703125" style="11" customWidth="1"/>
    <col min="13" max="13" width="7.7109375" style="11" customWidth="1"/>
    <col min="14" max="14" width="6.140625" style="11" customWidth="1"/>
    <col min="15" max="15" width="6" style="11" customWidth="1"/>
    <col min="16" max="16" width="11" style="11" customWidth="1"/>
    <col min="17" max="17" width="22.140625" style="11" customWidth="1"/>
    <col min="18" max="18" width="17.140625" style="11" customWidth="1"/>
    <col min="19" max="23" width="11.42578125" style="11"/>
    <col min="24" max="24" width="6.28515625" style="453" customWidth="1"/>
    <col min="25" max="25" width="10.7109375" style="11" customWidth="1"/>
    <col min="26" max="26" width="18.85546875" style="11" customWidth="1"/>
    <col min="27" max="16384" width="11.42578125" style="11"/>
  </cols>
  <sheetData>
    <row r="1" spans="1:52" ht="15" customHeight="1" thickTop="1" thickBot="1" x14ac:dyDescent="0.35">
      <c r="A1" s="1479"/>
      <c r="B1" s="1480"/>
      <c r="C1" s="1481"/>
      <c r="D1" s="1488" t="s">
        <v>26</v>
      </c>
      <c r="E1" s="1489"/>
      <c r="F1" s="1489"/>
      <c r="G1" s="1489"/>
      <c r="H1" s="1489"/>
      <c r="I1" s="1489"/>
      <c r="J1" s="1489"/>
      <c r="K1" s="1489"/>
      <c r="L1" s="1489"/>
      <c r="M1" s="1489"/>
      <c r="N1" s="1489"/>
      <c r="O1" s="1490"/>
      <c r="P1" s="561"/>
      <c r="Q1" s="540"/>
      <c r="R1" s="540"/>
      <c r="S1" s="540"/>
      <c r="T1" s="540"/>
      <c r="U1" s="540"/>
      <c r="V1" s="540"/>
      <c r="W1" s="540"/>
      <c r="X1" s="540"/>
      <c r="Y1" s="540"/>
      <c r="Z1" s="265"/>
      <c r="AA1" s="1471" t="s">
        <v>313</v>
      </c>
      <c r="AB1" s="1472"/>
      <c r="AC1" s="265"/>
      <c r="AD1" s="1473" t="s">
        <v>231</v>
      </c>
      <c r="AE1" s="1473"/>
      <c r="AF1" s="1473"/>
      <c r="AG1" s="1473"/>
      <c r="AH1" s="1473"/>
      <c r="AI1" s="1473"/>
      <c r="AJ1" s="1473"/>
      <c r="AK1" s="1473"/>
      <c r="AL1" s="1473"/>
      <c r="AM1" s="1473"/>
      <c r="AN1" s="1473"/>
      <c r="AO1" s="1473"/>
      <c r="AP1" s="1473"/>
      <c r="AQ1" s="1473"/>
      <c r="AR1" s="1473"/>
      <c r="AS1" s="1473"/>
      <c r="AT1" s="1473"/>
      <c r="AU1" s="1473"/>
      <c r="AV1" s="1473"/>
      <c r="AW1" s="265"/>
      <c r="AX1" s="265"/>
      <c r="AY1" s="265"/>
      <c r="AZ1" s="265"/>
    </row>
    <row r="2" spans="1:52" ht="15" customHeight="1" thickTop="1" x14ac:dyDescent="0.2">
      <c r="A2" s="1482"/>
      <c r="B2" s="1483"/>
      <c r="C2" s="1484"/>
      <c r="D2" s="1491" t="s">
        <v>329</v>
      </c>
      <c r="E2" s="1492"/>
      <c r="F2" s="1492"/>
      <c r="G2" s="1492"/>
      <c r="H2" s="1492"/>
      <c r="I2" s="1492"/>
      <c r="J2" s="1492"/>
      <c r="K2" s="1492"/>
      <c r="L2" s="1492"/>
      <c r="M2" s="1492"/>
      <c r="N2" s="1492"/>
      <c r="O2" s="1493"/>
      <c r="P2" s="562"/>
      <c r="Q2" s="1446" t="s">
        <v>286</v>
      </c>
      <c r="R2" s="1411"/>
      <c r="S2" s="1411"/>
      <c r="T2" s="1411"/>
      <c r="U2" s="1411"/>
      <c r="V2" s="1411"/>
      <c r="W2" s="1411"/>
      <c r="X2" s="1411"/>
      <c r="Y2" s="1412"/>
      <c r="Z2" s="265"/>
      <c r="AA2" s="376" t="s">
        <v>27</v>
      </c>
      <c r="AB2" s="377" t="s">
        <v>28</v>
      </c>
      <c r="AD2" s="184"/>
      <c r="AE2" s="185"/>
      <c r="AF2" s="185"/>
      <c r="AG2" s="186"/>
      <c r="AH2" s="186"/>
      <c r="AI2" s="186"/>
      <c r="AJ2" s="187"/>
      <c r="AK2" s="187"/>
      <c r="AL2" s="187"/>
      <c r="AM2" s="187"/>
      <c r="AN2" s="187"/>
      <c r="AO2" s="187"/>
      <c r="AP2" s="187"/>
      <c r="AQ2" s="187"/>
      <c r="AR2" s="187"/>
      <c r="AS2" s="188"/>
      <c r="AT2" s="188"/>
      <c r="AU2" s="188"/>
      <c r="AV2" s="189"/>
      <c r="AW2" s="265"/>
      <c r="AX2" s="265"/>
      <c r="AY2" s="265"/>
      <c r="AZ2" s="265"/>
    </row>
    <row r="3" spans="1:52" ht="15" customHeight="1" x14ac:dyDescent="0.2">
      <c r="A3" s="1482"/>
      <c r="B3" s="1483"/>
      <c r="C3" s="1484"/>
      <c r="D3" s="1494"/>
      <c r="E3" s="1495"/>
      <c r="F3" s="1495"/>
      <c r="G3" s="1495"/>
      <c r="H3" s="1495"/>
      <c r="I3" s="1495"/>
      <c r="J3" s="1495"/>
      <c r="K3" s="1495"/>
      <c r="L3" s="1495"/>
      <c r="M3" s="1495"/>
      <c r="N3" s="1495"/>
      <c r="O3" s="1496"/>
      <c r="P3" s="562"/>
      <c r="Q3" s="563"/>
      <c r="R3" s="564">
        <v>1</v>
      </c>
      <c r="S3" s="565" t="s">
        <v>123</v>
      </c>
      <c r="T3" s="566" t="s">
        <v>35</v>
      </c>
      <c r="U3" s="566"/>
      <c r="V3" s="510" t="s">
        <v>347</v>
      </c>
      <c r="W3" s="510" t="s">
        <v>346</v>
      </c>
      <c r="X3" s="529" t="s">
        <v>125</v>
      </c>
      <c r="Y3" s="567" t="s">
        <v>384</v>
      </c>
      <c r="Z3" s="265"/>
      <c r="AA3" s="369">
        <v>57.2</v>
      </c>
      <c r="AB3" s="370">
        <v>1.19</v>
      </c>
      <c r="AD3" s="192"/>
      <c r="AE3" s="285" t="s">
        <v>232</v>
      </c>
      <c r="AF3" s="285"/>
      <c r="AG3" s="285"/>
      <c r="AH3" s="285"/>
      <c r="AI3" s="285"/>
      <c r="AJ3" s="193"/>
      <c r="AK3" s="285" t="s">
        <v>233</v>
      </c>
      <c r="AL3" s="285"/>
      <c r="AM3" s="285"/>
      <c r="AN3" s="285"/>
      <c r="AO3" s="285"/>
      <c r="AP3" s="193"/>
      <c r="AQ3" s="285" t="s">
        <v>234</v>
      </c>
      <c r="AR3" s="285"/>
      <c r="AS3" s="285"/>
      <c r="AT3" s="285"/>
      <c r="AU3" s="285"/>
      <c r="AV3" s="194"/>
      <c r="AW3" s="265"/>
      <c r="AX3" s="265"/>
      <c r="AY3" s="265"/>
      <c r="AZ3" s="265"/>
    </row>
    <row r="4" spans="1:52" ht="14.1" customHeight="1" x14ac:dyDescent="0.2">
      <c r="A4" s="1482"/>
      <c r="B4" s="1483"/>
      <c r="C4" s="1484"/>
      <c r="D4" s="1400" t="s">
        <v>254</v>
      </c>
      <c r="E4" s="1401"/>
      <c r="F4" s="1401"/>
      <c r="G4" s="1401"/>
      <c r="H4" s="1401"/>
      <c r="I4" s="1401"/>
      <c r="J4" s="1401"/>
      <c r="K4" s="1401"/>
      <c r="L4" s="1402"/>
      <c r="M4" s="1400" t="s">
        <v>328</v>
      </c>
      <c r="N4" s="1401"/>
      <c r="O4" s="1402"/>
      <c r="P4" s="568"/>
      <c r="Q4" s="569"/>
      <c r="R4" s="570">
        <v>2</v>
      </c>
      <c r="S4" s="494"/>
      <c r="T4" s="494"/>
      <c r="U4" s="494"/>
      <c r="V4" s="467"/>
      <c r="W4" s="467"/>
      <c r="X4" s="494"/>
      <c r="Y4" s="774"/>
      <c r="Z4" s="265"/>
      <c r="AA4" s="371">
        <v>57.2</v>
      </c>
      <c r="AB4" s="372">
        <f t="shared" ref="AB4:AB18" si="0">+$AB$3+((AA5-$AA$3)*(($AB$19-$AB$3)/($AA$19-$AA$3)))</f>
        <v>1.1866666666666668</v>
      </c>
      <c r="AD4" s="192"/>
      <c r="AE4" s="195"/>
      <c r="AF4" s="196" t="s">
        <v>235</v>
      </c>
      <c r="AG4" s="197">
        <v>0.2</v>
      </c>
      <c r="AH4" s="198"/>
      <c r="AI4" s="198"/>
      <c r="AJ4" s="193"/>
      <c r="AK4" s="195"/>
      <c r="AL4" s="196" t="s">
        <v>235</v>
      </c>
      <c r="AM4" s="197">
        <v>0.2</v>
      </c>
      <c r="AN4" s="198"/>
      <c r="AO4" s="198"/>
      <c r="AP4" s="193"/>
      <c r="AQ4" s="195"/>
      <c r="AR4" s="196" t="s">
        <v>235</v>
      </c>
      <c r="AS4" s="197">
        <v>0.2</v>
      </c>
      <c r="AT4" s="198"/>
      <c r="AU4" s="198"/>
      <c r="AV4" s="194"/>
      <c r="AW4" s="265"/>
      <c r="AX4" s="265"/>
      <c r="AY4" s="265"/>
      <c r="AZ4" s="265"/>
    </row>
    <row r="5" spans="1:52" ht="14.1" customHeight="1" x14ac:dyDescent="0.2">
      <c r="A5" s="1485"/>
      <c r="B5" s="1486"/>
      <c r="C5" s="1487"/>
      <c r="D5" s="1400" t="s">
        <v>280</v>
      </c>
      <c r="E5" s="1401"/>
      <c r="F5" s="1401"/>
      <c r="G5" s="1401"/>
      <c r="H5" s="1401"/>
      <c r="I5" s="1401"/>
      <c r="J5" s="1401"/>
      <c r="K5" s="1401"/>
      <c r="L5" s="1401"/>
      <c r="M5" s="1401"/>
      <c r="N5" s="1401"/>
      <c r="O5" s="1402"/>
      <c r="P5" s="568"/>
      <c r="Q5" s="571" t="s">
        <v>107</v>
      </c>
      <c r="R5" s="570">
        <v>3</v>
      </c>
      <c r="S5" s="311">
        <v>2.6</v>
      </c>
      <c r="T5" s="311">
        <f>+(2.6*0.3939)+(2.6*0.6061)</f>
        <v>2.6</v>
      </c>
      <c r="U5" s="307"/>
      <c r="V5" s="307">
        <v>2.4060000000000001</v>
      </c>
      <c r="W5" s="311">
        <v>2.379</v>
      </c>
      <c r="X5" s="307">
        <v>2.54</v>
      </c>
      <c r="Y5" s="850">
        <f>+(2.62*0.2833)+(2.63*0.7167)</f>
        <v>2.627167</v>
      </c>
      <c r="Z5" s="265"/>
      <c r="AA5" s="371">
        <v>57.3</v>
      </c>
      <c r="AB5" s="372">
        <f t="shared" si="0"/>
        <v>1.1833333333333333</v>
      </c>
      <c r="AD5" s="192"/>
      <c r="AE5" s="195"/>
      <c r="AF5" s="199" t="s">
        <v>236</v>
      </c>
      <c r="AG5" s="199" t="s">
        <v>237</v>
      </c>
      <c r="AH5" s="199" t="s">
        <v>238</v>
      </c>
      <c r="AI5" s="199" t="s">
        <v>239</v>
      </c>
      <c r="AJ5" s="193"/>
      <c r="AK5" s="195"/>
      <c r="AL5" s="199" t="s">
        <v>236</v>
      </c>
      <c r="AM5" s="199" t="s">
        <v>237</v>
      </c>
      <c r="AN5" s="199" t="s">
        <v>238</v>
      </c>
      <c r="AO5" s="199" t="s">
        <v>239</v>
      </c>
      <c r="AP5" s="193"/>
      <c r="AQ5" s="195"/>
      <c r="AR5" s="199" t="s">
        <v>236</v>
      </c>
      <c r="AS5" s="199" t="s">
        <v>237</v>
      </c>
      <c r="AT5" s="199" t="s">
        <v>238</v>
      </c>
      <c r="AU5" s="199" t="s">
        <v>239</v>
      </c>
      <c r="AV5" s="194"/>
      <c r="AW5" s="265"/>
      <c r="AX5" s="265"/>
      <c r="AY5" s="265"/>
      <c r="AZ5" s="265"/>
    </row>
    <row r="6" spans="1:52" ht="14.1" customHeight="1" x14ac:dyDescent="0.2">
      <c r="A6" s="892" t="s">
        <v>41</v>
      </c>
      <c r="B6" s="885"/>
      <c r="C6" s="885"/>
      <c r="E6" s="1308" t="str">
        <f>+IF(Resumen!E6="","",Resumen!E6)</f>
        <v/>
      </c>
      <c r="F6" s="1308"/>
      <c r="G6" s="1308"/>
      <c r="H6" s="1308"/>
      <c r="I6" s="1308"/>
      <c r="J6" s="1308"/>
      <c r="K6" s="885" t="s">
        <v>59</v>
      </c>
      <c r="L6" s="885"/>
      <c r="M6" s="1025" t="str">
        <f>+IF(Resumen!M6="","",Resumen!M6)</f>
        <v/>
      </c>
      <c r="N6" s="1025"/>
      <c r="O6" s="1192"/>
      <c r="P6" s="572"/>
      <c r="Q6" s="571" t="s">
        <v>108</v>
      </c>
      <c r="R6" s="570">
        <v>4</v>
      </c>
      <c r="S6" s="311">
        <f>+(2.56*0.7662)+(2.48*0.2338)</f>
        <v>2.541296</v>
      </c>
      <c r="T6" s="311">
        <f>+(2.56*0.7313)+(2.48*0.2687)</f>
        <v>2.5385040000000001</v>
      </c>
      <c r="U6" s="307"/>
      <c r="V6" s="307">
        <v>2.5329999999999999</v>
      </c>
      <c r="W6" s="307">
        <v>2.4820000000000002</v>
      </c>
      <c r="X6" s="307">
        <v>2.41</v>
      </c>
      <c r="Y6" s="850">
        <f>+(2.59)</f>
        <v>2.59</v>
      </c>
      <c r="Z6" s="265"/>
      <c r="AA6" s="371">
        <v>57.4</v>
      </c>
      <c r="AB6" s="372">
        <f t="shared" si="0"/>
        <v>1.18</v>
      </c>
      <c r="AD6" s="192"/>
      <c r="AE6" s="195"/>
      <c r="AF6" s="202">
        <f>R15/$AG$4</f>
        <v>0</v>
      </c>
      <c r="AG6" s="202">
        <f>S15/$AG$4</f>
        <v>0</v>
      </c>
      <c r="AH6" s="202">
        <f>T15/$AG$4</f>
        <v>0</v>
      </c>
      <c r="AI6" s="202">
        <f>U15/$AG$4</f>
        <v>0</v>
      </c>
      <c r="AJ6" s="193"/>
      <c r="AK6" s="195"/>
      <c r="AL6" s="202">
        <f>R16/$AM$4</f>
        <v>0</v>
      </c>
      <c r="AM6" s="202">
        <f>S16/$AM$4</f>
        <v>0</v>
      </c>
      <c r="AN6" s="202">
        <f>T16/$AM$4</f>
        <v>0</v>
      </c>
      <c r="AO6" s="202">
        <f>U16/$AM$4</f>
        <v>0</v>
      </c>
      <c r="AP6" s="193"/>
      <c r="AQ6" s="195"/>
      <c r="AR6" s="202">
        <f>R17/$AS$4</f>
        <v>0</v>
      </c>
      <c r="AS6" s="202">
        <f>S17/$AS$4</f>
        <v>0</v>
      </c>
      <c r="AT6" s="202">
        <f>T17/$AS$4</f>
        <v>0</v>
      </c>
      <c r="AU6" s="202">
        <f>U17/$AS$4</f>
        <v>0</v>
      </c>
      <c r="AV6" s="194"/>
      <c r="AW6" s="265"/>
      <c r="AX6" s="265"/>
      <c r="AY6" s="265"/>
      <c r="AZ6" s="265"/>
    </row>
    <row r="7" spans="1:52" ht="14.1" customHeight="1" x14ac:dyDescent="0.2">
      <c r="A7" s="893" t="s">
        <v>42</v>
      </c>
      <c r="B7" s="894"/>
      <c r="C7" s="894"/>
      <c r="E7" s="1286" t="str">
        <f>+IF(Resumen!E7="","",Resumen!E7)</f>
        <v/>
      </c>
      <c r="F7" s="1286"/>
      <c r="G7" s="1286"/>
      <c r="H7" s="1286"/>
      <c r="I7" s="1286"/>
      <c r="J7" s="1286"/>
      <c r="K7" s="887" t="s">
        <v>47</v>
      </c>
      <c r="L7" s="887"/>
      <c r="M7" s="1193" t="str">
        <f>+IF(Resumen!M7="","",Resumen!M7)</f>
        <v/>
      </c>
      <c r="N7" s="1193"/>
      <c r="O7" s="1194"/>
      <c r="P7" s="572"/>
      <c r="Q7" s="571"/>
      <c r="R7" s="570">
        <v>5</v>
      </c>
      <c r="S7" s="307"/>
      <c r="T7" s="307"/>
      <c r="U7" s="307"/>
      <c r="V7" s="307"/>
      <c r="W7" s="307"/>
      <c r="X7" s="307"/>
      <c r="Y7" s="775"/>
      <c r="Z7" s="265"/>
      <c r="AA7" s="371">
        <v>57.5</v>
      </c>
      <c r="AB7" s="372">
        <f t="shared" si="0"/>
        <v>1.1766666666666667</v>
      </c>
      <c r="AD7" s="203"/>
      <c r="AE7" s="204">
        <v>1</v>
      </c>
      <c r="AF7" s="197" t="e">
        <f>ABS(MID(AF6,SEARCH(",",AF6,1),2))</f>
        <v>#VALUE!</v>
      </c>
      <c r="AG7" s="197" t="e">
        <f>ABS(MID(AG6,SEARCH(",",AG6,1),2))</f>
        <v>#VALUE!</v>
      </c>
      <c r="AH7" s="197" t="e">
        <f>ABS(MID(AH6,SEARCH(",",AH6,1),2))</f>
        <v>#VALUE!</v>
      </c>
      <c r="AI7" s="197" t="e">
        <f>ABS(MID(AI6,SEARCH(",",AI6,1),2))</f>
        <v>#VALUE!</v>
      </c>
      <c r="AJ7" s="193"/>
      <c r="AK7" s="204">
        <v>1</v>
      </c>
      <c r="AL7" s="197" t="e">
        <f>ABS(MID(AL6,SEARCH(",",AL6,1),2))</f>
        <v>#VALUE!</v>
      </c>
      <c r="AM7" s="197" t="e">
        <f>ABS(MID(AM6,SEARCH(",",AM6,1),2))</f>
        <v>#VALUE!</v>
      </c>
      <c r="AN7" s="197" t="e">
        <f>ABS(MID(AN6,SEARCH(",",AN6,1),2))</f>
        <v>#VALUE!</v>
      </c>
      <c r="AO7" s="197" t="e">
        <f>ABS(MID(AO6,SEARCH(",",AO6,1),2))</f>
        <v>#VALUE!</v>
      </c>
      <c r="AP7" s="193"/>
      <c r="AQ7" s="204">
        <v>1</v>
      </c>
      <c r="AR7" s="197" t="e">
        <f>ABS(MID(AR6,SEARCH(",",AR6,1),2))</f>
        <v>#VALUE!</v>
      </c>
      <c r="AS7" s="197" t="e">
        <f>ABS(MID(AS6,SEARCH(",",AS6,1),2))</f>
        <v>#VALUE!</v>
      </c>
      <c r="AT7" s="197" t="e">
        <f>ABS(MID(AT6,SEARCH(",",AT6,1),2))</f>
        <v>#VALUE!</v>
      </c>
      <c r="AU7" s="197" t="e">
        <f>ABS(MID(AU6,SEARCH(",",AU6,1),2))</f>
        <v>#VALUE!</v>
      </c>
      <c r="AV7" s="194"/>
      <c r="AW7" s="265"/>
      <c r="AX7" s="265"/>
      <c r="AY7" s="265"/>
      <c r="AZ7" s="265"/>
    </row>
    <row r="8" spans="1:52" ht="14.1" customHeight="1" x14ac:dyDescent="0.2">
      <c r="A8" s="1016" t="s">
        <v>56</v>
      </c>
      <c r="B8" s="1017"/>
      <c r="C8" s="1017"/>
      <c r="D8" s="1017"/>
      <c r="E8" s="1286" t="str">
        <f>+IF(Resumen!E8="","",Resumen!E8)</f>
        <v/>
      </c>
      <c r="F8" s="1286"/>
      <c r="G8" s="1286"/>
      <c r="H8" s="1286"/>
      <c r="I8" s="1286"/>
      <c r="J8" s="1286"/>
      <c r="K8" s="887" t="s">
        <v>60</v>
      </c>
      <c r="L8" s="887"/>
      <c r="M8" s="1174" t="str">
        <f>+IF(Resumen!M8="","",Resumen!M8)</f>
        <v/>
      </c>
      <c r="N8" s="1174"/>
      <c r="O8" s="1175"/>
      <c r="P8" s="573"/>
      <c r="Q8" s="571" t="s">
        <v>109</v>
      </c>
      <c r="R8" s="570">
        <v>6</v>
      </c>
      <c r="S8" s="795">
        <v>2.67</v>
      </c>
      <c r="T8" s="795">
        <v>2.67</v>
      </c>
      <c r="U8" s="307"/>
      <c r="V8" s="307">
        <v>2.677</v>
      </c>
      <c r="W8" s="307">
        <v>2.72</v>
      </c>
      <c r="X8" s="307">
        <v>2.67</v>
      </c>
      <c r="Y8" s="851">
        <v>2.3940000000000001</v>
      </c>
      <c r="Z8" s="265"/>
      <c r="AA8" s="371">
        <v>57.6</v>
      </c>
      <c r="AB8" s="372">
        <f t="shared" si="0"/>
        <v>1.1733333333333333</v>
      </c>
      <c r="AD8" s="203"/>
      <c r="AE8" s="204">
        <v>2</v>
      </c>
      <c r="AF8" s="197" t="e">
        <f>ABS(MID(AF6,SEARCH(",",AF6,1),3))</f>
        <v>#VALUE!</v>
      </c>
      <c r="AG8" s="197" t="e">
        <f>ABS(MID(AG6,SEARCH(",",AG6,1),3))</f>
        <v>#VALUE!</v>
      </c>
      <c r="AH8" s="197" t="e">
        <f>ABS(MID(AH6,SEARCH(",",AH6,1),3))</f>
        <v>#VALUE!</v>
      </c>
      <c r="AI8" s="197" t="e">
        <f>ABS(MID(AI6,SEARCH(",",AI6,1),3))</f>
        <v>#VALUE!</v>
      </c>
      <c r="AJ8" s="193"/>
      <c r="AK8" s="204">
        <v>2</v>
      </c>
      <c r="AL8" s="197" t="e">
        <f>ABS(MID(AL6,SEARCH(",",AL6,1),3))</f>
        <v>#VALUE!</v>
      </c>
      <c r="AM8" s="197" t="e">
        <f>ABS(MID(AM6,SEARCH(",",AM6,1),3))</f>
        <v>#VALUE!</v>
      </c>
      <c r="AN8" s="197" t="e">
        <f>ABS(MID(AN6,SEARCH(",",AN6,1),3))</f>
        <v>#VALUE!</v>
      </c>
      <c r="AO8" s="197" t="e">
        <f>ABS(MID(AO6,SEARCH(",",AO6,1),3))</f>
        <v>#VALUE!</v>
      </c>
      <c r="AP8" s="193"/>
      <c r="AQ8" s="204">
        <v>2</v>
      </c>
      <c r="AR8" s="197" t="e">
        <f>ABS(MID(AR6,SEARCH(",",AR6,1),3))</f>
        <v>#VALUE!</v>
      </c>
      <c r="AS8" s="197" t="e">
        <f>ABS(MID(AS6,SEARCH(",",AS6,1),3))</f>
        <v>#VALUE!</v>
      </c>
      <c r="AT8" s="197" t="e">
        <f>ABS(MID(AT6,SEARCH(",",AT6,1),3))</f>
        <v>#VALUE!</v>
      </c>
      <c r="AU8" s="197" t="e">
        <f>ABS(MID(AU6,SEARCH(",",AU6,1),3))</f>
        <v>#VALUE!</v>
      </c>
      <c r="AV8" s="194"/>
      <c r="AW8" s="265"/>
      <c r="AX8" s="265"/>
      <c r="AY8" s="265"/>
      <c r="AZ8" s="265"/>
    </row>
    <row r="9" spans="1:52" ht="14.1" customHeight="1" x14ac:dyDescent="0.2">
      <c r="A9" s="1021" t="s">
        <v>387</v>
      </c>
      <c r="B9" s="1022"/>
      <c r="C9" s="1022"/>
      <c r="D9" s="1022"/>
      <c r="E9" s="1193" t="str">
        <f>+IF(Resumen!E9="","",Resumen!E9)</f>
        <v/>
      </c>
      <c r="F9" s="1193"/>
      <c r="G9" s="1193"/>
      <c r="H9" s="1193"/>
      <c r="I9" s="1193"/>
      <c r="J9" s="1193"/>
      <c r="K9" s="887" t="s">
        <v>61</v>
      </c>
      <c r="L9" s="887"/>
      <c r="M9" s="1174" t="str">
        <f>+IF(Resumen!M9="","",Resumen!M9)</f>
        <v/>
      </c>
      <c r="N9" s="1174"/>
      <c r="O9" s="1175"/>
      <c r="P9" s="573"/>
      <c r="Q9" s="571" t="s">
        <v>75</v>
      </c>
      <c r="R9" s="570">
        <v>7</v>
      </c>
      <c r="S9" s="795">
        <v>1.0209999999999999</v>
      </c>
      <c r="T9" s="795">
        <v>1.0209999999999999</v>
      </c>
      <c r="U9" s="307"/>
      <c r="V9" s="307">
        <v>1.0249999999999999</v>
      </c>
      <c r="W9" s="307">
        <v>1.0209999999999999</v>
      </c>
      <c r="X9" s="307">
        <v>1.0229999999999999</v>
      </c>
      <c r="Y9" s="851">
        <v>1.0229999999999999</v>
      </c>
      <c r="Z9" s="265"/>
      <c r="AA9" s="371">
        <v>57.7</v>
      </c>
      <c r="AB9" s="372">
        <f t="shared" si="0"/>
        <v>1.1700000000000002</v>
      </c>
      <c r="AD9" s="205"/>
      <c r="AE9" s="199">
        <v>3</v>
      </c>
      <c r="AF9" s="206">
        <f>TRUNC(AF6,0)</f>
        <v>0</v>
      </c>
      <c r="AG9" s="206">
        <f>TRUNC(AG6,0)</f>
        <v>0</v>
      </c>
      <c r="AH9" s="206">
        <f>TRUNC(AH6,0)</f>
        <v>0</v>
      </c>
      <c r="AI9" s="206">
        <f>TRUNC(AI6,0)</f>
        <v>0</v>
      </c>
      <c r="AJ9" s="193"/>
      <c r="AK9" s="199">
        <v>3</v>
      </c>
      <c r="AL9" s="206">
        <f>TRUNC(AL6,0)</f>
        <v>0</v>
      </c>
      <c r="AM9" s="206">
        <f>TRUNC(AM6,0)</f>
        <v>0</v>
      </c>
      <c r="AN9" s="206">
        <f>TRUNC(AN6,0)</f>
        <v>0</v>
      </c>
      <c r="AO9" s="206">
        <f>TRUNC(AO6,0)</f>
        <v>0</v>
      </c>
      <c r="AP9" s="193"/>
      <c r="AQ9" s="199">
        <v>3</v>
      </c>
      <c r="AR9" s="206">
        <f>TRUNC(AR6,0)</f>
        <v>0</v>
      </c>
      <c r="AS9" s="206">
        <f>TRUNC(AS6,0)</f>
        <v>0</v>
      </c>
      <c r="AT9" s="206">
        <f>TRUNC(AT6,0)</f>
        <v>0</v>
      </c>
      <c r="AU9" s="206">
        <f>TRUNC(AU6,0)</f>
        <v>0</v>
      </c>
      <c r="AV9" s="194"/>
      <c r="AW9" s="265"/>
      <c r="AX9" s="265"/>
      <c r="AY9" s="265"/>
      <c r="AZ9" s="265"/>
    </row>
    <row r="10" spans="1:52" ht="14.1" customHeight="1" thickBot="1" x14ac:dyDescent="0.25">
      <c r="A10" s="895" t="s">
        <v>196</v>
      </c>
      <c r="B10" s="887"/>
      <c r="C10" s="887"/>
      <c r="E10" s="1286" t="str">
        <f>+IF(Resumen!E10="","",Resumen!E10)</f>
        <v/>
      </c>
      <c r="F10" s="1286"/>
      <c r="G10" s="1286"/>
      <c r="H10" s="1286"/>
      <c r="I10" s="1286"/>
      <c r="J10" s="1286"/>
      <c r="K10" s="887" t="s">
        <v>53</v>
      </c>
      <c r="L10" s="887"/>
      <c r="M10" s="1019"/>
      <c r="N10" s="1019"/>
      <c r="O10" s="1020"/>
      <c r="P10" s="573"/>
      <c r="Q10" s="574" t="s">
        <v>287</v>
      </c>
      <c r="R10" s="575">
        <v>8</v>
      </c>
      <c r="S10" s="796" t="str">
        <f>+N36</f>
        <v/>
      </c>
      <c r="T10" s="796" t="str">
        <f>+N36</f>
        <v/>
      </c>
      <c r="U10" s="333"/>
      <c r="V10" s="333">
        <v>2.5379999999999998</v>
      </c>
      <c r="W10" s="333">
        <v>2.5449999999999999</v>
      </c>
      <c r="X10" s="333">
        <v>2.488</v>
      </c>
      <c r="Y10" s="776">
        <v>2.3039999999999998</v>
      </c>
      <c r="Z10" s="265"/>
      <c r="AA10" s="371">
        <v>57.8</v>
      </c>
      <c r="AB10" s="372">
        <f t="shared" si="0"/>
        <v>1.1666666666666667</v>
      </c>
      <c r="AD10" s="205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194"/>
      <c r="AW10" s="265"/>
      <c r="AX10" s="265"/>
      <c r="AY10" s="265"/>
      <c r="AZ10" s="265"/>
    </row>
    <row r="11" spans="1:52" ht="15" customHeight="1" thickTop="1" x14ac:dyDescent="0.2">
      <c r="A11" s="895" t="s">
        <v>91</v>
      </c>
      <c r="B11" s="887"/>
      <c r="C11" s="887"/>
      <c r="E11" s="1195" t="str">
        <f>+IF(Resumen!E11="","",Resumen!E11)</f>
        <v/>
      </c>
      <c r="F11" s="1195"/>
      <c r="G11" s="1195"/>
      <c r="H11" s="1195"/>
      <c r="I11" s="1195"/>
      <c r="J11" s="1195"/>
      <c r="K11" s="1191" t="s">
        <v>164</v>
      </c>
      <c r="L11" s="1191"/>
      <c r="M11" s="1174" t="str">
        <f>+IF(Resumen!M11="","",Resumen!M11)</f>
        <v/>
      </c>
      <c r="N11" s="1174"/>
      <c r="O11" s="1175"/>
      <c r="P11" s="576"/>
      <c r="Q11" s="577"/>
      <c r="R11" s="578"/>
      <c r="S11" s="578"/>
      <c r="T11" s="578"/>
      <c r="U11" s="578"/>
      <c r="V11" s="578"/>
      <c r="W11" s="579"/>
      <c r="X11" s="579"/>
      <c r="Y11" s="579"/>
      <c r="Z11" s="265"/>
      <c r="AA11" s="371">
        <v>57.9</v>
      </c>
      <c r="AB11" s="372">
        <f t="shared" si="0"/>
        <v>1.1633333333333333</v>
      </c>
      <c r="AD11" s="205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194"/>
      <c r="AW11" s="265"/>
      <c r="AX11" s="265"/>
      <c r="AY11" s="265"/>
      <c r="AZ11" s="265"/>
    </row>
    <row r="12" spans="1:52" ht="15" customHeight="1" x14ac:dyDescent="0.2">
      <c r="A12" s="896"/>
      <c r="B12" s="897"/>
      <c r="C12" s="897"/>
      <c r="D12" s="1433"/>
      <c r="E12" s="1433"/>
      <c r="F12" s="1433"/>
      <c r="G12" s="1433"/>
      <c r="H12" s="1433"/>
      <c r="I12" s="1433"/>
      <c r="J12" s="1433"/>
      <c r="K12" s="889" t="s">
        <v>163</v>
      </c>
      <c r="L12" s="891"/>
      <c r="M12" s="1018"/>
      <c r="N12" s="1018"/>
      <c r="O12" s="1028"/>
      <c r="P12" s="576"/>
      <c r="Q12" s="577"/>
      <c r="R12" s="580"/>
      <c r="S12" s="580"/>
      <c r="T12" s="580"/>
      <c r="U12" s="580"/>
      <c r="V12" s="580"/>
      <c r="W12" s="580"/>
      <c r="X12" s="580"/>
      <c r="Y12" s="580"/>
      <c r="Z12" s="265"/>
      <c r="AA12" s="371">
        <v>58</v>
      </c>
      <c r="AB12" s="372">
        <f t="shared" si="0"/>
        <v>1.1599999999999999</v>
      </c>
      <c r="AD12" s="207"/>
      <c r="AE12" s="199">
        <v>4</v>
      </c>
      <c r="AF12" s="202" t="e">
        <f>ABS(AF8-AF7)</f>
        <v>#VALUE!</v>
      </c>
      <c r="AG12" s="202" t="e">
        <f>ABS(AG8-AG7)</f>
        <v>#VALUE!</v>
      </c>
      <c r="AH12" s="202" t="e">
        <f>ABS(AH8-AH7)</f>
        <v>#VALUE!</v>
      </c>
      <c r="AI12" s="202" t="e">
        <f>ABS(AI8-AI7)</f>
        <v>#VALUE!</v>
      </c>
      <c r="AJ12" s="208"/>
      <c r="AK12" s="199">
        <v>4</v>
      </c>
      <c r="AL12" s="202" t="e">
        <f>ABS(AL8-AL7)</f>
        <v>#VALUE!</v>
      </c>
      <c r="AM12" s="202" t="e">
        <f>ABS(AM8-AM7)</f>
        <v>#VALUE!</v>
      </c>
      <c r="AN12" s="202" t="e">
        <f>ABS(AN8-AN7)</f>
        <v>#VALUE!</v>
      </c>
      <c r="AO12" s="202" t="e">
        <f>ABS(AO8-AO7)</f>
        <v>#VALUE!</v>
      </c>
      <c r="AP12" s="208"/>
      <c r="AQ12" s="199">
        <v>4</v>
      </c>
      <c r="AR12" s="202" t="e">
        <f>ABS(AR8-AR7)</f>
        <v>#VALUE!</v>
      </c>
      <c r="AS12" s="202" t="e">
        <f>ABS(AS8-AS7)</f>
        <v>#VALUE!</v>
      </c>
      <c r="AT12" s="202" t="e">
        <f>ABS(AT8-AT7)</f>
        <v>#VALUE!</v>
      </c>
      <c r="AU12" s="202" t="e">
        <f>ABS(AU8-AU7)</f>
        <v>#VALUE!</v>
      </c>
      <c r="AV12" s="209"/>
      <c r="AW12" s="265"/>
      <c r="AX12" s="265"/>
      <c r="AY12" s="265"/>
      <c r="AZ12" s="265"/>
    </row>
    <row r="13" spans="1:52" ht="15" customHeight="1" thickBot="1" x14ac:dyDescent="0.25">
      <c r="A13" s="1462" t="s">
        <v>255</v>
      </c>
      <c r="B13" s="1463"/>
      <c r="C13" s="1463"/>
      <c r="D13" s="1463"/>
      <c r="E13" s="1463"/>
      <c r="F13" s="1463"/>
      <c r="G13" s="1463"/>
      <c r="H13" s="1463"/>
      <c r="I13" s="1463"/>
      <c r="J13" s="1463"/>
      <c r="K13" s="1463"/>
      <c r="L13" s="1463"/>
      <c r="M13" s="1463"/>
      <c r="N13" s="1463"/>
      <c r="O13" s="1464"/>
      <c r="P13" s="1465"/>
      <c r="Q13" s="382"/>
      <c r="R13" s="382"/>
      <c r="S13" s="382"/>
      <c r="T13" s="382"/>
      <c r="U13" s="581"/>
      <c r="V13" s="581"/>
      <c r="W13" s="581"/>
      <c r="X13" s="581"/>
      <c r="Y13" s="581"/>
      <c r="Z13" s="356"/>
      <c r="AA13" s="371">
        <v>58.1</v>
      </c>
      <c r="AB13" s="372">
        <f t="shared" si="0"/>
        <v>1.1566666666666665</v>
      </c>
      <c r="AD13" s="207"/>
      <c r="AE13" s="199"/>
      <c r="AF13" s="202"/>
      <c r="AG13" s="202"/>
      <c r="AH13" s="202"/>
      <c r="AI13" s="202"/>
      <c r="AJ13" s="208"/>
      <c r="AK13" s="199"/>
      <c r="AL13" s="202"/>
      <c r="AM13" s="202"/>
      <c r="AN13" s="202"/>
      <c r="AO13" s="202"/>
      <c r="AP13" s="208"/>
      <c r="AQ13" s="199"/>
      <c r="AR13" s="202"/>
      <c r="AS13" s="202"/>
      <c r="AT13" s="202"/>
      <c r="AU13" s="202"/>
      <c r="AV13" s="209"/>
      <c r="AW13" s="265"/>
      <c r="AX13" s="265"/>
      <c r="AY13" s="265"/>
      <c r="AZ13" s="265"/>
    </row>
    <row r="14" spans="1:52" ht="20.100000000000001" customHeight="1" thickTop="1" x14ac:dyDescent="0.2">
      <c r="A14" s="1466" t="s">
        <v>323</v>
      </c>
      <c r="B14" s="1467"/>
      <c r="C14" s="1467"/>
      <c r="D14" s="1467"/>
      <c r="E14" s="1467"/>
      <c r="F14" s="1467"/>
      <c r="G14" s="1467"/>
      <c r="H14" s="1468" t="s">
        <v>6</v>
      </c>
      <c r="I14" s="1468"/>
      <c r="J14" s="877">
        <v>1</v>
      </c>
      <c r="K14" s="877">
        <v>2</v>
      </c>
      <c r="L14" s="877">
        <v>3</v>
      </c>
      <c r="M14" s="877">
        <v>4</v>
      </c>
      <c r="N14" s="878"/>
      <c r="O14" s="879"/>
      <c r="P14" s="1465"/>
      <c r="Q14" s="847" t="s">
        <v>315</v>
      </c>
      <c r="R14" s="842">
        <v>1</v>
      </c>
      <c r="S14" s="842">
        <v>2</v>
      </c>
      <c r="T14" s="842">
        <v>3</v>
      </c>
      <c r="U14" s="843">
        <v>4</v>
      </c>
      <c r="V14" s="382"/>
      <c r="W14" s="382"/>
      <c r="X14" s="580"/>
      <c r="Y14" s="580"/>
      <c r="Z14" s="358"/>
      <c r="AA14" s="371">
        <v>58.2</v>
      </c>
      <c r="AB14" s="372">
        <f t="shared" si="0"/>
        <v>1.1533333333333335</v>
      </c>
      <c r="AD14" s="192"/>
      <c r="AE14" s="199">
        <v>5</v>
      </c>
      <c r="AF14" s="202" t="e">
        <f>IF(AF12&gt;0,AF9+1,IF(AND(AF12=0,ISODD(AF7*10)),AF9+1,AF9))</f>
        <v>#VALUE!</v>
      </c>
      <c r="AG14" s="202" t="e">
        <f>IF(AG12&gt;0,AG9+1,IF(AND(AG12=0,ISODD(AG7*10)),AG9+1,AG9))</f>
        <v>#VALUE!</v>
      </c>
      <c r="AH14" s="202" t="e">
        <f>IF(AH12&gt;0,AH9+1,IF(AND(AH12=0,ISODD(AH7*10)),AH9+1,AH9))</f>
        <v>#VALUE!</v>
      </c>
      <c r="AI14" s="202" t="e">
        <f>IF(AI12&gt;0,AI9+1,IF(AND(AI12=0,ISODD(AI7*10)),AI9+1,AI9))</f>
        <v>#VALUE!</v>
      </c>
      <c r="AJ14" s="195"/>
      <c r="AK14" s="199">
        <v>5</v>
      </c>
      <c r="AL14" s="202" t="e">
        <f>IF(AL12&gt;0,AL9+1,IF(AND(AL12=0,ISODD(AL7*10)),AL9+1,AL9))</f>
        <v>#VALUE!</v>
      </c>
      <c r="AM14" s="202" t="e">
        <f>IF(AM12&gt;0,AM9+1,IF(AND(AM12=0,ISODD(AM7*10)),AM9+1,AM9))</f>
        <v>#VALUE!</v>
      </c>
      <c r="AN14" s="202" t="e">
        <f>IF(AN12&gt;0,AN9+1,IF(AND(AN12=0,ISODD(AN7*10)),AN9+1,AN9))</f>
        <v>#VALUE!</v>
      </c>
      <c r="AO14" s="202" t="e">
        <f>IF(AO12&gt;0,AO9+1,IF(AND(AO12=0,ISODD(AO7*10)),AO9+1,AO9))</f>
        <v>#VALUE!</v>
      </c>
      <c r="AP14" s="195"/>
      <c r="AQ14" s="199">
        <v>5</v>
      </c>
      <c r="AR14" s="202" t="e">
        <f>IF(AR12&gt;0,AR9+1,IF(AND(AR12=0,ISODD(AR7*10)),AR9+1,AR9))</f>
        <v>#VALUE!</v>
      </c>
      <c r="AS14" s="202" t="e">
        <f>IF(AS12&gt;0,AS9+1,IF(AND(AS12=0,ISODD(AS7*10)),AS9+1,AS9))</f>
        <v>#VALUE!</v>
      </c>
      <c r="AT14" s="202" t="e">
        <f>IF(AT12&gt;0,AT9+1,IF(AND(AT12=0,ISODD(AT7*10)),AT9+1,AT9))</f>
        <v>#VALUE!</v>
      </c>
      <c r="AU14" s="202" t="e">
        <f>IF(AU12&gt;0,AU9+1,IF(AND(AU12=0,ISODD(AU7*10)),AU9+1,AU9))</f>
        <v>#VALUE!</v>
      </c>
      <c r="AV14" s="210"/>
    </row>
    <row r="15" spans="1:52" ht="20.100000000000001" customHeight="1" x14ac:dyDescent="0.2">
      <c r="A15" s="1430" t="s">
        <v>256</v>
      </c>
      <c r="B15" s="1431"/>
      <c r="C15" s="1431"/>
      <c r="D15" s="1431"/>
      <c r="E15" s="1431"/>
      <c r="F15" s="1431"/>
      <c r="G15" s="1431"/>
      <c r="H15" s="1432" t="s">
        <v>64</v>
      </c>
      <c r="I15" s="1432"/>
      <c r="J15" s="880" t="str">
        <f>+IF($R$15="","",AF17)</f>
        <v/>
      </c>
      <c r="K15" s="880" t="str">
        <f>+IF($S$15="","",AG17)</f>
        <v/>
      </c>
      <c r="L15" s="880" t="str">
        <f>+IF($T$15="","",AH17)</f>
        <v/>
      </c>
      <c r="M15" s="880" t="str">
        <f>+IF($U$15="","",AI17)</f>
        <v/>
      </c>
      <c r="N15" s="550"/>
      <c r="O15" s="881"/>
      <c r="P15" s="582"/>
      <c r="Q15" s="379" t="s">
        <v>256</v>
      </c>
      <c r="R15" s="583"/>
      <c r="S15" s="583"/>
      <c r="T15" s="583"/>
      <c r="U15" s="584"/>
      <c r="V15" s="382"/>
      <c r="W15" s="382"/>
      <c r="X15" s="585"/>
      <c r="Y15" s="585"/>
      <c r="Z15" s="350"/>
      <c r="AA15" s="371">
        <v>58.3</v>
      </c>
      <c r="AB15" s="372">
        <f t="shared" si="0"/>
        <v>1.1500000000000001</v>
      </c>
      <c r="AD15" s="192"/>
      <c r="AE15" s="199">
        <v>6</v>
      </c>
      <c r="AF15" s="202" t="e">
        <f>IF(AF7&lt;0.5,AF9,IF(AF7&gt;0.5,AF9+1,AF14))</f>
        <v>#VALUE!</v>
      </c>
      <c r="AG15" s="202" t="e">
        <f>IF(AG7&lt;0.5,AG9,IF(AG7&gt;0.5,AG9+1,AG14))</f>
        <v>#VALUE!</v>
      </c>
      <c r="AH15" s="202" t="e">
        <f>IF(AH7&lt;0.5,AH9,IF(AH7&gt;0.5,AH9+1,AH14))</f>
        <v>#VALUE!</v>
      </c>
      <c r="AI15" s="202" t="e">
        <f>IF(AI7&lt;0.5,AI9,IF(AI7&gt;0.5,AI9+1,AI14))</f>
        <v>#VALUE!</v>
      </c>
      <c r="AJ15" s="195"/>
      <c r="AK15" s="199">
        <v>6</v>
      </c>
      <c r="AL15" s="202" t="e">
        <f>IF(AL7&lt;0.5,AL9,IF(AL7&gt;0.5,AL9+1,AL14))</f>
        <v>#VALUE!</v>
      </c>
      <c r="AM15" s="202" t="e">
        <f>IF(AM7&lt;0.5,AM9,IF(AM7&gt;0.5,AM9+1,AM14))</f>
        <v>#VALUE!</v>
      </c>
      <c r="AN15" s="202" t="e">
        <f>IF(AN7&lt;0.5,AN9,IF(AN7&gt;0.5,AN9+1,AN14))</f>
        <v>#VALUE!</v>
      </c>
      <c r="AO15" s="202" t="e">
        <f>IF(AO7&lt;0.5,AO9,IF(AO7&gt;0.5,AO9+1,AO14))</f>
        <v>#VALUE!</v>
      </c>
      <c r="AP15" s="195"/>
      <c r="AQ15" s="199">
        <v>6</v>
      </c>
      <c r="AR15" s="202" t="e">
        <f>IF(AR7&lt;0.5,AR9,IF(AR7&gt;0.5,AR9+1,AR14))</f>
        <v>#VALUE!</v>
      </c>
      <c r="AS15" s="202" t="e">
        <f>IF(AS7&lt;0.5,AS9,IF(AS7&gt;0.5,AS9+1,AS14))</f>
        <v>#VALUE!</v>
      </c>
      <c r="AT15" s="202" t="e">
        <f>IF(AT7&lt;0.5,AT9,IF(AT7&gt;0.5,AT9+1,AT14))</f>
        <v>#VALUE!</v>
      </c>
      <c r="AU15" s="202" t="e">
        <f>IF(AU7&lt;0.5,AU9,IF(AU7&gt;0.5,AU9+1,AU14))</f>
        <v>#VALUE!</v>
      </c>
      <c r="AV15" s="210"/>
    </row>
    <row r="16" spans="1:52" ht="20.100000000000001" customHeight="1" x14ac:dyDescent="0.2">
      <c r="A16" s="1505" t="s">
        <v>257</v>
      </c>
      <c r="B16" s="1506"/>
      <c r="C16" s="1506"/>
      <c r="D16" s="1506"/>
      <c r="E16" s="1506"/>
      <c r="F16" s="1506"/>
      <c r="G16" s="1506"/>
      <c r="H16" s="1507" t="s">
        <v>64</v>
      </c>
      <c r="I16" s="1507"/>
      <c r="J16" s="880" t="str">
        <f>IF($R$16="","",AL17)</f>
        <v/>
      </c>
      <c r="K16" s="880" t="str">
        <f>IF($S$16="","",AM17)</f>
        <v/>
      </c>
      <c r="L16" s="880" t="str">
        <f>IF($T$16="","",AN17)</f>
        <v/>
      </c>
      <c r="M16" s="880" t="str">
        <f>IF($U$16="","",AO17)</f>
        <v/>
      </c>
      <c r="N16" s="550"/>
      <c r="O16" s="881"/>
      <c r="P16" s="582"/>
      <c r="Q16" s="586" t="s">
        <v>257</v>
      </c>
      <c r="R16" s="583"/>
      <c r="S16" s="583"/>
      <c r="T16" s="583"/>
      <c r="U16" s="584"/>
      <c r="V16" s="382"/>
      <c r="W16" s="382"/>
      <c r="X16" s="585"/>
      <c r="Y16" s="585"/>
      <c r="Z16" s="350"/>
      <c r="AA16" s="371">
        <v>58.4</v>
      </c>
      <c r="AB16" s="372">
        <f t="shared" si="0"/>
        <v>1.1466666666666667</v>
      </c>
      <c r="AD16" s="192"/>
      <c r="AE16" s="199">
        <v>7</v>
      </c>
      <c r="AF16" s="202">
        <f>IF(ISERROR(AF7),AF9,AF15)</f>
        <v>0</v>
      </c>
      <c r="AG16" s="202">
        <f>IF(ISERROR(AG7),AG9,AG15)</f>
        <v>0</v>
      </c>
      <c r="AH16" s="202">
        <f>IF(ISERROR(AH7),AH9,AH15)</f>
        <v>0</v>
      </c>
      <c r="AI16" s="202">
        <f>IF(ISERROR(AI7),AI9,AI15)</f>
        <v>0</v>
      </c>
      <c r="AJ16" s="195"/>
      <c r="AK16" s="199">
        <v>7</v>
      </c>
      <c r="AL16" s="202">
        <f>IF(ISERROR(AL7),AL9,AL15)</f>
        <v>0</v>
      </c>
      <c r="AM16" s="202">
        <f>IF(ISERROR(AM7),AM9,AM15)</f>
        <v>0</v>
      </c>
      <c r="AN16" s="202">
        <f>IF(ISERROR(AN7),AN9,AN15)</f>
        <v>0</v>
      </c>
      <c r="AO16" s="202">
        <f>IF(ISERROR(AO7),AO9,AO15)</f>
        <v>0</v>
      </c>
      <c r="AP16" s="195"/>
      <c r="AQ16" s="199">
        <v>7</v>
      </c>
      <c r="AR16" s="202">
        <f>IF(ISERROR(AR7),AR9,AR15)</f>
        <v>0</v>
      </c>
      <c r="AS16" s="202">
        <f>IF(ISERROR(AS7),AS9,AS15)</f>
        <v>0</v>
      </c>
      <c r="AT16" s="202">
        <f>IF(ISERROR(AT7),AT9,AT15)</f>
        <v>0</v>
      </c>
      <c r="AU16" s="202">
        <f>IF(ISERROR(AU7),AU9,AU15)</f>
        <v>0</v>
      </c>
      <c r="AV16" s="210"/>
    </row>
    <row r="17" spans="1:57" ht="20.100000000000001" customHeight="1" thickBot="1" x14ac:dyDescent="0.25">
      <c r="A17" s="1505" t="s">
        <v>314</v>
      </c>
      <c r="B17" s="1506"/>
      <c r="C17" s="1506"/>
      <c r="D17" s="1506"/>
      <c r="E17" s="1506"/>
      <c r="F17" s="1506"/>
      <c r="G17" s="1506"/>
      <c r="H17" s="1507" t="s">
        <v>64</v>
      </c>
      <c r="I17" s="1507"/>
      <c r="J17" s="880" t="str">
        <f>IF($R$17="","",AR17)</f>
        <v/>
      </c>
      <c r="K17" s="880" t="str">
        <f>IF($S$17="","",AS17)</f>
        <v/>
      </c>
      <c r="L17" s="880" t="str">
        <f>IF($T$17="","",AT17)</f>
        <v/>
      </c>
      <c r="M17" s="880" t="str">
        <f>IF($U$17="","",AU17)</f>
        <v/>
      </c>
      <c r="N17" s="1501" t="s">
        <v>5</v>
      </c>
      <c r="O17" s="1502"/>
      <c r="P17" s="582"/>
      <c r="Q17" s="587" t="s">
        <v>314</v>
      </c>
      <c r="R17" s="588"/>
      <c r="S17" s="588"/>
      <c r="T17" s="588"/>
      <c r="U17" s="589"/>
      <c r="V17" s="382"/>
      <c r="W17" s="382"/>
      <c r="X17" s="585"/>
      <c r="Y17" s="585"/>
      <c r="Z17" s="350"/>
      <c r="AA17" s="371">
        <v>58.5</v>
      </c>
      <c r="AB17" s="372">
        <f t="shared" si="0"/>
        <v>1.1433333333333333</v>
      </c>
      <c r="AD17" s="192"/>
      <c r="AE17" s="199">
        <v>8</v>
      </c>
      <c r="AF17" s="199">
        <f>AF16*$AG$4</f>
        <v>0</v>
      </c>
      <c r="AG17" s="199">
        <f>AG16*$AG$4</f>
        <v>0</v>
      </c>
      <c r="AH17" s="199">
        <f>AH16*$AG$4</f>
        <v>0</v>
      </c>
      <c r="AI17" s="199">
        <f>AI16*$AG$4</f>
        <v>0</v>
      </c>
      <c r="AJ17" s="195"/>
      <c r="AK17" s="199">
        <v>8</v>
      </c>
      <c r="AL17" s="199">
        <f>AL16*$AM$4</f>
        <v>0</v>
      </c>
      <c r="AM17" s="199">
        <f>AM16*$AM$4</f>
        <v>0</v>
      </c>
      <c r="AN17" s="199">
        <f>AN16*$AM$4</f>
        <v>0</v>
      </c>
      <c r="AO17" s="199">
        <f>AO16*$AM$4</f>
        <v>0</v>
      </c>
      <c r="AP17" s="195"/>
      <c r="AQ17" s="199">
        <v>8</v>
      </c>
      <c r="AR17" s="199">
        <f>AR16*$AS$4</f>
        <v>0</v>
      </c>
      <c r="AS17" s="199">
        <f>AS16*$AS$4</f>
        <v>0</v>
      </c>
      <c r="AT17" s="199">
        <f>AT16*$AS$4</f>
        <v>0</v>
      </c>
      <c r="AU17" s="199">
        <f>AU16*$AS$4</f>
        <v>0</v>
      </c>
      <c r="AV17" s="210"/>
    </row>
    <row r="18" spans="1:57" ht="24.95" customHeight="1" thickTop="1" thickBot="1" x14ac:dyDescent="0.25">
      <c r="A18" s="1361" t="s">
        <v>140</v>
      </c>
      <c r="B18" s="1362"/>
      <c r="C18" s="1362"/>
      <c r="D18" s="1362"/>
      <c r="E18" s="1362"/>
      <c r="F18" s="1362"/>
      <c r="G18" s="1362"/>
      <c r="H18" s="1356"/>
      <c r="I18" s="1356"/>
      <c r="J18" s="874" t="str">
        <f>IF(R19="","",'733 - 735'!J22)</f>
        <v/>
      </c>
      <c r="K18" s="874" t="str">
        <f>IF(S19="","",'733 - 735'!K22)</f>
        <v/>
      </c>
      <c r="L18" s="874" t="str">
        <f>IF(T19="","",'733 - 735'!L22)</f>
        <v/>
      </c>
      <c r="M18" s="874" t="str">
        <f>IF(U19="","",'733 - 735'!M22)</f>
        <v/>
      </c>
      <c r="N18" s="1450" t="str">
        <f>IF(J18="","",+AVERAGE(J18:M18))</f>
        <v/>
      </c>
      <c r="O18" s="1451"/>
      <c r="P18" s="590"/>
      <c r="Q18" s="466"/>
      <c r="R18" s="846">
        <v>1</v>
      </c>
      <c r="S18" s="846">
        <v>2</v>
      </c>
      <c r="T18" s="846">
        <v>3</v>
      </c>
      <c r="U18" s="846">
        <v>4</v>
      </c>
      <c r="V18" s="456"/>
      <c r="W18" s="456"/>
      <c r="X18" s="456"/>
      <c r="Y18" s="456"/>
      <c r="Z18" s="2"/>
      <c r="AA18" s="371">
        <v>58.6</v>
      </c>
      <c r="AB18" s="372">
        <f t="shared" si="0"/>
        <v>1.1399999999999999</v>
      </c>
      <c r="AD18" s="192"/>
      <c r="AE18" s="195"/>
      <c r="AF18" s="195"/>
      <c r="AG18" s="195"/>
      <c r="AH18" s="195"/>
      <c r="AI18" s="195"/>
      <c r="AJ18" s="195"/>
      <c r="AK18" s="195"/>
      <c r="AL18" s="195"/>
      <c r="AM18" s="195"/>
      <c r="AN18" s="195"/>
      <c r="AO18" s="195"/>
      <c r="AP18" s="195"/>
      <c r="AQ18" s="195"/>
      <c r="AR18" s="195"/>
      <c r="AS18" s="211"/>
      <c r="AT18" s="211"/>
      <c r="AU18" s="211"/>
      <c r="AV18" s="210"/>
      <c r="BE18" s="18"/>
    </row>
    <row r="19" spans="1:57" ht="20.100000000000001" customHeight="1" thickTop="1" thickBot="1" x14ac:dyDescent="0.25">
      <c r="A19" s="1508" t="s">
        <v>258</v>
      </c>
      <c r="B19" s="1509"/>
      <c r="C19" s="1509"/>
      <c r="D19" s="1509"/>
      <c r="E19" s="1509"/>
      <c r="F19" s="1509"/>
      <c r="G19" s="1509"/>
      <c r="H19" s="1432" t="s">
        <v>11</v>
      </c>
      <c r="I19" s="1432"/>
      <c r="J19" s="882" t="str">
        <f>IF($R$19="","",AF30)</f>
        <v/>
      </c>
      <c r="K19" s="882" t="str">
        <f>IF($S$19="","",AG30)</f>
        <v/>
      </c>
      <c r="L19" s="882" t="str">
        <f>IF($T$19="","",AH30)</f>
        <v/>
      </c>
      <c r="M19" s="882" t="str">
        <f>IF($U$19="","",AI30)</f>
        <v/>
      </c>
      <c r="N19" s="550"/>
      <c r="O19" s="881"/>
      <c r="P19" s="582"/>
      <c r="Q19" s="591" t="s">
        <v>316</v>
      </c>
      <c r="R19" s="592" t="str">
        <f>+IF('733 - 735'!J15="","",'733 - 735'!J15)</f>
        <v/>
      </c>
      <c r="S19" s="592" t="str">
        <f>+IF('733 - 735'!K15="","",'733 - 735'!K15)</f>
        <v/>
      </c>
      <c r="T19" s="592" t="str">
        <f>+IF('733 - 735'!L15="","",'733 - 735'!L15)</f>
        <v/>
      </c>
      <c r="U19" s="592" t="str">
        <f>+IF('733 - 735'!M15="","",'733 - 735'!M15)</f>
        <v/>
      </c>
      <c r="V19" s="382"/>
      <c r="W19" s="382"/>
      <c r="X19" s="593"/>
      <c r="Y19" s="593"/>
      <c r="Z19" s="351"/>
      <c r="AA19" s="369">
        <v>58.7</v>
      </c>
      <c r="AB19" s="370">
        <v>1.1399999999999999</v>
      </c>
      <c r="AD19" s="192"/>
      <c r="AE19" s="285" t="s">
        <v>240</v>
      </c>
      <c r="AF19" s="285"/>
      <c r="AG19" s="285"/>
      <c r="AH19" s="285"/>
      <c r="AI19" s="285"/>
      <c r="AJ19" s="195"/>
      <c r="AK19" s="285" t="s">
        <v>241</v>
      </c>
      <c r="AL19" s="285"/>
      <c r="AM19" s="285"/>
      <c r="AN19" s="285"/>
      <c r="AO19" s="285"/>
      <c r="AP19" s="195"/>
      <c r="AQ19" s="195"/>
      <c r="AR19" s="195"/>
      <c r="AS19" s="211"/>
      <c r="AT19" s="211"/>
      <c r="AU19" s="211"/>
      <c r="AV19" s="210"/>
    </row>
    <row r="20" spans="1:57" ht="20.100000000000001" customHeight="1" thickTop="1" thickBot="1" x14ac:dyDescent="0.25">
      <c r="A20" s="1444" t="s">
        <v>259</v>
      </c>
      <c r="B20" s="1445"/>
      <c r="C20" s="1445"/>
      <c r="D20" s="1445"/>
      <c r="E20" s="1445"/>
      <c r="F20" s="1445"/>
      <c r="G20" s="1445"/>
      <c r="H20" s="1424" t="s">
        <v>260</v>
      </c>
      <c r="I20" s="1424"/>
      <c r="J20" s="814"/>
      <c r="K20" s="814"/>
      <c r="L20" s="814"/>
      <c r="M20" s="814"/>
      <c r="N20" s="381"/>
      <c r="O20" s="815"/>
      <c r="P20" s="582"/>
      <c r="Q20" s="382"/>
      <c r="R20" s="382"/>
      <c r="S20" s="382"/>
      <c r="T20" s="382"/>
      <c r="U20" s="382"/>
      <c r="V20" s="382"/>
      <c r="W20" s="382"/>
      <c r="X20" s="579"/>
      <c r="Y20" s="579"/>
      <c r="Z20" s="352"/>
      <c r="AA20" s="371">
        <v>58.8</v>
      </c>
      <c r="AB20" s="372">
        <f t="shared" ref="AB20:AB34" si="1">+$AB$19+((AA21-$AA$19)*(($AB$35-$AB$19)/($AA$35-$AA$19)))</f>
        <v>1.13375</v>
      </c>
      <c r="AD20" s="192"/>
      <c r="AE20" s="195"/>
      <c r="AF20" s="196" t="s">
        <v>235</v>
      </c>
      <c r="AG20" s="197">
        <v>0.25</v>
      </c>
      <c r="AH20" s="198"/>
      <c r="AI20" s="198"/>
      <c r="AJ20" s="195"/>
      <c r="AK20" s="195"/>
      <c r="AL20" s="196" t="s">
        <v>235</v>
      </c>
      <c r="AM20" s="197">
        <v>50</v>
      </c>
      <c r="AN20" s="198"/>
      <c r="AO20" s="198"/>
      <c r="AP20" s="195"/>
      <c r="AQ20" s="195"/>
      <c r="AR20" s="195"/>
      <c r="AS20" s="211"/>
      <c r="AT20" s="211"/>
      <c r="AU20" s="211"/>
      <c r="AV20" s="210"/>
    </row>
    <row r="21" spans="1:57" ht="20.100000000000001" customHeight="1" thickTop="1" x14ac:dyDescent="0.2">
      <c r="A21" s="1444" t="s">
        <v>261</v>
      </c>
      <c r="B21" s="1445"/>
      <c r="C21" s="1445"/>
      <c r="D21" s="1445"/>
      <c r="E21" s="1445"/>
      <c r="F21" s="1445"/>
      <c r="G21" s="1445"/>
      <c r="H21" s="1500" t="s">
        <v>262</v>
      </c>
      <c r="I21" s="1500"/>
      <c r="J21" s="883" t="str">
        <f>+IF($J$20="","",VLOOKUP(R19,$AA$2:$AB$104,2))</f>
        <v/>
      </c>
      <c r="K21" s="883" t="str">
        <f>+IF($K$20="","",VLOOKUP(S19,$AA$2:$AB$104,2))</f>
        <v/>
      </c>
      <c r="L21" s="883" t="str">
        <f>+IF($L$20="","",VLOOKUP(T19,$AA$2:$AB$104,2))</f>
        <v/>
      </c>
      <c r="M21" s="883" t="str">
        <f>+IF($M$20="","",VLOOKUP(U19,$AA$2:$AB$104,2))</f>
        <v/>
      </c>
      <c r="N21" s="467"/>
      <c r="O21" s="473"/>
      <c r="P21" s="582"/>
      <c r="Q21" s="1477" t="s">
        <v>398</v>
      </c>
      <c r="R21" s="1478"/>
      <c r="S21" s="382"/>
      <c r="T21" s="382"/>
      <c r="U21" s="382"/>
      <c r="V21" s="382"/>
      <c r="W21" s="382"/>
      <c r="X21" s="456"/>
      <c r="Y21" s="456"/>
      <c r="Z21" s="353"/>
      <c r="AA21" s="371">
        <v>58.9</v>
      </c>
      <c r="AB21" s="372">
        <f t="shared" si="1"/>
        <v>1.130625</v>
      </c>
      <c r="AD21" s="192"/>
      <c r="AE21" s="195"/>
      <c r="AF21" s="199" t="s">
        <v>236</v>
      </c>
      <c r="AG21" s="199" t="s">
        <v>237</v>
      </c>
      <c r="AH21" s="199" t="s">
        <v>238</v>
      </c>
      <c r="AI21" s="199" t="s">
        <v>239</v>
      </c>
      <c r="AJ21" s="195"/>
      <c r="AK21" s="195"/>
      <c r="AL21" s="199" t="s">
        <v>236</v>
      </c>
      <c r="AM21" s="199" t="s">
        <v>237</v>
      </c>
      <c r="AN21" s="199" t="s">
        <v>238</v>
      </c>
      <c r="AO21" s="199" t="s">
        <v>239</v>
      </c>
      <c r="AP21" s="199" t="s">
        <v>242</v>
      </c>
      <c r="AQ21" s="195"/>
      <c r="AR21" s="195"/>
      <c r="AS21" s="211"/>
      <c r="AT21" s="211"/>
      <c r="AU21" s="211"/>
      <c r="AV21" s="210"/>
    </row>
    <row r="22" spans="1:57" ht="20.100000000000001" hidden="1" customHeight="1" x14ac:dyDescent="0.2">
      <c r="A22" s="1434" t="s">
        <v>263</v>
      </c>
      <c r="B22" s="1435"/>
      <c r="C22" s="1435"/>
      <c r="D22" s="1435"/>
      <c r="E22" s="1435"/>
      <c r="F22" s="1435"/>
      <c r="G22" s="1435"/>
      <c r="H22" s="1436" t="s">
        <v>175</v>
      </c>
      <c r="I22" s="1436"/>
      <c r="J22" s="816" t="str">
        <f>IF(OR(J20="",J21=""),"",+(J20*J21))</f>
        <v/>
      </c>
      <c r="K22" s="816" t="str">
        <f>IF(OR(K20="",K21=""),"",+(K20*K21))</f>
        <v/>
      </c>
      <c r="L22" s="816" t="str">
        <f>IF(OR(L20="",L21=""),"",+(L20*L21))</f>
        <v/>
      </c>
      <c r="M22" s="816" t="str">
        <f>IF(OR(M20="",M21=""),"",+(M20*M21))</f>
        <v/>
      </c>
      <c r="N22" s="1503" t="str">
        <f>+IF(J22="","",AVERAGE(J22:M22))</f>
        <v/>
      </c>
      <c r="O22" s="1504"/>
      <c r="P22" s="582"/>
      <c r="Q22" s="594" t="s">
        <v>82</v>
      </c>
      <c r="R22" s="595" t="str">
        <f>IF(W29="","",+(W28)*S36/(F37*100))</f>
        <v/>
      </c>
      <c r="S22" s="466"/>
      <c r="T22" s="466"/>
      <c r="U22" s="467"/>
      <c r="V22" s="382"/>
      <c r="W22" s="382"/>
      <c r="X22" s="382"/>
      <c r="Y22" s="382"/>
      <c r="Z22" s="348"/>
      <c r="AA22" s="371">
        <v>59</v>
      </c>
      <c r="AB22" s="372">
        <f t="shared" si="1"/>
        <v>1.1274999999999999</v>
      </c>
      <c r="AD22" s="192"/>
      <c r="AE22" s="195"/>
      <c r="AF22" s="202" t="e">
        <f>R19/$AG$20</f>
        <v>#VALUE!</v>
      </c>
      <c r="AG22" s="202" t="e">
        <f>S19/$AG$20</f>
        <v>#VALUE!</v>
      </c>
      <c r="AH22" s="202" t="e">
        <f>T19/$AG$20</f>
        <v>#VALUE!</v>
      </c>
      <c r="AI22" s="202" t="e">
        <f>U19/$AG$20</f>
        <v>#VALUE!</v>
      </c>
      <c r="AJ22" s="195"/>
      <c r="AK22" s="195"/>
      <c r="AL22" s="206" t="e">
        <f>J23*2</f>
        <v>#VALUE!</v>
      </c>
      <c r="AM22" s="206" t="e">
        <f>K23*2</f>
        <v>#VALUE!</v>
      </c>
      <c r="AN22" s="206" t="e">
        <f>L23*2</f>
        <v>#VALUE!</v>
      </c>
      <c r="AO22" s="206" t="e">
        <f>M23*2</f>
        <v>#VALUE!</v>
      </c>
      <c r="AP22" s="206" t="e">
        <f>N23*2</f>
        <v>#VALUE!</v>
      </c>
      <c r="AQ22" s="195"/>
      <c r="AR22" s="195"/>
      <c r="AS22" s="211"/>
      <c r="AT22" s="211"/>
      <c r="AU22" s="211"/>
      <c r="AV22" s="210"/>
    </row>
    <row r="23" spans="1:57" ht="20.100000000000001" hidden="1" customHeight="1" x14ac:dyDescent="0.2">
      <c r="A23" s="1434" t="s">
        <v>264</v>
      </c>
      <c r="B23" s="1435"/>
      <c r="C23" s="1435"/>
      <c r="D23" s="1435"/>
      <c r="E23" s="1435"/>
      <c r="F23" s="1435"/>
      <c r="G23" s="1435"/>
      <c r="H23" s="1436" t="s">
        <v>177</v>
      </c>
      <c r="I23" s="1436"/>
      <c r="J23" s="817" t="str">
        <f>IF(J22="","",J22*1000)</f>
        <v/>
      </c>
      <c r="K23" s="817" t="str">
        <f>IF(K22="","",K22*1000)</f>
        <v/>
      </c>
      <c r="L23" s="817" t="str">
        <f>IF(L22="","",L22*1000)</f>
        <v/>
      </c>
      <c r="M23" s="817" t="str">
        <f>IF(M22="","",M22*1000)</f>
        <v/>
      </c>
      <c r="N23" s="1437" t="str">
        <f>IF(J23="","",AVERAGE(J23:M23))</f>
        <v/>
      </c>
      <c r="O23" s="1438"/>
      <c r="P23" s="582"/>
      <c r="Q23" s="594" t="s">
        <v>83</v>
      </c>
      <c r="R23" s="595" t="e">
        <f>+W33/N35</f>
        <v>#VALUE!</v>
      </c>
      <c r="S23" s="466"/>
      <c r="T23" s="466"/>
      <c r="U23" s="467"/>
      <c r="V23" s="382"/>
      <c r="W23" s="382"/>
      <c r="X23" s="382"/>
      <c r="Y23" s="382"/>
      <c r="Z23" s="355"/>
      <c r="AA23" s="371">
        <v>59.1</v>
      </c>
      <c r="AB23" s="372">
        <f t="shared" si="1"/>
        <v>1.1243749999999999</v>
      </c>
      <c r="AD23" s="192"/>
      <c r="AE23" s="204">
        <v>1</v>
      </c>
      <c r="AF23" s="197" t="e">
        <f>ABS(MID(AF22,SEARCH(",",AF22,1),2))</f>
        <v>#VALUE!</v>
      </c>
      <c r="AG23" s="197" t="e">
        <f>ABS(MID(AG22,SEARCH(",",AG22,1),2))</f>
        <v>#VALUE!</v>
      </c>
      <c r="AH23" s="197" t="e">
        <f>ABS(MID(AH22,SEARCH(",",AH22,1),2))</f>
        <v>#VALUE!</v>
      </c>
      <c r="AI23" s="197" t="e">
        <f>ABS(MID(AI22,SEARCH(",",AI22,1),2))</f>
        <v>#VALUE!</v>
      </c>
      <c r="AJ23" s="195"/>
      <c r="AK23" s="204">
        <v>1</v>
      </c>
      <c r="AL23" s="212" t="e">
        <f>ABS(MID(AL22,SEARCH("",AL22,4),3))</f>
        <v>#VALUE!</v>
      </c>
      <c r="AM23" s="212" t="e">
        <f t="shared" ref="AM23:AP23" si="2">ABS(MID(AM22,SEARCH("",AM22,4),3))</f>
        <v>#VALUE!</v>
      </c>
      <c r="AN23" s="212" t="e">
        <f t="shared" si="2"/>
        <v>#VALUE!</v>
      </c>
      <c r="AO23" s="212" t="e">
        <f t="shared" si="2"/>
        <v>#VALUE!</v>
      </c>
      <c r="AP23" s="212" t="e">
        <f t="shared" si="2"/>
        <v>#VALUE!</v>
      </c>
      <c r="AQ23" s="195"/>
      <c r="AR23" s="195"/>
      <c r="AS23" s="211"/>
      <c r="AT23" s="211"/>
      <c r="AU23" s="211"/>
      <c r="AV23" s="210"/>
    </row>
    <row r="24" spans="1:57" ht="20.100000000000001" customHeight="1" thickBot="1" x14ac:dyDescent="0.25">
      <c r="A24" s="1439" t="s">
        <v>263</v>
      </c>
      <c r="B24" s="1440"/>
      <c r="C24" s="1440"/>
      <c r="D24" s="1440"/>
      <c r="E24" s="1440"/>
      <c r="F24" s="1440"/>
      <c r="G24" s="1440"/>
      <c r="H24" s="1441" t="s">
        <v>177</v>
      </c>
      <c r="I24" s="1441"/>
      <c r="J24" s="875" t="str">
        <f>+IF($E$8="","",AL29)</f>
        <v/>
      </c>
      <c r="K24" s="875" t="str">
        <f>+IF($E$8="","",AM29)</f>
        <v/>
      </c>
      <c r="L24" s="875" t="str">
        <f>+IF($E$8="","",AN29)</f>
        <v/>
      </c>
      <c r="M24" s="875" t="str">
        <f>+IF($E$8="","",AO29)</f>
        <v/>
      </c>
      <c r="N24" s="1442" t="str">
        <f>+IF($E$8="","",AP29)</f>
        <v/>
      </c>
      <c r="O24" s="1443"/>
      <c r="P24" s="582"/>
      <c r="Q24" s="596" t="s">
        <v>321</v>
      </c>
      <c r="R24" s="597" t="str">
        <f>IF(E8="","",+R22/(R22+R23))</f>
        <v/>
      </c>
      <c r="S24" s="598"/>
      <c r="T24" s="599"/>
      <c r="U24" s="466"/>
      <c r="V24" s="382"/>
      <c r="W24" s="382"/>
      <c r="X24" s="382"/>
      <c r="Y24" s="382"/>
      <c r="Z24" s="352"/>
      <c r="AA24" s="371">
        <v>59.2</v>
      </c>
      <c r="AB24" s="372">
        <f t="shared" si="1"/>
        <v>1.1212500000000001</v>
      </c>
      <c r="AD24" s="192"/>
      <c r="AE24" s="204">
        <v>2</v>
      </c>
      <c r="AF24" s="197" t="e">
        <f>ABS(MID(AF22,SEARCH(",",AF22,1),3))</f>
        <v>#VALUE!</v>
      </c>
      <c r="AG24" s="197" t="e">
        <f>ABS(MID(AG22,SEARCH(",",AG22,1),3))</f>
        <v>#VALUE!</v>
      </c>
      <c r="AH24" s="197" t="e">
        <f>ABS(MID(AH22,SEARCH(",",AH22,1),3))</f>
        <v>#VALUE!</v>
      </c>
      <c r="AI24" s="197" t="e">
        <f>ABS(MID(AI22,SEARCH(",",AI22,1),3))</f>
        <v>#VALUE!</v>
      </c>
      <c r="AJ24" s="195"/>
      <c r="AK24" s="204">
        <v>2</v>
      </c>
      <c r="AL24" s="197" t="e">
        <f>ABS(MID(AL22,SEARCH("",AL22,3),4))</f>
        <v>#VALUE!</v>
      </c>
      <c r="AM24" s="197" t="e">
        <f t="shared" ref="AM24:AP24" si="3">ABS(MID(AM22,SEARCH("",AM22,3),4))</f>
        <v>#VALUE!</v>
      </c>
      <c r="AN24" s="197" t="e">
        <f t="shared" si="3"/>
        <v>#VALUE!</v>
      </c>
      <c r="AO24" s="197" t="e">
        <f t="shared" si="3"/>
        <v>#VALUE!</v>
      </c>
      <c r="AP24" s="197" t="e">
        <f t="shared" si="3"/>
        <v>#VALUE!</v>
      </c>
      <c r="AQ24" s="195"/>
      <c r="AR24" s="195"/>
      <c r="AS24" s="211"/>
      <c r="AT24" s="211"/>
      <c r="AU24" s="211"/>
      <c r="AV24" s="210"/>
    </row>
    <row r="25" spans="1:57" ht="20.100000000000001" customHeight="1" thickTop="1" thickBot="1" x14ac:dyDescent="0.25">
      <c r="A25" s="1444" t="s">
        <v>263</v>
      </c>
      <c r="B25" s="1445"/>
      <c r="C25" s="1445"/>
      <c r="D25" s="1445"/>
      <c r="E25" s="1445"/>
      <c r="F25" s="1445"/>
      <c r="G25" s="1445"/>
      <c r="H25" s="1424" t="s">
        <v>265</v>
      </c>
      <c r="I25" s="1424"/>
      <c r="J25" s="875" t="str">
        <f>IF(J22="","",J22*101.972)</f>
        <v/>
      </c>
      <c r="K25" s="875" t="str">
        <f>IF(K22="","",K22*101.972)</f>
        <v/>
      </c>
      <c r="L25" s="875" t="str">
        <f>IF(L22="","",L22*101.972)</f>
        <v/>
      </c>
      <c r="M25" s="875" t="str">
        <f>IF(M22="","",M22*101.972)</f>
        <v/>
      </c>
      <c r="N25" s="1425" t="str">
        <f>+IF(J25="","",AVERAGE(J25:M25))</f>
        <v/>
      </c>
      <c r="O25" s="1426"/>
      <c r="P25" s="582"/>
      <c r="Q25" s="598"/>
      <c r="R25" s="600"/>
      <c r="S25" s="598"/>
      <c r="T25" s="599"/>
      <c r="U25" s="466"/>
      <c r="V25" s="382"/>
      <c r="W25" s="382"/>
      <c r="X25" s="382"/>
      <c r="Y25" s="382"/>
      <c r="Z25" s="355"/>
      <c r="AA25" s="371">
        <v>59.3</v>
      </c>
      <c r="AB25" s="372">
        <f t="shared" si="1"/>
        <v>1.118125</v>
      </c>
      <c r="AD25" s="192"/>
      <c r="AE25" s="199">
        <v>3</v>
      </c>
      <c r="AF25" s="206" t="e">
        <f>TRUNC(AF22,0)</f>
        <v>#VALUE!</v>
      </c>
      <c r="AG25" s="206" t="e">
        <f>TRUNC(AG22,0)</f>
        <v>#VALUE!</v>
      </c>
      <c r="AH25" s="206" t="e">
        <f>TRUNC(AH22,0)</f>
        <v>#VALUE!</v>
      </c>
      <c r="AI25" s="206" t="e">
        <f>TRUNC(AI22,0)</f>
        <v>#VALUE!</v>
      </c>
      <c r="AJ25" s="195"/>
      <c r="AK25" s="199">
        <v>3</v>
      </c>
      <c r="AL25" s="213" t="e">
        <f>MID(AL22,1,5)</f>
        <v>#VALUE!</v>
      </c>
      <c r="AM25" s="213" t="e">
        <f t="shared" ref="AM25:AP25" si="4">MID(AM22,1,5)</f>
        <v>#VALUE!</v>
      </c>
      <c r="AN25" s="213" t="e">
        <f t="shared" si="4"/>
        <v>#VALUE!</v>
      </c>
      <c r="AO25" s="213" t="e">
        <f t="shared" si="4"/>
        <v>#VALUE!</v>
      </c>
      <c r="AP25" s="213" t="e">
        <f t="shared" si="4"/>
        <v>#VALUE!</v>
      </c>
      <c r="AQ25" s="195"/>
      <c r="AR25" s="195"/>
      <c r="AS25" s="211"/>
      <c r="AT25" s="211"/>
      <c r="AU25" s="211"/>
      <c r="AV25" s="210"/>
    </row>
    <row r="26" spans="1:57" ht="20.100000000000001" hidden="1" customHeight="1" thickBot="1" x14ac:dyDescent="0.25">
      <c r="A26" s="1427" t="s">
        <v>263</v>
      </c>
      <c r="B26" s="1428"/>
      <c r="C26" s="1428"/>
      <c r="D26" s="1428"/>
      <c r="E26" s="1428"/>
      <c r="F26" s="1428"/>
      <c r="G26" s="1428"/>
      <c r="H26" s="1429" t="s">
        <v>266</v>
      </c>
      <c r="I26" s="1429"/>
      <c r="J26" s="817" t="str">
        <f>+IF(D8="","",MROUND(J24*0.224809,10))</f>
        <v/>
      </c>
      <c r="K26" s="817" t="str">
        <f>+IF(D8="","",MROUND(K24*0.224809,10))</f>
        <v/>
      </c>
      <c r="L26" s="817" t="str">
        <f>+IF(D8="","",MROUND(L24*0.224809,10))</f>
        <v/>
      </c>
      <c r="M26" s="817" t="str">
        <f>+IF(D8="","",MROUND(M24*0.224809,10))</f>
        <v/>
      </c>
      <c r="N26" s="1437" t="str">
        <f>IF(J26="","",AVERAGE(J26:M26))</f>
        <v/>
      </c>
      <c r="O26" s="1438"/>
      <c r="P26" s="582"/>
      <c r="Q26" s="382"/>
      <c r="R26" s="382"/>
      <c r="S26" s="382"/>
      <c r="T26" s="382"/>
      <c r="U26" s="382"/>
      <c r="V26" s="382"/>
      <c r="W26" s="382"/>
      <c r="X26" s="382"/>
      <c r="Y26" s="382"/>
      <c r="Z26" s="354"/>
      <c r="AA26" s="371">
        <v>59.4</v>
      </c>
      <c r="AB26" s="372">
        <f t="shared" si="1"/>
        <v>1.115</v>
      </c>
      <c r="AD26" s="192"/>
      <c r="AE26" s="199">
        <v>4</v>
      </c>
      <c r="AF26" s="202" t="e">
        <f>ABS(AF24-AF23)</f>
        <v>#VALUE!</v>
      </c>
      <c r="AG26" s="202" t="e">
        <f>ABS(AG24-AG23)</f>
        <v>#VALUE!</v>
      </c>
      <c r="AH26" s="202" t="e">
        <f>ABS(AH24-AH23)</f>
        <v>#VALUE!</v>
      </c>
      <c r="AI26" s="202" t="e">
        <f>ABS(AI24-AI23)</f>
        <v>#VALUE!</v>
      </c>
      <c r="AJ26" s="195"/>
      <c r="AK26" s="199">
        <v>4</v>
      </c>
      <c r="AL26" s="214" t="e">
        <f>AL24-AL23</f>
        <v>#VALUE!</v>
      </c>
      <c r="AM26" s="214" t="e">
        <f t="shared" ref="AM26:AP27" si="5">AM24-AM23</f>
        <v>#VALUE!</v>
      </c>
      <c r="AN26" s="214" t="e">
        <f t="shared" si="5"/>
        <v>#VALUE!</v>
      </c>
      <c r="AO26" s="214" t="e">
        <f t="shared" si="5"/>
        <v>#VALUE!</v>
      </c>
      <c r="AP26" s="214" t="e">
        <f t="shared" si="5"/>
        <v>#VALUE!</v>
      </c>
      <c r="AQ26" s="195"/>
      <c r="AR26" s="195"/>
      <c r="AS26" s="211"/>
      <c r="AT26" s="211"/>
      <c r="AU26" s="211"/>
      <c r="AV26" s="210"/>
    </row>
    <row r="27" spans="1:57" ht="20.100000000000001" customHeight="1" thickTop="1" thickBot="1" x14ac:dyDescent="0.25">
      <c r="A27" s="1497" t="s">
        <v>267</v>
      </c>
      <c r="B27" s="1498"/>
      <c r="C27" s="1498"/>
      <c r="D27" s="1498"/>
      <c r="E27" s="1498"/>
      <c r="F27" s="1498"/>
      <c r="G27" s="1498"/>
      <c r="H27" s="1424" t="s">
        <v>268</v>
      </c>
      <c r="I27" s="1424"/>
      <c r="J27" s="346" t="str">
        <f>IF(J25="","",IF(J25&lt;(0.8*$N$25),"No Cumple","cumple"))</f>
        <v/>
      </c>
      <c r="K27" s="346" t="str">
        <f t="shared" ref="K27:M27" si="6">IF(K25="","",IF(K25&lt;(0.8*$N$25),"No Cumple","cumple"))</f>
        <v/>
      </c>
      <c r="L27" s="346" t="str">
        <f t="shared" si="6"/>
        <v/>
      </c>
      <c r="M27" s="346" t="str">
        <f t="shared" si="6"/>
        <v/>
      </c>
      <c r="N27" s="1425" t="str">
        <f>IF(J27="","",IF(OR(Q146&gt;1,R146&gt;0),"No cumple","Cumple"))</f>
        <v/>
      </c>
      <c r="O27" s="1499"/>
      <c r="P27" s="582"/>
      <c r="Q27" s="1447" t="s">
        <v>36</v>
      </c>
      <c r="R27" s="1448"/>
      <c r="S27" s="1448"/>
      <c r="T27" s="1448"/>
      <c r="U27" s="1448"/>
      <c r="V27" s="1448"/>
      <c r="W27" s="1449"/>
      <c r="X27" s="540"/>
      <c r="Y27" s="540"/>
      <c r="Z27" s="354"/>
      <c r="AA27" s="371">
        <v>59.5</v>
      </c>
      <c r="AB27" s="372">
        <f t="shared" si="1"/>
        <v>1.1118749999999999</v>
      </c>
      <c r="AD27" s="192"/>
      <c r="AE27" s="199">
        <v>5</v>
      </c>
      <c r="AF27" s="202" t="e">
        <f>IF(AF26&gt;0,AF25+1,IF(AND(AF26=0,ISODD(AF23*10)),AF25+1,AF25))</f>
        <v>#VALUE!</v>
      </c>
      <c r="AG27" s="202" t="e">
        <f>IF(AG26&gt;0,AG25+1,IF(AND(AG26=0,ISODD(AG23*10)),AG25+1,AG25))</f>
        <v>#VALUE!</v>
      </c>
      <c r="AH27" s="202" t="e">
        <f>IF(AH26&gt;0,AH25+1,IF(AND(AH26=0,ISODD(AH23*10)),AH25+1,AH25))</f>
        <v>#VALUE!</v>
      </c>
      <c r="AI27" s="202" t="e">
        <f>IF(AI26&gt;0,AI25+1,IF(AND(AI26=0,ISODD(AI23*10)),AI25+1,AI25))</f>
        <v>#VALUE!</v>
      </c>
      <c r="AJ27" s="195"/>
      <c r="AK27" s="199">
        <v>5</v>
      </c>
      <c r="AL27" s="206" t="e">
        <f>AL25-AL24</f>
        <v>#VALUE!</v>
      </c>
      <c r="AM27" s="206" t="e">
        <f t="shared" si="5"/>
        <v>#VALUE!</v>
      </c>
      <c r="AN27" s="206" t="e">
        <f t="shared" si="5"/>
        <v>#VALUE!</v>
      </c>
      <c r="AO27" s="206" t="e">
        <f t="shared" si="5"/>
        <v>#VALUE!</v>
      </c>
      <c r="AP27" s="206" t="e">
        <f t="shared" si="5"/>
        <v>#VALUE!</v>
      </c>
      <c r="AQ27" s="195"/>
      <c r="AR27" s="195"/>
      <c r="AS27" s="211"/>
      <c r="AT27" s="211"/>
      <c r="AU27" s="211"/>
      <c r="AV27" s="210"/>
    </row>
    <row r="28" spans="1:57" ht="20.100000000000001" customHeight="1" thickTop="1" x14ac:dyDescent="0.2">
      <c r="A28" s="1497"/>
      <c r="B28" s="1498"/>
      <c r="C28" s="1498"/>
      <c r="D28" s="1498"/>
      <c r="E28" s="1498"/>
      <c r="F28" s="1498"/>
      <c r="G28" s="1498"/>
      <c r="H28" s="1424" t="s">
        <v>269</v>
      </c>
      <c r="I28" s="1424"/>
      <c r="J28" s="346" t="str">
        <f>IF(J25="","",IF(J25&gt;(1.25*Resumen!$K$22),"No Cumple","cumple"))</f>
        <v/>
      </c>
      <c r="K28" s="346" t="str">
        <f>IF(K25="","",IF(K25&gt;(1.25*Resumen!$K$22),"No Cumple","cumple"))</f>
        <v/>
      </c>
      <c r="L28" s="346" t="str">
        <f>IF(L25="","",IF(L25&gt;(1.25*Resumen!$K$22),"No Cumple","cumple"))</f>
        <v/>
      </c>
      <c r="M28" s="346" t="str">
        <f>IF(M25="","",IF(M25&gt;(1.25*Resumen!$K$22),"No Cumple","cumple"))</f>
        <v/>
      </c>
      <c r="N28" s="1425"/>
      <c r="O28" s="1499"/>
      <c r="P28" s="582"/>
      <c r="Q28" s="601"/>
      <c r="R28" s="602" t="s">
        <v>37</v>
      </c>
      <c r="S28" s="602" t="s">
        <v>297</v>
      </c>
      <c r="T28" s="602" t="s">
        <v>296</v>
      </c>
      <c r="U28" s="602" t="s">
        <v>298</v>
      </c>
      <c r="V28" s="945" t="s">
        <v>318</v>
      </c>
      <c r="W28" s="603" t="str">
        <f>IF(W29="","",100-W29)</f>
        <v/>
      </c>
      <c r="X28" s="540"/>
      <c r="Y28" s="540"/>
      <c r="Z28" s="354"/>
      <c r="AA28" s="371">
        <v>59.6</v>
      </c>
      <c r="AB28" s="372">
        <f t="shared" si="1"/>
        <v>1.1087499999999999</v>
      </c>
      <c r="AD28" s="192"/>
      <c r="AE28" s="199">
        <v>6</v>
      </c>
      <c r="AF28" s="202" t="e">
        <f>IF(AF23&lt;0.5,AF25,IF(AF23&gt;0.5,AF25+1,AF27))</f>
        <v>#VALUE!</v>
      </c>
      <c r="AG28" s="202" t="e">
        <f>IF(AG23&lt;0.5,AG25,IF(AG23&gt;0.5,AG25+1,AG27))</f>
        <v>#VALUE!</v>
      </c>
      <c r="AH28" s="202" t="e">
        <f>IF(AH23&lt;0.5,AH25,IF(AH23&gt;0.5,AH25+1,AH27))</f>
        <v>#VALUE!</v>
      </c>
      <c r="AI28" s="202" t="e">
        <f>IF(AI23&lt;0.5,AI25,IF(AI23&gt;0.5,AI25+1,AI27))</f>
        <v>#VALUE!</v>
      </c>
      <c r="AJ28" s="195"/>
      <c r="AK28" s="199">
        <v>6</v>
      </c>
      <c r="AL28" s="202" t="e">
        <f>IF(AL23&lt;55,AL27+AL26,IF(AL23&gt;=55,AL27+AL26+100,"Prueba"))</f>
        <v>#VALUE!</v>
      </c>
      <c r="AM28" s="202" t="e">
        <f t="shared" ref="AM28:AP28" si="7">IF(AM23&lt;55,AM27+AM26,IF(AM23&gt;=55,AM27+AM26+100,"Prueba"))</f>
        <v>#VALUE!</v>
      </c>
      <c r="AN28" s="202" t="e">
        <f t="shared" si="7"/>
        <v>#VALUE!</v>
      </c>
      <c r="AO28" s="202" t="e">
        <f t="shared" si="7"/>
        <v>#VALUE!</v>
      </c>
      <c r="AP28" s="202" t="e">
        <f t="shared" si="7"/>
        <v>#VALUE!</v>
      </c>
      <c r="AQ28" s="195"/>
      <c r="AR28" s="195"/>
      <c r="AS28" s="211"/>
      <c r="AT28" s="211"/>
      <c r="AU28" s="211"/>
      <c r="AV28" s="210"/>
    </row>
    <row r="29" spans="1:57" ht="20.100000000000001" customHeight="1" x14ac:dyDescent="0.2">
      <c r="A29" s="1444" t="s">
        <v>317</v>
      </c>
      <c r="B29" s="1445"/>
      <c r="C29" s="1445"/>
      <c r="D29" s="1445"/>
      <c r="E29" s="1445"/>
      <c r="F29" s="1445"/>
      <c r="G29" s="1445"/>
      <c r="H29" s="1424" t="s">
        <v>270</v>
      </c>
      <c r="I29" s="1424"/>
      <c r="J29" s="814"/>
      <c r="K29" s="814"/>
      <c r="L29" s="814"/>
      <c r="M29" s="814"/>
      <c r="N29" s="1469" t="str">
        <f>+IF(J29="","",AVERAGE(J29:M29))</f>
        <v/>
      </c>
      <c r="O29" s="1470"/>
      <c r="P29" s="582"/>
      <c r="Q29" s="604"/>
      <c r="R29" s="605">
        <v>1</v>
      </c>
      <c r="S29" s="606">
        <v>1</v>
      </c>
      <c r="T29" s="606">
        <v>0.41</v>
      </c>
      <c r="U29" s="804">
        <f>+T29*S29</f>
        <v>0.41</v>
      </c>
      <c r="V29" s="608" t="s">
        <v>299</v>
      </c>
      <c r="W29" s="609" t="str">
        <f>+'732'!M18</f>
        <v/>
      </c>
      <c r="X29" s="540"/>
      <c r="Y29" s="540"/>
      <c r="Z29" s="354"/>
      <c r="AA29" s="371">
        <v>59.7</v>
      </c>
      <c r="AB29" s="372">
        <f t="shared" si="1"/>
        <v>1.1056250000000001</v>
      </c>
      <c r="AD29" s="192"/>
      <c r="AE29" s="199">
        <v>7</v>
      </c>
      <c r="AF29" s="202" t="e">
        <f>IF(ISERROR(AF23),AF25,AF28)</f>
        <v>#VALUE!</v>
      </c>
      <c r="AG29" s="202" t="e">
        <f>IF(ISERROR(AG23),AG25,AG28)</f>
        <v>#VALUE!</v>
      </c>
      <c r="AH29" s="202" t="e">
        <f>IF(ISERROR(AH23),AH25,AH28)</f>
        <v>#VALUE!</v>
      </c>
      <c r="AI29" s="202" t="e">
        <f>IF(ISERROR(AI23),AI25,AI28)</f>
        <v>#VALUE!</v>
      </c>
      <c r="AJ29" s="195"/>
      <c r="AK29" s="199">
        <v>7</v>
      </c>
      <c r="AL29" s="204" t="e">
        <f>AL28/2</f>
        <v>#VALUE!</v>
      </c>
      <c r="AM29" s="204" t="e">
        <f t="shared" ref="AM29:AP29" si="8">AM28/2</f>
        <v>#VALUE!</v>
      </c>
      <c r="AN29" s="204" t="e">
        <f t="shared" si="8"/>
        <v>#VALUE!</v>
      </c>
      <c r="AO29" s="204" t="e">
        <f t="shared" si="8"/>
        <v>#VALUE!</v>
      </c>
      <c r="AP29" s="204" t="e">
        <f t="shared" si="8"/>
        <v>#VALUE!</v>
      </c>
      <c r="AQ29" s="195"/>
      <c r="AR29" s="195"/>
      <c r="AS29" s="211"/>
      <c r="AT29" s="211"/>
      <c r="AU29" s="211"/>
      <c r="AV29" s="210"/>
    </row>
    <row r="30" spans="1:57" ht="20.100000000000001" customHeight="1" x14ac:dyDescent="0.2">
      <c r="A30" s="1444" t="s">
        <v>271</v>
      </c>
      <c r="B30" s="1445"/>
      <c r="C30" s="1445"/>
      <c r="D30" s="1445"/>
      <c r="E30" s="1445"/>
      <c r="F30" s="1445"/>
      <c r="G30" s="1445"/>
      <c r="H30" s="1424" t="s">
        <v>52</v>
      </c>
      <c r="I30" s="1424"/>
      <c r="J30" s="875" t="str">
        <f>IF(J25="","",J25/J29)</f>
        <v/>
      </c>
      <c r="K30" s="875" t="str">
        <f>IF(K25="","",+K25/K29)</f>
        <v/>
      </c>
      <c r="L30" s="875" t="str">
        <f>IF(L25="","",+L25/L29)</f>
        <v/>
      </c>
      <c r="M30" s="875" t="str">
        <f>IF(M25="","",+M25/M29)</f>
        <v/>
      </c>
      <c r="N30" s="1425" t="str">
        <f>+IF(J30="","",AVERAGE(J30:M30))</f>
        <v/>
      </c>
      <c r="O30" s="1426"/>
      <c r="P30" s="582"/>
      <c r="Q30" s="610" t="s">
        <v>289</v>
      </c>
      <c r="R30" s="611">
        <v>4.75</v>
      </c>
      <c r="S30" s="612" t="str">
        <f>+'782'!I27</f>
        <v/>
      </c>
      <c r="T30" s="606">
        <v>4.1000000000000003E-3</v>
      </c>
      <c r="U30" s="804" t="str">
        <f t="shared" ref="U30:U36" si="9">IF(S30="","",+T30*S30)</f>
        <v/>
      </c>
      <c r="V30" s="613" t="s">
        <v>300</v>
      </c>
      <c r="W30" s="614" t="str">
        <f>+N35</f>
        <v/>
      </c>
      <c r="X30" s="540"/>
      <c r="Y30" s="540"/>
      <c r="Z30" s="353"/>
      <c r="AA30" s="371">
        <v>59.8</v>
      </c>
      <c r="AB30" s="372">
        <f t="shared" si="1"/>
        <v>1.1025</v>
      </c>
      <c r="AD30" s="192"/>
      <c r="AE30" s="199">
        <v>8</v>
      </c>
      <c r="AF30" s="380" t="e">
        <f>+AF29*AG20</f>
        <v>#VALUE!</v>
      </c>
      <c r="AG30" s="380" t="e">
        <f>AG29*$AG$20</f>
        <v>#VALUE!</v>
      </c>
      <c r="AH30" s="380" t="e">
        <f>AH29*$AG$20</f>
        <v>#VALUE!</v>
      </c>
      <c r="AI30" s="380" t="e">
        <f>AI29*$AG$20</f>
        <v>#VALUE!</v>
      </c>
      <c r="AJ30" s="195"/>
      <c r="AK30" s="128"/>
      <c r="AL30" s="215"/>
      <c r="AM30" s="128"/>
      <c r="AN30" s="128"/>
      <c r="AO30" s="128"/>
      <c r="AP30" s="195"/>
      <c r="AQ30" s="195"/>
      <c r="AR30" s="195"/>
      <c r="AS30" s="211"/>
      <c r="AT30" s="211"/>
      <c r="AU30" s="211"/>
      <c r="AV30" s="210"/>
    </row>
    <row r="31" spans="1:57" ht="24.95" customHeight="1" x14ac:dyDescent="0.2">
      <c r="A31" s="1474" t="s">
        <v>272</v>
      </c>
      <c r="B31" s="1475"/>
      <c r="C31" s="1475"/>
      <c r="D31" s="1475"/>
      <c r="E31" s="1475"/>
      <c r="F31" s="1475"/>
      <c r="G31" s="1475"/>
      <c r="H31" s="1476" t="s">
        <v>273</v>
      </c>
      <c r="I31" s="1476"/>
      <c r="J31" s="346" t="str">
        <f>IF(OR('733 - 735'!$J$22="",'733 - 735'!$G$30=""),"",+(1-('733 - 735'!J22/'733 - 735'!$G$30))*100)</f>
        <v/>
      </c>
      <c r="K31" s="346" t="str">
        <f>IF(OR('733 - 735'!$J$22="",'733 - 735'!$G$30=""),"",+(1-('733 - 735'!K22/'733 - 735'!$G$30))*100)</f>
        <v/>
      </c>
      <c r="L31" s="346" t="str">
        <f>IF(OR('733 - 735'!$J$22="",'733 - 735'!$G$30=""),"",+(1-('733 - 735'!L22/'733 - 735'!$G$30))*100)</f>
        <v/>
      </c>
      <c r="M31" s="346" t="str">
        <f>IF(OR('733 - 735'!$J$22="",'733 - 735'!$G$30=""),"",+(1-('733 - 735'!M22/'733 - 735'!$G$30))*100)</f>
        <v/>
      </c>
      <c r="N31" s="1469" t="str">
        <f>+IF(J31="","",AVERAGE(J31:M31))</f>
        <v/>
      </c>
      <c r="O31" s="1470"/>
      <c r="P31" s="615"/>
      <c r="Q31" s="610" t="s">
        <v>290</v>
      </c>
      <c r="R31" s="616">
        <v>2.36</v>
      </c>
      <c r="S31" s="318" t="str">
        <f>IF($S$30="","",$S$30+(((R31-$R$30)/($R$36-$R$30))*($S$36-$S$30)))</f>
        <v/>
      </c>
      <c r="T31" s="606">
        <v>8.2000000000000007E-3</v>
      </c>
      <c r="U31" s="804" t="str">
        <f>IF(S31="","",+T31*S31)</f>
        <v/>
      </c>
      <c r="V31" s="613" t="s">
        <v>301</v>
      </c>
      <c r="W31" s="617" t="str">
        <f>IF(W29="","",+W29/W30)</f>
        <v/>
      </c>
      <c r="X31" s="382"/>
      <c r="Y31" s="382"/>
      <c r="Z31" s="348"/>
      <c r="AA31" s="371">
        <v>59.9</v>
      </c>
      <c r="AB31" s="372">
        <f t="shared" si="1"/>
        <v>1.099375</v>
      </c>
      <c r="AD31" s="192"/>
      <c r="AE31" s="195"/>
      <c r="AF31" s="195"/>
      <c r="AG31" s="195"/>
      <c r="AH31" s="195"/>
      <c r="AI31" s="195"/>
      <c r="AJ31" s="195"/>
      <c r="AK31" s="195"/>
      <c r="AL31" s="216"/>
      <c r="AM31" s="195"/>
      <c r="AN31" s="195"/>
      <c r="AO31" s="195"/>
      <c r="AP31" s="195"/>
      <c r="AQ31" s="195"/>
      <c r="AR31" s="195"/>
      <c r="AS31" s="211"/>
      <c r="AT31" s="211"/>
      <c r="AU31" s="211"/>
      <c r="AV31" s="210"/>
    </row>
    <row r="32" spans="1:57" ht="24.95" customHeight="1" thickBot="1" x14ac:dyDescent="0.25">
      <c r="A32" s="1474" t="s">
        <v>319</v>
      </c>
      <c r="B32" s="1475"/>
      <c r="C32" s="1475"/>
      <c r="D32" s="1475"/>
      <c r="E32" s="1475"/>
      <c r="F32" s="1475"/>
      <c r="G32" s="1475"/>
      <c r="H32" s="1476" t="s">
        <v>273</v>
      </c>
      <c r="I32" s="1476"/>
      <c r="J32" s="346" t="str">
        <f>+IF(J31="","",(100-(J18*$W$28)/$N$36))</f>
        <v/>
      </c>
      <c r="K32" s="346" t="str">
        <f>+IF(K31="","",(100-(K18*$W$28)/$N$36))</f>
        <v/>
      </c>
      <c r="L32" s="346" t="str">
        <f>+IF(L31="","",(100-(L18*$W$28)/$N$36))</f>
        <v/>
      </c>
      <c r="M32" s="346" t="str">
        <f>+IF(M31="","",(100-(M18*$W$28)/$N$36))</f>
        <v/>
      </c>
      <c r="N32" s="1469" t="str">
        <f t="shared" ref="N32:N33" si="10">+IF(J32="","",AVERAGE(J32:M32))</f>
        <v/>
      </c>
      <c r="O32" s="1470"/>
      <c r="P32" s="615"/>
      <c r="Q32" s="610" t="s">
        <v>291</v>
      </c>
      <c r="R32" s="618">
        <v>1.18</v>
      </c>
      <c r="S32" s="318" t="str">
        <f>IF($S$30="","",$S$30+(((R32-$R$30)/($R$36-$R$30))*($S$36-$S$30)))</f>
        <v/>
      </c>
      <c r="T32" s="606">
        <v>1.6400000000000001E-2</v>
      </c>
      <c r="U32" s="804" t="str">
        <f t="shared" si="9"/>
        <v/>
      </c>
      <c r="V32" s="466" t="s">
        <v>303</v>
      </c>
      <c r="W32" s="617" t="str">
        <f>IF(N35="","",100*(N35*((N37-N36)/(N36*N37))))</f>
        <v/>
      </c>
      <c r="X32" s="382"/>
      <c r="Y32" s="382"/>
      <c r="Z32" s="348"/>
      <c r="AA32" s="371">
        <v>60</v>
      </c>
      <c r="AB32" s="372">
        <f t="shared" si="1"/>
        <v>1.0962499999999999</v>
      </c>
      <c r="AD32" s="217"/>
      <c r="AE32" s="218"/>
      <c r="AF32" s="218"/>
      <c r="AG32" s="218"/>
      <c r="AH32" s="218"/>
      <c r="AI32" s="218"/>
      <c r="AJ32" s="218"/>
      <c r="AK32" s="218"/>
      <c r="AL32" s="219"/>
      <c r="AM32" s="218"/>
      <c r="AN32" s="218"/>
      <c r="AO32" s="218"/>
      <c r="AP32" s="218"/>
      <c r="AQ32" s="218"/>
      <c r="AR32" s="218"/>
      <c r="AS32" s="220"/>
      <c r="AT32" s="220"/>
      <c r="AU32" s="220"/>
      <c r="AV32" s="221"/>
    </row>
    <row r="33" spans="1:57" ht="24.95" customHeight="1" x14ac:dyDescent="0.2">
      <c r="A33" s="1474" t="s">
        <v>320</v>
      </c>
      <c r="B33" s="1475"/>
      <c r="C33" s="1475"/>
      <c r="D33" s="1475"/>
      <c r="E33" s="1475"/>
      <c r="F33" s="1475"/>
      <c r="G33" s="1475"/>
      <c r="H33" s="1476" t="s">
        <v>273</v>
      </c>
      <c r="I33" s="1476"/>
      <c r="J33" s="346" t="str">
        <f>+IF(J31="","",(100*(J32-J31)/J32))</f>
        <v/>
      </c>
      <c r="K33" s="346" t="str">
        <f t="shared" ref="K33:M33" si="11">+IF(K31="","",(100*(K32-K31)/K32))</f>
        <v/>
      </c>
      <c r="L33" s="346" t="str">
        <f t="shared" si="11"/>
        <v/>
      </c>
      <c r="M33" s="346" t="str">
        <f t="shared" si="11"/>
        <v/>
      </c>
      <c r="N33" s="1469" t="str">
        <f t="shared" si="10"/>
        <v/>
      </c>
      <c r="O33" s="1470"/>
      <c r="P33" s="615"/>
      <c r="Q33" s="610" t="s">
        <v>292</v>
      </c>
      <c r="R33" s="619">
        <v>0.6</v>
      </c>
      <c r="S33" s="318" t="str">
        <f>IF($S$30="","",$S$30+(((R33-$R$30)/($R$36-$R$30))*($S$36-$S$30)))</f>
        <v/>
      </c>
      <c r="T33" s="606">
        <v>2.87E-2</v>
      </c>
      <c r="U33" s="804" t="str">
        <f t="shared" si="9"/>
        <v/>
      </c>
      <c r="V33" s="466" t="s">
        <v>304</v>
      </c>
      <c r="W33" s="617" t="e">
        <f>+(W29)-((W32*(100-W29))/(100))</f>
        <v>#VALUE!</v>
      </c>
      <c r="X33" s="382"/>
      <c r="Y33" s="382"/>
      <c r="Z33" s="348"/>
      <c r="AA33" s="371">
        <v>60.1</v>
      </c>
      <c r="AB33" s="372">
        <f t="shared" si="1"/>
        <v>1.0931249999999999</v>
      </c>
    </row>
    <row r="34" spans="1:57" ht="9" customHeight="1" x14ac:dyDescent="0.2">
      <c r="A34" s="1456" t="s">
        <v>250</v>
      </c>
      <c r="B34" s="1457"/>
      <c r="C34" s="1457"/>
      <c r="D34" s="1457"/>
      <c r="E34" s="1457"/>
      <c r="F34" s="1457"/>
      <c r="G34" s="1457"/>
      <c r="H34" s="1457"/>
      <c r="I34" s="1457"/>
      <c r="J34" s="1457"/>
      <c r="K34" s="1457"/>
      <c r="L34" s="1457"/>
      <c r="M34" s="1457"/>
      <c r="N34" s="1457"/>
      <c r="O34" s="1458"/>
      <c r="P34" s="590"/>
      <c r="Q34" s="610" t="s">
        <v>293</v>
      </c>
      <c r="R34" s="620">
        <v>0.3</v>
      </c>
      <c r="S34" s="318" t="str">
        <f>IF($S$30="","",$S$30+(((R34-$R$30)/($R$36-$R$30))*($S$36-$S$30)))</f>
        <v/>
      </c>
      <c r="T34" s="606">
        <v>6.1400000000000003E-2</v>
      </c>
      <c r="U34" s="804" t="str">
        <f t="shared" si="9"/>
        <v/>
      </c>
      <c r="V34" s="466" t="s">
        <v>305</v>
      </c>
      <c r="W34" s="617" t="e">
        <f>1-(W29/100)</f>
        <v>#VALUE!</v>
      </c>
      <c r="X34" s="382"/>
      <c r="Y34" s="382"/>
      <c r="Z34" s="2"/>
      <c r="AA34" s="371">
        <v>60.2</v>
      </c>
      <c r="AB34" s="372">
        <f t="shared" si="1"/>
        <v>1.0900000000000001</v>
      </c>
      <c r="BE34" s="18"/>
    </row>
    <row r="35" spans="1:57" ht="20.100000000000001" customHeight="1" x14ac:dyDescent="0.2">
      <c r="A35" s="64" t="s">
        <v>120</v>
      </c>
      <c r="B35" s="1459" t="s">
        <v>107</v>
      </c>
      <c r="C35" s="1459"/>
      <c r="D35" s="65" t="str">
        <f>IF('733 - 735'!E8="","",(SUM('782'!E23:I23)/'782'!M17)*100)</f>
        <v/>
      </c>
      <c r="E35" s="66" t="s">
        <v>39</v>
      </c>
      <c r="F35" s="1460" t="str">
        <f>+IF(E8="","",HLOOKUP('733 - 735'!$E$8,$R$3:$Y$10,R5,0))</f>
        <v/>
      </c>
      <c r="G35" s="1460"/>
      <c r="H35" s="70" t="s">
        <v>72</v>
      </c>
      <c r="I35" s="1461" t="s">
        <v>75</v>
      </c>
      <c r="J35" s="1461"/>
      <c r="K35" s="1461"/>
      <c r="L35" s="1461"/>
      <c r="M35" s="1461"/>
      <c r="N35" s="1530" t="str">
        <f>+IF(E8="","",HLOOKUP(E8,$R$3:$Y$10,R9,0))</f>
        <v/>
      </c>
      <c r="O35" s="1531"/>
      <c r="P35" s="590"/>
      <c r="Q35" s="610" t="s">
        <v>294</v>
      </c>
      <c r="R35" s="621">
        <v>0.15</v>
      </c>
      <c r="S35" s="318" t="str">
        <f>IF($S$30="","",$S$30+(((R35-$R$30)/($R$36-$R$30))*($S$36-$S$30)))</f>
        <v/>
      </c>
      <c r="T35" s="606">
        <v>0.1229</v>
      </c>
      <c r="U35" s="804" t="str">
        <f t="shared" si="9"/>
        <v/>
      </c>
      <c r="V35" s="466" t="s">
        <v>302</v>
      </c>
      <c r="W35" s="617" t="e">
        <f>+W32*W34</f>
        <v>#VALUE!</v>
      </c>
      <c r="X35" s="382"/>
      <c r="Y35" s="382"/>
      <c r="Z35" s="2"/>
      <c r="AA35" s="369">
        <v>60.3</v>
      </c>
      <c r="AB35" s="373">
        <v>1.0900000000000001</v>
      </c>
      <c r="BE35" s="18"/>
    </row>
    <row r="36" spans="1:57" ht="20.100000000000001" customHeight="1" x14ac:dyDescent="0.2">
      <c r="A36" s="64" t="s">
        <v>121</v>
      </c>
      <c r="B36" s="1459" t="s">
        <v>108</v>
      </c>
      <c r="C36" s="1459"/>
      <c r="D36" s="67" t="str">
        <f>IF('733 - 735'!E8="","",((SUM('782'!J23:M23)/'782'!M17)*100))</f>
        <v/>
      </c>
      <c r="E36" s="66" t="s">
        <v>39</v>
      </c>
      <c r="F36" s="1532" t="str">
        <f>+IF(E8="","",HLOOKUP('733 - 735'!$E$8,$R$3:$Y$10,4,0))</f>
        <v/>
      </c>
      <c r="G36" s="1532"/>
      <c r="H36" s="71" t="s">
        <v>71</v>
      </c>
      <c r="I36" s="1533" t="s">
        <v>74</v>
      </c>
      <c r="J36" s="1533"/>
      <c r="K36" s="1533"/>
      <c r="L36" s="1533"/>
      <c r="M36" s="59"/>
      <c r="N36" s="1530" t="str">
        <f>+IF(D35="","",(D35+D36+D37)/((D35/F35)+(D36/F36)+(D37/F37)))</f>
        <v/>
      </c>
      <c r="O36" s="1531"/>
      <c r="P36" s="622"/>
      <c r="Q36" s="610" t="s">
        <v>295</v>
      </c>
      <c r="R36" s="623">
        <v>7.4999999999999997E-2</v>
      </c>
      <c r="S36" s="607" t="str">
        <f>IF(E8=Y3,'782'!K27,'782'!M27)</f>
        <v/>
      </c>
      <c r="T36" s="606">
        <v>0.32769999999999999</v>
      </c>
      <c r="U36" s="804" t="str">
        <f t="shared" si="9"/>
        <v/>
      </c>
      <c r="V36" s="466" t="s">
        <v>306</v>
      </c>
      <c r="W36" s="617" t="e">
        <f>+W35*W30</f>
        <v>#VALUE!</v>
      </c>
      <c r="X36" s="382"/>
      <c r="Y36" s="382"/>
      <c r="Z36" s="2"/>
      <c r="AA36" s="371">
        <v>60.4</v>
      </c>
      <c r="AB36" s="372">
        <f t="shared" ref="AB36:AB50" si="12">+$AB$35+((AA37-$AA$35)*(($AB$51-$AB$35)/($AA$51-$AA$35)))</f>
        <v>1.08375</v>
      </c>
      <c r="BE36" s="18"/>
    </row>
    <row r="37" spans="1:57" ht="20.100000000000001" customHeight="1" x14ac:dyDescent="0.2">
      <c r="A37" s="249" t="s">
        <v>122</v>
      </c>
      <c r="B37" s="1452" t="s">
        <v>216</v>
      </c>
      <c r="C37" s="1452"/>
      <c r="D37" s="68" t="str">
        <f>IF('733 - 735'!E8="","",(('782'!O23+'782'!R23)/'782'!M17)*100)</f>
        <v/>
      </c>
      <c r="E37" s="69" t="s">
        <v>39</v>
      </c>
      <c r="F37" s="1453" t="str">
        <f>+IF(E8="","",HLOOKUP('733 - 735'!$E$8,$R$3:$Y$10,6,0))</f>
        <v/>
      </c>
      <c r="G37" s="1453"/>
      <c r="H37" s="72" t="s">
        <v>70</v>
      </c>
      <c r="I37" s="73" t="s">
        <v>73</v>
      </c>
      <c r="J37" s="74"/>
      <c r="K37" s="74"/>
      <c r="L37" s="74"/>
      <c r="M37" s="74"/>
      <c r="N37" s="1454" t="str">
        <f>IF(N35="","",+(100-'732'!M18)/((100/'733 - 735'!G30)-('732'!M18/N35)))</f>
        <v/>
      </c>
      <c r="O37" s="1455"/>
      <c r="P37" s="590"/>
      <c r="Q37" s="1422" t="s">
        <v>324</v>
      </c>
      <c r="R37" s="1423"/>
      <c r="S37" s="1423"/>
      <c r="T37" s="1423"/>
      <c r="U37" s="805">
        <f>+SUM(U29:U36)</f>
        <v>0.41</v>
      </c>
      <c r="V37" s="624" t="s">
        <v>307</v>
      </c>
      <c r="W37" s="617" t="e">
        <f>+W31-W36</f>
        <v>#VALUE!</v>
      </c>
      <c r="X37" s="382"/>
      <c r="Y37" s="382"/>
      <c r="Z37" s="2"/>
      <c r="AA37" s="371">
        <v>60.5</v>
      </c>
      <c r="AB37" s="372">
        <f t="shared" si="12"/>
        <v>1.0806249999999999</v>
      </c>
      <c r="BE37" s="18"/>
    </row>
    <row r="38" spans="1:57" ht="12" customHeight="1" thickBot="1" x14ac:dyDescent="0.25">
      <c r="A38" s="1522" t="s">
        <v>3</v>
      </c>
      <c r="B38" s="1523"/>
      <c r="C38" s="1524"/>
      <c r="D38" s="1524"/>
      <c r="E38" s="1524"/>
      <c r="F38" s="1524"/>
      <c r="G38" s="1524"/>
      <c r="H38" s="1524"/>
      <c r="I38" s="1524"/>
      <c r="J38" s="1524"/>
      <c r="K38" s="1524"/>
      <c r="L38" s="1524"/>
      <c r="M38" s="1524"/>
      <c r="N38" s="1524"/>
      <c r="O38" s="1525"/>
      <c r="P38" s="382"/>
      <c r="Q38" s="1420" t="s">
        <v>325</v>
      </c>
      <c r="R38" s="1421"/>
      <c r="S38" s="1421"/>
      <c r="T38" s="1421"/>
      <c r="U38" s="1421"/>
      <c r="V38" s="1421"/>
      <c r="W38" s="625" t="e">
        <f>+(W37/(U37*W34))*10</f>
        <v>#VALUE!</v>
      </c>
      <c r="X38" s="382"/>
      <c r="Y38" s="382"/>
      <c r="Z38" s="2"/>
      <c r="AA38" s="371">
        <v>60.6</v>
      </c>
      <c r="AB38" s="372">
        <f t="shared" si="12"/>
        <v>1.0774999999999999</v>
      </c>
      <c r="BE38" s="18"/>
    </row>
    <row r="39" spans="1:57" ht="13.5" thickTop="1" x14ac:dyDescent="0.2">
      <c r="A39" s="672"/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812"/>
      <c r="P39" s="382"/>
      <c r="Q39" s="382"/>
      <c r="R39" s="382"/>
      <c r="S39" s="382"/>
      <c r="T39" s="382"/>
      <c r="U39" s="382"/>
      <c r="V39" s="382"/>
      <c r="W39" s="382"/>
      <c r="X39" s="382"/>
      <c r="Y39" s="382"/>
      <c r="AA39" s="371">
        <v>60.7</v>
      </c>
      <c r="AB39" s="372">
        <f t="shared" si="12"/>
        <v>1.0743750000000001</v>
      </c>
    </row>
    <row r="40" spans="1:57" ht="18" customHeight="1" x14ac:dyDescent="0.2">
      <c r="A40" s="1526"/>
      <c r="B40" s="1527"/>
      <c r="C40" s="1527"/>
      <c r="D40" s="1527"/>
      <c r="E40" s="1527"/>
      <c r="F40" s="1527"/>
      <c r="G40" s="1527"/>
      <c r="H40" s="1527"/>
      <c r="I40" s="1527"/>
      <c r="J40" s="1527"/>
      <c r="K40" s="1527"/>
      <c r="L40" s="1527"/>
      <c r="M40" s="1527"/>
      <c r="N40" s="1527"/>
      <c r="O40" s="1528"/>
      <c r="P40" s="626"/>
      <c r="Q40" s="382"/>
      <c r="R40" s="382"/>
      <c r="S40" s="382"/>
      <c r="T40" s="382"/>
      <c r="U40" s="382"/>
      <c r="V40" s="382"/>
      <c r="W40" s="382"/>
      <c r="X40" s="382"/>
      <c r="Y40" s="382"/>
      <c r="Z40" s="265"/>
      <c r="AA40" s="371">
        <v>60.8</v>
      </c>
      <c r="AB40" s="372">
        <f t="shared" si="12"/>
        <v>1.07125</v>
      </c>
      <c r="AC40" s="265"/>
    </row>
    <row r="41" spans="1:57" ht="18" customHeight="1" x14ac:dyDescent="0.2">
      <c r="A41" s="1514" t="s">
        <v>245</v>
      </c>
      <c r="B41" s="1515"/>
      <c r="C41" s="1515"/>
      <c r="D41" s="1515"/>
      <c r="E41" s="1515"/>
      <c r="F41" s="1515"/>
      <c r="G41" s="1515"/>
      <c r="H41" s="1516"/>
      <c r="I41" s="1515" t="s">
        <v>9</v>
      </c>
      <c r="J41" s="1515"/>
      <c r="K41" s="1515"/>
      <c r="L41" s="1515"/>
      <c r="M41" s="1515"/>
      <c r="N41" s="1515"/>
      <c r="O41" s="1529"/>
      <c r="P41" s="627"/>
      <c r="Q41" s="382"/>
      <c r="R41" s="382"/>
      <c r="S41" s="382"/>
      <c r="T41" s="382"/>
      <c r="U41" s="382"/>
      <c r="V41" s="382"/>
      <c r="W41" s="382"/>
      <c r="X41" s="382"/>
      <c r="Y41" s="382"/>
      <c r="Z41" s="265"/>
      <c r="AA41" s="371">
        <v>60.9</v>
      </c>
      <c r="AB41" s="372">
        <f t="shared" si="12"/>
        <v>1.068125</v>
      </c>
      <c r="AC41" s="265"/>
    </row>
    <row r="42" spans="1:57" ht="45" customHeight="1" x14ac:dyDescent="0.2">
      <c r="A42" s="1199"/>
      <c r="B42" s="1140"/>
      <c r="C42" s="1140"/>
      <c r="D42" s="1140"/>
      <c r="E42" s="1140"/>
      <c r="F42" s="1140"/>
      <c r="G42" s="1140"/>
      <c r="H42" s="1239"/>
      <c r="I42" s="1510"/>
      <c r="J42" s="1510"/>
      <c r="K42" s="1510"/>
      <c r="L42" s="1510"/>
      <c r="M42" s="1510"/>
      <c r="N42" s="1510"/>
      <c r="O42" s="1511"/>
      <c r="P42" s="561"/>
      <c r="Q42" s="382"/>
      <c r="R42" s="382"/>
      <c r="S42" s="382"/>
      <c r="T42" s="382"/>
      <c r="U42" s="382"/>
      <c r="V42" s="382"/>
      <c r="W42" s="382"/>
      <c r="X42" s="382"/>
      <c r="Y42" s="382"/>
      <c r="Z42" s="265"/>
      <c r="AA42" s="371">
        <v>61</v>
      </c>
      <c r="AB42" s="372">
        <f t="shared" si="12"/>
        <v>1.0649999999999999</v>
      </c>
      <c r="AC42" s="265"/>
    </row>
    <row r="43" spans="1:57" ht="14.1" customHeight="1" x14ac:dyDescent="0.2">
      <c r="A43" s="1200" t="s">
        <v>154</v>
      </c>
      <c r="B43" s="1143"/>
      <c r="C43" s="1143"/>
      <c r="D43" s="1143"/>
      <c r="E43" s="1143"/>
      <c r="F43" s="1143"/>
      <c r="G43" s="1143"/>
      <c r="H43" s="1240"/>
      <c r="I43" s="1143" t="s">
        <v>154</v>
      </c>
      <c r="J43" s="1143"/>
      <c r="K43" s="1143"/>
      <c r="L43" s="1143"/>
      <c r="M43" s="1143"/>
      <c r="N43" s="1143"/>
      <c r="O43" s="1144"/>
      <c r="P43" s="562"/>
      <c r="Q43" s="382"/>
      <c r="R43" s="382"/>
      <c r="S43" s="382"/>
      <c r="T43" s="382"/>
      <c r="U43" s="382"/>
      <c r="V43" s="382"/>
      <c r="W43" s="382"/>
      <c r="X43" s="382"/>
      <c r="Y43" s="382"/>
      <c r="Z43" s="265"/>
      <c r="AA43" s="371">
        <v>61.1</v>
      </c>
      <c r="AB43" s="372">
        <f t="shared" si="12"/>
        <v>1.0618749999999999</v>
      </c>
      <c r="AC43" s="265"/>
    </row>
    <row r="44" spans="1:57" ht="14.1" customHeight="1" thickBot="1" x14ac:dyDescent="0.25">
      <c r="A44" s="1520" t="str">
        <f>IF(A43="--","",VLOOKUP(A43,firmas!A31:B34,2,0))</f>
        <v/>
      </c>
      <c r="B44" s="1512"/>
      <c r="C44" s="1512"/>
      <c r="D44" s="1512"/>
      <c r="E44" s="1512"/>
      <c r="F44" s="1512"/>
      <c r="G44" s="1512"/>
      <c r="H44" s="1521"/>
      <c r="I44" s="1512" t="str">
        <f>IF(I43="--","",VLOOKUP(I43,firmas!$A$36:$B$37,2,0))</f>
        <v/>
      </c>
      <c r="J44" s="1512"/>
      <c r="K44" s="1512"/>
      <c r="L44" s="1512"/>
      <c r="M44" s="1512"/>
      <c r="N44" s="1512"/>
      <c r="O44" s="1513"/>
      <c r="P44" s="628"/>
      <c r="Q44" s="382"/>
      <c r="R44" s="382"/>
      <c r="S44" s="382"/>
      <c r="T44" s="382"/>
      <c r="U44" s="382"/>
      <c r="V44" s="382"/>
      <c r="W44" s="382"/>
      <c r="X44" s="540"/>
      <c r="Y44" s="540"/>
      <c r="Z44" s="265"/>
      <c r="AA44" s="371">
        <v>61.2</v>
      </c>
      <c r="AB44" s="372">
        <f t="shared" si="12"/>
        <v>1.0587500000000001</v>
      </c>
      <c r="AC44" s="265"/>
    </row>
    <row r="45" spans="1:57" ht="18" customHeight="1" thickTop="1" thickBot="1" x14ac:dyDescent="0.25">
      <c r="A45" s="1540" t="s">
        <v>156</v>
      </c>
      <c r="B45" s="1540"/>
      <c r="C45" s="1540"/>
      <c r="D45" s="1540"/>
      <c r="E45" s="1540"/>
      <c r="F45" s="1540"/>
      <c r="G45" s="1540"/>
      <c r="H45" s="1540"/>
      <c r="I45" s="1540"/>
      <c r="J45" s="1540"/>
      <c r="K45" s="1540"/>
      <c r="L45" s="1540"/>
      <c r="M45" s="1540"/>
      <c r="N45" s="1540"/>
      <c r="O45" s="1540"/>
      <c r="P45" s="568"/>
      <c r="Q45" s="382" t="s">
        <v>397</v>
      </c>
      <c r="R45" s="382"/>
      <c r="S45" s="382"/>
      <c r="T45" s="382"/>
      <c r="U45" s="382"/>
      <c r="V45" s="382"/>
      <c r="W45" s="382"/>
      <c r="X45" s="540"/>
      <c r="Y45" s="540"/>
      <c r="Z45" s="265"/>
      <c r="AA45" s="371">
        <v>61.3</v>
      </c>
      <c r="AB45" s="372">
        <f t="shared" si="12"/>
        <v>1.055625</v>
      </c>
      <c r="AC45" s="265"/>
    </row>
    <row r="46" spans="1:57" ht="21.75" customHeight="1" thickTop="1" x14ac:dyDescent="0.2">
      <c r="A46" s="1541" t="s">
        <v>200</v>
      </c>
      <c r="B46" s="1541"/>
      <c r="C46" s="1541"/>
      <c r="D46" s="1541"/>
      <c r="E46" s="1541"/>
      <c r="F46" s="1541"/>
      <c r="G46" s="1541"/>
      <c r="H46" s="1541"/>
      <c r="I46" s="1541"/>
      <c r="J46" s="1541"/>
      <c r="K46" s="1541"/>
      <c r="L46" s="1541"/>
      <c r="M46" s="1541"/>
      <c r="N46" s="1541"/>
      <c r="O46" s="1541"/>
      <c r="P46" s="568"/>
      <c r="Q46" s="382"/>
      <c r="R46" s="382"/>
      <c r="S46" s="382"/>
      <c r="T46" s="382"/>
      <c r="U46" s="382"/>
      <c r="V46" s="382"/>
      <c r="W46" s="382"/>
      <c r="X46" s="540"/>
      <c r="Y46" s="540"/>
      <c r="Z46" s="265"/>
      <c r="AA46" s="371">
        <v>61.4</v>
      </c>
      <c r="AB46" s="372">
        <f t="shared" si="12"/>
        <v>1.0525</v>
      </c>
      <c r="AC46" s="265"/>
    </row>
    <row r="47" spans="1:57" ht="33.75" customHeight="1" x14ac:dyDescent="0.2">
      <c r="A47" s="1542" t="s">
        <v>227</v>
      </c>
      <c r="B47" s="1542"/>
      <c r="C47" s="1542"/>
      <c r="D47" s="1542"/>
      <c r="E47" s="1542"/>
      <c r="F47" s="1542"/>
      <c r="G47" s="1542"/>
      <c r="H47" s="1542"/>
      <c r="I47" s="1542"/>
      <c r="J47" s="1542"/>
      <c r="K47" s="1542"/>
      <c r="L47" s="1542"/>
      <c r="M47" s="1542"/>
      <c r="N47" s="1542"/>
      <c r="O47" s="1542"/>
      <c r="P47" s="629"/>
      <c r="Q47" s="382"/>
      <c r="R47" s="382"/>
      <c r="S47" s="382"/>
      <c r="T47" s="382"/>
      <c r="U47" s="382"/>
      <c r="V47" s="382"/>
      <c r="W47" s="382"/>
      <c r="X47" s="540"/>
      <c r="Y47" s="540"/>
      <c r="Z47" s="265"/>
      <c r="AA47" s="371">
        <v>61.5</v>
      </c>
      <c r="AB47" s="372">
        <f t="shared" si="12"/>
        <v>1.0493749999999999</v>
      </c>
      <c r="AC47" s="265"/>
    </row>
    <row r="48" spans="1:57" ht="12.95" customHeight="1" x14ac:dyDescent="0.2">
      <c r="A48" s="1517"/>
      <c r="B48" s="1518"/>
      <c r="C48" s="1518"/>
      <c r="D48" s="266"/>
      <c r="H48" s="1254"/>
      <c r="I48" s="1254"/>
      <c r="J48" s="1254"/>
      <c r="K48" s="1254"/>
      <c r="L48" s="1254"/>
      <c r="M48" s="1254"/>
      <c r="N48" s="1254"/>
      <c r="O48" s="1254"/>
      <c r="P48" s="629"/>
      <c r="Q48" s="382"/>
      <c r="R48" s="382"/>
      <c r="S48" s="382"/>
      <c r="T48" s="382"/>
      <c r="U48" s="382"/>
      <c r="V48" s="382"/>
      <c r="W48" s="382"/>
      <c r="X48" s="540"/>
      <c r="Y48" s="540"/>
      <c r="Z48" s="265"/>
      <c r="AA48" s="371">
        <v>61.6</v>
      </c>
      <c r="AB48" s="372">
        <f t="shared" si="12"/>
        <v>1.0462499999999999</v>
      </c>
      <c r="AC48" s="265"/>
      <c r="AW48" s="265"/>
      <c r="AX48" s="265"/>
      <c r="AY48" s="265"/>
      <c r="AZ48" s="265"/>
    </row>
    <row r="49" spans="1:52" ht="12.95" customHeight="1" x14ac:dyDescent="0.2">
      <c r="A49" s="1517"/>
      <c r="B49" s="1518"/>
      <c r="C49" s="1518"/>
      <c r="D49" s="1518"/>
      <c r="E49" s="1518"/>
      <c r="F49" s="1518"/>
      <c r="G49" s="1519"/>
      <c r="H49" s="295"/>
      <c r="I49" s="295"/>
      <c r="J49" s="295"/>
      <c r="K49" s="295"/>
      <c r="L49" s="295"/>
      <c r="M49" s="295"/>
      <c r="N49" s="295"/>
      <c r="O49" s="295"/>
      <c r="P49" s="573"/>
      <c r="Q49" s="382"/>
      <c r="R49" s="382"/>
      <c r="S49" s="382"/>
      <c r="T49" s="382"/>
      <c r="U49" s="382"/>
      <c r="V49" s="382"/>
      <c r="W49" s="382"/>
      <c r="X49" s="540"/>
      <c r="Y49" s="540"/>
      <c r="Z49" s="265"/>
      <c r="AA49" s="371">
        <v>61.7</v>
      </c>
      <c r="AB49" s="372">
        <f t="shared" si="12"/>
        <v>1.0431250000000001</v>
      </c>
      <c r="AC49" s="265"/>
      <c r="AW49" s="265"/>
      <c r="AX49" s="265"/>
      <c r="AY49" s="265"/>
      <c r="AZ49" s="265"/>
    </row>
    <row r="50" spans="1:52" ht="12.95" customHeight="1" x14ac:dyDescent="0.2">
      <c r="A50" s="1517"/>
      <c r="B50" s="1518"/>
      <c r="C50" s="1518"/>
      <c r="D50" s="1518"/>
      <c r="E50" s="1518"/>
      <c r="F50" s="1518"/>
      <c r="G50" s="1519"/>
      <c r="H50" s="295"/>
      <c r="I50" s="295"/>
      <c r="J50" s="295"/>
      <c r="K50" s="295"/>
      <c r="L50" s="295"/>
      <c r="M50" s="295"/>
      <c r="N50" s="295"/>
      <c r="O50" s="295"/>
      <c r="P50" s="573"/>
      <c r="Q50" s="382"/>
      <c r="R50" s="382"/>
      <c r="S50" s="382"/>
      <c r="T50" s="382"/>
      <c r="U50" s="382"/>
      <c r="V50" s="382"/>
      <c r="W50" s="382"/>
      <c r="X50" s="540"/>
      <c r="Y50" s="540"/>
      <c r="Z50" s="265"/>
      <c r="AA50" s="371">
        <v>61.8</v>
      </c>
      <c r="AB50" s="372">
        <f t="shared" si="12"/>
        <v>1.04</v>
      </c>
      <c r="AC50" s="265"/>
      <c r="AW50" s="265"/>
      <c r="AX50" s="265"/>
      <c r="AY50" s="265"/>
      <c r="AZ50" s="265"/>
    </row>
    <row r="51" spans="1:52" ht="12.95" customHeight="1" x14ac:dyDescent="0.2">
      <c r="A51" s="1517"/>
      <c r="B51" s="1518"/>
      <c r="C51" s="1518"/>
      <c r="D51" s="266"/>
      <c r="P51" s="573"/>
      <c r="Q51" s="382"/>
      <c r="R51" s="382"/>
      <c r="S51" s="382"/>
      <c r="T51" s="382"/>
      <c r="U51" s="382"/>
      <c r="V51" s="382"/>
      <c r="W51" s="382"/>
      <c r="X51" s="540"/>
      <c r="Y51" s="540"/>
      <c r="Z51" s="265"/>
      <c r="AA51" s="369">
        <v>61.9</v>
      </c>
      <c r="AB51" s="370">
        <v>1.04</v>
      </c>
      <c r="AC51" s="356"/>
      <c r="AW51" s="265"/>
      <c r="AX51" s="265"/>
      <c r="AY51" s="265"/>
      <c r="AZ51" s="265"/>
    </row>
    <row r="52" spans="1:52" ht="15.75" customHeight="1" x14ac:dyDescent="0.3">
      <c r="A52" s="1517"/>
      <c r="B52" s="1518"/>
      <c r="C52" s="1518"/>
      <c r="D52" s="266"/>
      <c r="P52" s="576"/>
      <c r="Q52" s="382"/>
      <c r="R52" s="382"/>
      <c r="S52" s="382"/>
      <c r="T52" s="382"/>
      <c r="U52" s="382"/>
      <c r="V52" s="382"/>
      <c r="W52" s="382"/>
      <c r="X52" s="540"/>
      <c r="Y52" s="540"/>
      <c r="Z52" s="265"/>
      <c r="AA52" s="371">
        <v>62</v>
      </c>
      <c r="AB52" s="372">
        <f t="shared" ref="AB52:AB66" si="13">+$AB$51+((AA52-$AA$51)*(($AB$67-$AB$51)/($AA$67-$AA$51)))</f>
        <v>1.0375000000000001</v>
      </c>
      <c r="AC52" s="446"/>
      <c r="AW52" s="265"/>
      <c r="AX52" s="265"/>
      <c r="AY52" s="265"/>
      <c r="AZ52" s="265"/>
    </row>
    <row r="53" spans="1:52" ht="17.25" customHeight="1" x14ac:dyDescent="0.2">
      <c r="A53" s="1517"/>
      <c r="B53" s="1518"/>
      <c r="C53" s="1518"/>
      <c r="P53" s="630"/>
      <c r="Q53" s="540"/>
      <c r="R53" s="540"/>
      <c r="S53" s="540"/>
      <c r="T53" s="540"/>
      <c r="U53" s="540"/>
      <c r="V53" s="540"/>
      <c r="W53" s="540"/>
      <c r="X53" s="540"/>
      <c r="Y53" s="540"/>
      <c r="Z53" s="265"/>
      <c r="AA53" s="371">
        <v>62.1</v>
      </c>
      <c r="AB53" s="372">
        <f t="shared" si="13"/>
        <v>1.0349999999999999</v>
      </c>
      <c r="AW53" s="265"/>
      <c r="AX53" s="265"/>
      <c r="AY53" s="265"/>
      <c r="AZ53" s="265"/>
    </row>
    <row r="54" spans="1:52" ht="14.25" customHeight="1" x14ac:dyDescent="0.2">
      <c r="A54" s="1517"/>
      <c r="B54" s="1518"/>
      <c r="C54" s="1518"/>
      <c r="P54" s="631"/>
      <c r="Q54" s="577"/>
      <c r="R54" s="577"/>
      <c r="S54" s="577"/>
      <c r="T54" s="577"/>
      <c r="U54" s="577"/>
      <c r="V54" s="577"/>
      <c r="W54" s="577"/>
      <c r="X54" s="577"/>
      <c r="Y54" s="577"/>
      <c r="Z54" s="350"/>
      <c r="AA54" s="371">
        <v>62.2</v>
      </c>
      <c r="AB54" s="372">
        <f t="shared" si="13"/>
        <v>1.0325</v>
      </c>
      <c r="AW54" s="265"/>
      <c r="AX54" s="265"/>
      <c r="AY54" s="265"/>
      <c r="AZ54" s="265"/>
    </row>
    <row r="55" spans="1:52" ht="13.5" customHeight="1" x14ac:dyDescent="0.2">
      <c r="A55" s="1517"/>
      <c r="B55" s="1518"/>
      <c r="C55" s="1518"/>
      <c r="P55" s="631"/>
      <c r="Q55" s="577"/>
      <c r="R55" s="577"/>
      <c r="S55" s="577"/>
      <c r="T55" s="577"/>
      <c r="U55" s="577"/>
      <c r="V55" s="577"/>
      <c r="W55" s="577"/>
      <c r="X55" s="577"/>
      <c r="Y55" s="577"/>
      <c r="Z55" s="350"/>
      <c r="AA55" s="371">
        <v>62.3</v>
      </c>
      <c r="AB55" s="372">
        <f t="shared" si="13"/>
        <v>1.03</v>
      </c>
      <c r="AW55" s="265"/>
      <c r="AX55" s="265"/>
      <c r="AY55" s="265"/>
      <c r="AZ55" s="265"/>
    </row>
    <row r="56" spans="1:52" ht="12" customHeight="1" x14ac:dyDescent="0.2">
      <c r="A56" s="1517"/>
      <c r="B56" s="1518"/>
      <c r="C56" s="1518"/>
      <c r="P56" s="632"/>
      <c r="Q56" s="577"/>
      <c r="R56" s="359"/>
      <c r="S56" s="577"/>
      <c r="T56" s="577"/>
      <c r="U56" s="577"/>
      <c r="V56" s="577"/>
      <c r="W56" s="577"/>
      <c r="X56" s="577"/>
      <c r="Y56" s="577"/>
      <c r="Z56" s="350"/>
      <c r="AA56" s="371">
        <v>62.4</v>
      </c>
      <c r="AB56" s="372">
        <f t="shared" si="13"/>
        <v>1.0275000000000001</v>
      </c>
      <c r="AW56" s="265"/>
      <c r="AX56" s="265"/>
      <c r="AY56" s="265"/>
      <c r="AZ56" s="265"/>
    </row>
    <row r="57" spans="1:52" ht="12" customHeight="1" x14ac:dyDescent="0.2">
      <c r="A57" s="1517"/>
      <c r="B57" s="1518"/>
      <c r="C57" s="1518"/>
      <c r="P57" s="632"/>
      <c r="Q57" s="577"/>
      <c r="R57" s="359"/>
      <c r="S57" s="577"/>
      <c r="T57" s="577"/>
      <c r="U57" s="577"/>
      <c r="V57" s="577"/>
      <c r="W57" s="577"/>
      <c r="X57" s="577"/>
      <c r="Y57" s="577"/>
      <c r="Z57" s="350"/>
      <c r="AA57" s="371">
        <v>62.5</v>
      </c>
      <c r="AB57" s="372">
        <f t="shared" si="13"/>
        <v>1.0249999999999999</v>
      </c>
      <c r="AW57" s="265"/>
      <c r="AX57" s="265"/>
      <c r="AY57" s="265"/>
      <c r="AZ57" s="265"/>
    </row>
    <row r="58" spans="1:52" ht="12" customHeight="1" x14ac:dyDescent="0.2">
      <c r="A58" s="1517"/>
      <c r="B58" s="1518"/>
      <c r="C58" s="1518"/>
      <c r="P58" s="632"/>
      <c r="Q58" s="577"/>
      <c r="R58" s="577"/>
      <c r="S58" s="577"/>
      <c r="T58" s="577"/>
      <c r="U58" s="577"/>
      <c r="V58" s="577"/>
      <c r="W58" s="577"/>
      <c r="X58" s="577"/>
      <c r="Y58" s="577"/>
      <c r="Z58" s="350"/>
      <c r="AA58" s="371">
        <v>62.6</v>
      </c>
      <c r="AB58" s="372">
        <f t="shared" si="13"/>
        <v>1.0225</v>
      </c>
      <c r="AW58" s="265"/>
      <c r="AX58" s="265"/>
      <c r="AY58" s="265"/>
      <c r="AZ58" s="265"/>
    </row>
    <row r="59" spans="1:52" ht="12" customHeight="1" x14ac:dyDescent="0.2">
      <c r="A59" s="1517"/>
      <c r="B59" s="1518"/>
      <c r="C59" s="1518"/>
      <c r="P59" s="633"/>
      <c r="Q59" s="577"/>
      <c r="R59" s="577"/>
      <c r="S59" s="577"/>
      <c r="T59" s="577"/>
      <c r="U59" s="577"/>
      <c r="V59" s="577"/>
      <c r="W59" s="577"/>
      <c r="X59" s="577"/>
      <c r="Y59" s="577"/>
      <c r="Z59" s="350"/>
      <c r="AA59" s="371">
        <v>62.7</v>
      </c>
      <c r="AB59" s="372">
        <f t="shared" si="13"/>
        <v>1.02</v>
      </c>
      <c r="AW59" s="265"/>
      <c r="AX59" s="265"/>
      <c r="AY59" s="265"/>
      <c r="AZ59" s="265"/>
    </row>
    <row r="60" spans="1:52" ht="12.95" customHeight="1" x14ac:dyDescent="0.2">
      <c r="A60" s="1517"/>
      <c r="B60" s="1518"/>
      <c r="C60" s="1518"/>
      <c r="P60" s="632"/>
      <c r="Q60" s="634"/>
      <c r="R60" s="634"/>
      <c r="S60" s="577"/>
      <c r="T60" s="577"/>
      <c r="U60" s="577"/>
      <c r="V60" s="577"/>
      <c r="W60" s="577"/>
      <c r="X60" s="577"/>
      <c r="Y60" s="577"/>
      <c r="Z60" s="350"/>
      <c r="AA60" s="371">
        <v>62.8</v>
      </c>
      <c r="AB60" s="372">
        <f t="shared" si="13"/>
        <v>1.0175000000000001</v>
      </c>
      <c r="AW60" s="265"/>
      <c r="AX60" s="265"/>
      <c r="AY60" s="265"/>
      <c r="AZ60" s="265"/>
    </row>
    <row r="61" spans="1:52" ht="12.95" customHeight="1" x14ac:dyDescent="0.2">
      <c r="A61" s="1517"/>
      <c r="B61" s="1518"/>
      <c r="C61" s="1518"/>
      <c r="P61" s="630"/>
      <c r="Q61" s="577"/>
      <c r="R61" s="577"/>
      <c r="S61" s="577"/>
      <c r="T61" s="577"/>
      <c r="U61" s="577"/>
      <c r="V61" s="577"/>
      <c r="W61" s="577"/>
      <c r="X61" s="577"/>
      <c r="Y61" s="577"/>
      <c r="Z61" s="350"/>
      <c r="AA61" s="371">
        <v>62.9</v>
      </c>
      <c r="AB61" s="372">
        <f t="shared" si="13"/>
        <v>1.0150000000000001</v>
      </c>
      <c r="AW61" s="265"/>
      <c r="AX61" s="265"/>
      <c r="AY61" s="265"/>
      <c r="AZ61" s="265"/>
    </row>
    <row r="62" spans="1:52" ht="24" customHeight="1" x14ac:dyDescent="0.2">
      <c r="A62" s="1517"/>
      <c r="B62" s="1518"/>
      <c r="C62" s="1518"/>
      <c r="P62" s="631"/>
      <c r="Q62" s="577"/>
      <c r="R62" s="635"/>
      <c r="S62" s="577"/>
      <c r="T62" s="577"/>
      <c r="U62" s="577"/>
      <c r="V62" s="577"/>
      <c r="W62" s="577"/>
      <c r="X62" s="577"/>
      <c r="Y62" s="577"/>
      <c r="Z62" s="350"/>
      <c r="AA62" s="371">
        <v>63</v>
      </c>
      <c r="AB62" s="372">
        <f t="shared" si="13"/>
        <v>1.0125</v>
      </c>
      <c r="AW62" s="265"/>
      <c r="AX62" s="265"/>
      <c r="AY62" s="265"/>
      <c r="AZ62" s="265"/>
    </row>
    <row r="63" spans="1:52" ht="12.95" customHeight="1" x14ac:dyDescent="0.2">
      <c r="A63" s="1517"/>
      <c r="B63" s="1518"/>
      <c r="C63" s="1518"/>
      <c r="P63" s="268"/>
      <c r="Q63" s="577"/>
      <c r="R63" s="636"/>
      <c r="S63" s="577"/>
      <c r="T63" s="577"/>
      <c r="U63" s="577"/>
      <c r="V63" s="577"/>
      <c r="W63" s="577"/>
      <c r="X63" s="577"/>
      <c r="Y63" s="577"/>
      <c r="Z63" s="350"/>
      <c r="AA63" s="371">
        <v>63.1</v>
      </c>
      <c r="AB63" s="372">
        <f t="shared" si="13"/>
        <v>1.01</v>
      </c>
      <c r="AW63" s="265"/>
      <c r="AX63" s="265"/>
      <c r="AY63" s="265"/>
      <c r="AZ63" s="265"/>
    </row>
    <row r="64" spans="1:52" ht="12.95" customHeight="1" x14ac:dyDescent="0.2">
      <c r="A64" s="1517"/>
      <c r="B64" s="1518"/>
      <c r="C64" s="1518"/>
      <c r="P64" s="268"/>
      <c r="Q64" s="577"/>
      <c r="R64" s="636"/>
      <c r="S64" s="577"/>
      <c r="T64" s="577"/>
      <c r="U64" s="577"/>
      <c r="V64" s="577"/>
      <c r="W64" s="577"/>
      <c r="X64" s="637"/>
      <c r="Y64" s="637"/>
      <c r="Z64" s="361"/>
      <c r="AA64" s="371">
        <v>63.2</v>
      </c>
      <c r="AB64" s="372">
        <f t="shared" si="13"/>
        <v>1.0074999999999998</v>
      </c>
      <c r="AW64" s="265"/>
      <c r="AX64" s="265"/>
      <c r="AY64" s="265"/>
      <c r="AZ64" s="265"/>
    </row>
    <row r="65" spans="1:52" ht="12.95" customHeight="1" x14ac:dyDescent="0.2">
      <c r="A65" s="1517"/>
      <c r="B65" s="1518"/>
      <c r="C65" s="1518"/>
      <c r="P65" s="268"/>
      <c r="Q65" s="577"/>
      <c r="R65" s="636"/>
      <c r="S65" s="577"/>
      <c r="T65" s="577"/>
      <c r="U65" s="577"/>
      <c r="V65" s="577"/>
      <c r="W65" s="577"/>
      <c r="X65" s="637"/>
      <c r="Y65" s="637"/>
      <c r="Z65" s="361"/>
      <c r="AA65" s="371">
        <v>63.3</v>
      </c>
      <c r="AB65" s="372">
        <f t="shared" si="13"/>
        <v>1.0050000000000001</v>
      </c>
      <c r="AW65" s="265"/>
      <c r="AX65" s="265"/>
      <c r="AY65" s="265"/>
      <c r="AZ65" s="265"/>
    </row>
    <row r="66" spans="1:52" ht="12.95" customHeight="1" x14ac:dyDescent="0.2">
      <c r="A66" s="1517"/>
      <c r="B66" s="1518"/>
      <c r="C66" s="1518"/>
      <c r="P66" s="268"/>
      <c r="Q66" s="577"/>
      <c r="R66" s="636"/>
      <c r="S66" s="577"/>
      <c r="T66" s="638"/>
      <c r="U66" s="638"/>
      <c r="V66" s="638"/>
      <c r="W66" s="638"/>
      <c r="X66" s="638"/>
      <c r="Y66" s="638"/>
      <c r="Z66" s="357"/>
      <c r="AA66" s="371">
        <v>63.4</v>
      </c>
      <c r="AB66" s="372">
        <f t="shared" si="13"/>
        <v>1.0024999999999999</v>
      </c>
      <c r="AW66" s="265"/>
      <c r="AX66" s="265"/>
      <c r="AY66" s="265"/>
      <c r="AZ66" s="265"/>
    </row>
    <row r="67" spans="1:52" ht="12.95" customHeight="1" x14ac:dyDescent="0.2">
      <c r="P67" s="639"/>
      <c r="Q67" s="577"/>
      <c r="R67" s="638"/>
      <c r="S67" s="577"/>
      <c r="T67" s="640"/>
      <c r="U67" s="641"/>
      <c r="V67" s="641"/>
      <c r="W67" s="642"/>
      <c r="X67" s="642"/>
      <c r="Y67" s="642"/>
      <c r="Z67" s="362"/>
      <c r="AA67" s="369">
        <v>63.5</v>
      </c>
      <c r="AB67" s="370">
        <v>1</v>
      </c>
      <c r="AW67" s="265"/>
      <c r="AX67" s="265"/>
      <c r="AY67" s="265"/>
      <c r="AZ67" s="265"/>
    </row>
    <row r="68" spans="1:52" ht="12.95" customHeight="1" x14ac:dyDescent="0.2">
      <c r="P68" s="639"/>
      <c r="Q68" s="577"/>
      <c r="R68" s="577"/>
      <c r="S68" s="577"/>
      <c r="T68" s="643"/>
      <c r="U68" s="644"/>
      <c r="V68" s="642"/>
      <c r="W68" s="642"/>
      <c r="X68" s="642"/>
      <c r="Y68" s="642"/>
      <c r="Z68" s="362"/>
      <c r="AA68" s="371">
        <v>63.6</v>
      </c>
      <c r="AB68" s="372">
        <f t="shared" ref="AB68:AB82" si="14">+$AB$67+((AA68-$AA$67)*(($AB$83-$AB$67)/($AA$83-$AA$67)))</f>
        <v>0.99749999999999994</v>
      </c>
      <c r="AW68" s="265"/>
      <c r="AX68" s="265"/>
      <c r="AY68" s="265"/>
      <c r="AZ68" s="265"/>
    </row>
    <row r="69" spans="1:52" ht="12.95" customHeight="1" x14ac:dyDescent="0.2">
      <c r="P69" s="645"/>
      <c r="Q69" s="646"/>
      <c r="R69" s="646"/>
      <c r="S69" s="1537"/>
      <c r="T69" s="643"/>
      <c r="U69" s="647"/>
      <c r="V69" s="647"/>
      <c r="W69" s="647"/>
      <c r="X69" s="647"/>
      <c r="Y69" s="647"/>
      <c r="Z69" s="363"/>
      <c r="AA69" s="371">
        <v>63.7</v>
      </c>
      <c r="AB69" s="372">
        <f t="shared" si="14"/>
        <v>0.99499999999999988</v>
      </c>
      <c r="AW69" s="265"/>
      <c r="AX69" s="265"/>
      <c r="AY69" s="265"/>
      <c r="AZ69" s="265"/>
    </row>
    <row r="70" spans="1:52" ht="12.95" customHeight="1" x14ac:dyDescent="0.2">
      <c r="P70" s="645"/>
      <c r="Q70" s="646"/>
      <c r="R70" s="646"/>
      <c r="S70" s="1537"/>
      <c r="T70" s="577"/>
      <c r="U70" s="647"/>
      <c r="V70" s="647"/>
      <c r="W70" s="647"/>
      <c r="X70" s="647"/>
      <c r="Y70" s="647"/>
      <c r="Z70" s="363"/>
      <c r="AA70" s="371">
        <v>63.8</v>
      </c>
      <c r="AB70" s="372">
        <f t="shared" si="14"/>
        <v>0.99250000000000005</v>
      </c>
      <c r="AW70" s="265"/>
      <c r="AX70" s="265"/>
      <c r="AY70" s="265"/>
      <c r="AZ70" s="265"/>
    </row>
    <row r="71" spans="1:52" ht="12.95" customHeight="1" x14ac:dyDescent="0.2">
      <c r="P71" s="645"/>
      <c r="Q71" s="646"/>
      <c r="R71" s="646"/>
      <c r="S71" s="1537"/>
      <c r="T71" s="577"/>
      <c r="U71" s="647"/>
      <c r="V71" s="647"/>
      <c r="W71" s="647"/>
      <c r="X71" s="647"/>
      <c r="Y71" s="647"/>
      <c r="Z71" s="363"/>
      <c r="AA71" s="371">
        <v>63.9</v>
      </c>
      <c r="AB71" s="372">
        <f t="shared" si="14"/>
        <v>0.99</v>
      </c>
      <c r="AW71" s="265"/>
      <c r="AX71" s="265"/>
      <c r="AY71" s="265"/>
      <c r="AZ71" s="265"/>
    </row>
    <row r="72" spans="1:52" ht="12.95" customHeight="1" x14ac:dyDescent="0.2">
      <c r="P72" s="648"/>
      <c r="Q72" s="646"/>
      <c r="R72" s="646"/>
      <c r="S72" s="1537"/>
      <c r="T72" s="577"/>
      <c r="U72" s="647"/>
      <c r="V72" s="647"/>
      <c r="W72" s="647"/>
      <c r="X72" s="647"/>
      <c r="Y72" s="647"/>
      <c r="Z72" s="363"/>
      <c r="AA72" s="371">
        <v>64</v>
      </c>
      <c r="AB72" s="372">
        <f t="shared" si="14"/>
        <v>0.98749999999999993</v>
      </c>
      <c r="AW72" s="265"/>
      <c r="AX72" s="265"/>
      <c r="AY72" s="265"/>
      <c r="AZ72" s="265"/>
    </row>
    <row r="73" spans="1:52" ht="12.95" customHeight="1" x14ac:dyDescent="0.2">
      <c r="P73" s="649"/>
      <c r="Q73" s="577"/>
      <c r="R73" s="577"/>
      <c r="S73" s="1537"/>
      <c r="T73" s="577"/>
      <c r="U73" s="647"/>
      <c r="V73" s="647"/>
      <c r="W73" s="647"/>
      <c r="X73" s="647"/>
      <c r="Y73" s="647"/>
      <c r="Z73" s="363"/>
      <c r="AA73" s="371">
        <v>64.100000000000094</v>
      </c>
      <c r="AB73" s="372">
        <f t="shared" si="14"/>
        <v>0.98499999999999754</v>
      </c>
      <c r="AW73" s="265"/>
      <c r="AX73" s="265"/>
      <c r="AY73" s="265"/>
      <c r="AZ73" s="265"/>
    </row>
    <row r="74" spans="1:52" ht="12.95" customHeight="1" x14ac:dyDescent="0.2">
      <c r="P74" s="649"/>
      <c r="Q74" s="646"/>
      <c r="R74" s="577"/>
      <c r="S74" s="1537"/>
      <c r="T74" s="643"/>
      <c r="U74" s="647"/>
      <c r="V74" s="647"/>
      <c r="W74" s="647"/>
      <c r="X74" s="647"/>
      <c r="Y74" s="647"/>
      <c r="Z74" s="363"/>
      <c r="AA74" s="371">
        <v>64.200000000000102</v>
      </c>
      <c r="AB74" s="372">
        <f t="shared" si="14"/>
        <v>0.98249999999999738</v>
      </c>
      <c r="AW74" s="265"/>
      <c r="AX74" s="265"/>
      <c r="AY74" s="265"/>
      <c r="AZ74" s="265"/>
    </row>
    <row r="75" spans="1:52" ht="12.95" customHeight="1" x14ac:dyDescent="0.2">
      <c r="P75" s="649"/>
      <c r="Q75" s="577"/>
      <c r="R75" s="577"/>
      <c r="S75" s="1537"/>
      <c r="T75" s="577"/>
      <c r="U75" s="647"/>
      <c r="V75" s="647"/>
      <c r="W75" s="647"/>
      <c r="X75" s="647"/>
      <c r="Y75" s="647"/>
      <c r="Z75" s="363"/>
      <c r="AA75" s="371">
        <v>64.300000000000097</v>
      </c>
      <c r="AB75" s="372">
        <f t="shared" si="14"/>
        <v>0.97999999999999754</v>
      </c>
      <c r="AW75" s="265"/>
      <c r="AX75" s="265"/>
      <c r="AY75" s="265"/>
      <c r="AZ75" s="265"/>
    </row>
    <row r="76" spans="1:52" ht="12.95" customHeight="1" x14ac:dyDescent="0.2">
      <c r="P76" s="649"/>
      <c r="Q76" s="577"/>
      <c r="R76" s="577"/>
      <c r="S76" s="1537"/>
      <c r="T76" s="577"/>
      <c r="U76" s="647"/>
      <c r="V76" s="647"/>
      <c r="W76" s="647"/>
      <c r="X76" s="647"/>
      <c r="Y76" s="647"/>
      <c r="Z76" s="363"/>
      <c r="AA76" s="371">
        <v>64.400000000000006</v>
      </c>
      <c r="AB76" s="372">
        <f t="shared" si="14"/>
        <v>0.97749999999999981</v>
      </c>
      <c r="AW76" s="265"/>
      <c r="AX76" s="265"/>
      <c r="AY76" s="265"/>
      <c r="AZ76" s="265"/>
    </row>
    <row r="77" spans="1:52" ht="12.95" customHeight="1" x14ac:dyDescent="0.2">
      <c r="P77" s="649"/>
      <c r="Q77" s="577"/>
      <c r="R77" s="577"/>
      <c r="S77" s="1537"/>
      <c r="T77" s="577"/>
      <c r="U77" s="647"/>
      <c r="V77" s="647"/>
      <c r="W77" s="647"/>
      <c r="X77" s="647"/>
      <c r="Y77" s="647"/>
      <c r="Z77" s="363"/>
      <c r="AA77" s="371">
        <v>64.5</v>
      </c>
      <c r="AB77" s="372">
        <f t="shared" si="14"/>
        <v>0.97499999999999987</v>
      </c>
      <c r="AW77" s="265"/>
      <c r="AX77" s="265"/>
      <c r="AY77" s="265"/>
      <c r="AZ77" s="265"/>
    </row>
    <row r="78" spans="1:52" s="269" customFormat="1" ht="12.95" customHeight="1" x14ac:dyDescent="0.2">
      <c r="A78" s="11"/>
      <c r="B78" s="11"/>
      <c r="C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649"/>
      <c r="Q78" s="637"/>
      <c r="R78" s="637"/>
      <c r="S78" s="637"/>
      <c r="T78" s="577"/>
      <c r="U78" s="647"/>
      <c r="V78" s="647"/>
      <c r="W78" s="647"/>
      <c r="X78" s="647"/>
      <c r="Y78" s="647"/>
      <c r="Z78" s="363"/>
      <c r="AA78" s="371">
        <v>64.599999999999994</v>
      </c>
      <c r="AB78" s="372">
        <f t="shared" si="14"/>
        <v>0.97250000000000003</v>
      </c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267"/>
      <c r="AX78" s="267"/>
      <c r="AY78" s="267"/>
      <c r="AZ78" s="267"/>
    </row>
    <row r="79" spans="1:52" s="269" customFormat="1" ht="12.95" customHeight="1" x14ac:dyDescent="0.2">
      <c r="A79" s="11"/>
      <c r="B79" s="11"/>
      <c r="C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650"/>
      <c r="Q79" s="637"/>
      <c r="R79" s="637"/>
      <c r="S79" s="637"/>
      <c r="T79" s="643"/>
      <c r="U79" s="647"/>
      <c r="V79" s="647"/>
      <c r="W79" s="647"/>
      <c r="X79" s="647"/>
      <c r="Y79" s="647"/>
      <c r="Z79" s="363"/>
      <c r="AA79" s="371">
        <v>64.7</v>
      </c>
      <c r="AB79" s="372">
        <f t="shared" si="14"/>
        <v>0.96999999999999975</v>
      </c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267"/>
      <c r="AX79" s="267"/>
      <c r="AY79" s="267"/>
      <c r="AZ79" s="267"/>
    </row>
    <row r="80" spans="1:52" s="269" customFormat="1" ht="12.95" customHeight="1" x14ac:dyDescent="0.2">
      <c r="A80" s="11"/>
      <c r="B80" s="11"/>
      <c r="C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650"/>
      <c r="Q80" s="637"/>
      <c r="R80" s="637"/>
      <c r="S80" s="1538"/>
      <c r="T80" s="577"/>
      <c r="U80" s="647"/>
      <c r="V80" s="647"/>
      <c r="W80" s="647"/>
      <c r="X80" s="647"/>
      <c r="Y80" s="647"/>
      <c r="Z80" s="363"/>
      <c r="AA80" s="371">
        <v>64.8</v>
      </c>
      <c r="AB80" s="372">
        <f t="shared" si="14"/>
        <v>0.96749999999999992</v>
      </c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267"/>
      <c r="AX80" s="267"/>
      <c r="AY80" s="267"/>
      <c r="AZ80" s="267"/>
    </row>
    <row r="81" spans="1:52" s="269" customFormat="1" ht="12.95" customHeight="1" x14ac:dyDescent="0.2">
      <c r="A81" s="11"/>
      <c r="B81" s="11"/>
      <c r="C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650"/>
      <c r="Q81" s="637"/>
      <c r="R81" s="637"/>
      <c r="S81" s="1538"/>
      <c r="T81" s="577"/>
      <c r="U81" s="647"/>
      <c r="V81" s="647"/>
      <c r="W81" s="647"/>
      <c r="X81" s="647"/>
      <c r="Y81" s="647"/>
      <c r="Z81" s="363"/>
      <c r="AA81" s="371">
        <v>64.900000000000006</v>
      </c>
      <c r="AB81" s="372">
        <f t="shared" si="14"/>
        <v>0.96499999999999975</v>
      </c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267"/>
      <c r="AX81" s="267"/>
      <c r="AY81" s="267"/>
      <c r="AZ81" s="267"/>
    </row>
    <row r="82" spans="1:52" s="269" customFormat="1" ht="11.1" customHeight="1" x14ac:dyDescent="0.2">
      <c r="A82" s="11"/>
      <c r="B82" s="11"/>
      <c r="C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577"/>
      <c r="Q82" s="637"/>
      <c r="R82" s="637"/>
      <c r="S82" s="1538"/>
      <c r="T82" s="577"/>
      <c r="U82" s="647"/>
      <c r="V82" s="647"/>
      <c r="W82" s="647"/>
      <c r="X82" s="647"/>
      <c r="Y82" s="647"/>
      <c r="Z82" s="363"/>
      <c r="AA82" s="371">
        <v>65</v>
      </c>
      <c r="AB82" s="372">
        <f t="shared" si="14"/>
        <v>0.9624999999999998</v>
      </c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267"/>
      <c r="AX82" s="267"/>
      <c r="AY82" s="267"/>
      <c r="AZ82" s="267"/>
    </row>
    <row r="83" spans="1:52" s="269" customFormat="1" ht="11.1" customHeight="1" x14ac:dyDescent="0.2">
      <c r="A83" s="11"/>
      <c r="B83" s="11"/>
      <c r="C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577"/>
      <c r="Q83" s="637"/>
      <c r="R83" s="637"/>
      <c r="S83" s="637"/>
      <c r="T83" s="577"/>
      <c r="U83" s="647"/>
      <c r="V83" s="647"/>
      <c r="W83" s="647"/>
      <c r="X83" s="647"/>
      <c r="Y83" s="647"/>
      <c r="Z83" s="363"/>
      <c r="AA83" s="369">
        <v>65.099999999999994</v>
      </c>
      <c r="AB83" s="370">
        <v>0.96</v>
      </c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267"/>
      <c r="AX83" s="267"/>
      <c r="AY83" s="267"/>
      <c r="AZ83" s="267"/>
    </row>
    <row r="84" spans="1:52" ht="11.1" customHeight="1" x14ac:dyDescent="0.2">
      <c r="P84" s="577"/>
      <c r="Q84" s="577"/>
      <c r="R84" s="577"/>
      <c r="S84" s="577"/>
      <c r="T84" s="637"/>
      <c r="U84" s="637"/>
      <c r="V84" s="637"/>
      <c r="W84" s="637"/>
      <c r="X84" s="577"/>
      <c r="Y84" s="577"/>
      <c r="Z84" s="350"/>
      <c r="AA84" s="371">
        <v>65.2</v>
      </c>
      <c r="AB84" s="372">
        <f t="shared" ref="AB84:AB98" si="15">+$AB$83+((AA84-$AA$83)*(($AB$99-$AB$83)/($AA$99-$AA$83)))</f>
        <v>0.95812499999999978</v>
      </c>
      <c r="AC84" s="265"/>
      <c r="AD84" s="265"/>
      <c r="AE84" s="265"/>
      <c r="AF84" s="265"/>
      <c r="AG84" s="265"/>
      <c r="AH84" s="265"/>
      <c r="AI84" s="265"/>
      <c r="AJ84" s="265"/>
      <c r="AK84" s="265"/>
      <c r="AL84" s="265"/>
      <c r="AM84" s="265"/>
      <c r="AN84" s="265"/>
      <c r="AO84" s="265"/>
      <c r="AP84" s="265"/>
      <c r="AQ84" s="265"/>
      <c r="AR84" s="265"/>
      <c r="AS84" s="265"/>
      <c r="AT84" s="265"/>
      <c r="AU84" s="265"/>
      <c r="AV84" s="265"/>
      <c r="AW84" s="265"/>
      <c r="AX84" s="265"/>
      <c r="AY84" s="265"/>
      <c r="AZ84" s="265"/>
    </row>
    <row r="85" spans="1:52" ht="11.1" customHeight="1" x14ac:dyDescent="0.2">
      <c r="P85" s="577"/>
      <c r="Q85" s="577"/>
      <c r="R85" s="577"/>
      <c r="S85" s="577"/>
      <c r="T85" s="637"/>
      <c r="U85" s="637"/>
      <c r="V85" s="637"/>
      <c r="W85" s="637"/>
      <c r="X85" s="577"/>
      <c r="Y85" s="577"/>
      <c r="Z85" s="350"/>
      <c r="AA85" s="371">
        <v>65.3</v>
      </c>
      <c r="AB85" s="372">
        <f t="shared" si="15"/>
        <v>0.95624999999999993</v>
      </c>
      <c r="AC85" s="265"/>
      <c r="AD85" s="265"/>
      <c r="AE85" s="265"/>
      <c r="AF85" s="265"/>
      <c r="AG85" s="265"/>
      <c r="AH85" s="265"/>
      <c r="AI85" s="265"/>
      <c r="AJ85" s="265"/>
      <c r="AK85" s="265"/>
      <c r="AL85" s="265"/>
      <c r="AM85" s="265"/>
      <c r="AN85" s="265"/>
      <c r="AO85" s="265"/>
      <c r="AP85" s="265"/>
      <c r="AQ85" s="265"/>
      <c r="AR85" s="265"/>
      <c r="AS85" s="265"/>
      <c r="AT85" s="265"/>
      <c r="AU85" s="265"/>
      <c r="AV85" s="265"/>
      <c r="AW85" s="265"/>
      <c r="AX85" s="265"/>
      <c r="AY85" s="265"/>
      <c r="AZ85" s="265"/>
    </row>
    <row r="86" spans="1:52" ht="11.1" customHeight="1" x14ac:dyDescent="0.2">
      <c r="P86" s="577"/>
      <c r="Q86" s="577"/>
      <c r="R86" s="577"/>
      <c r="S86" s="577"/>
      <c r="T86" s="637"/>
      <c r="U86" s="637"/>
      <c r="V86" s="637"/>
      <c r="W86" s="637"/>
      <c r="X86" s="651"/>
      <c r="Y86" s="651"/>
      <c r="Z86" s="365"/>
      <c r="AA86" s="371">
        <v>65.400000000000006</v>
      </c>
      <c r="AB86" s="372">
        <f t="shared" si="15"/>
        <v>0.95437499999999975</v>
      </c>
      <c r="AC86" s="265"/>
      <c r="AD86" s="265"/>
      <c r="AE86" s="265"/>
      <c r="AF86" s="265"/>
      <c r="AG86" s="265"/>
      <c r="AH86" s="265"/>
      <c r="AI86" s="265"/>
      <c r="AJ86" s="265"/>
      <c r="AK86" s="265"/>
      <c r="AL86" s="265"/>
      <c r="AM86" s="265"/>
      <c r="AN86" s="265"/>
      <c r="AO86" s="265"/>
      <c r="AP86" s="265"/>
      <c r="AQ86" s="265"/>
      <c r="AR86" s="265"/>
      <c r="AS86" s="265"/>
      <c r="AT86" s="265"/>
      <c r="AU86" s="265"/>
      <c r="AV86" s="265"/>
      <c r="AW86" s="265"/>
      <c r="AX86" s="265"/>
      <c r="AY86" s="265"/>
      <c r="AZ86" s="265"/>
    </row>
    <row r="87" spans="1:52" ht="11.1" customHeight="1" x14ac:dyDescent="0.2">
      <c r="P87" s="577"/>
      <c r="Q87" s="577"/>
      <c r="R87" s="577"/>
      <c r="S87" s="577"/>
      <c r="T87" s="637"/>
      <c r="U87" s="637"/>
      <c r="V87" s="637"/>
      <c r="W87" s="637"/>
      <c r="X87" s="651"/>
      <c r="Y87" s="651"/>
      <c r="Z87" s="365"/>
      <c r="AA87" s="371">
        <v>65.5</v>
      </c>
      <c r="AB87" s="372">
        <f t="shared" si="15"/>
        <v>0.9524999999999999</v>
      </c>
      <c r="AC87" s="265"/>
      <c r="AD87" s="265"/>
      <c r="AE87" s="265"/>
      <c r="AF87" s="265"/>
      <c r="AG87" s="265"/>
      <c r="AH87" s="265"/>
      <c r="AI87" s="265"/>
      <c r="AJ87" s="265"/>
      <c r="AK87" s="265"/>
      <c r="AL87" s="265"/>
      <c r="AM87" s="265"/>
      <c r="AN87" s="265"/>
      <c r="AO87" s="265"/>
      <c r="AP87" s="265"/>
      <c r="AQ87" s="265"/>
      <c r="AR87" s="265"/>
      <c r="AS87" s="265"/>
      <c r="AT87" s="265"/>
      <c r="AU87" s="265"/>
      <c r="AV87" s="265"/>
      <c r="AW87" s="265"/>
      <c r="AX87" s="265"/>
      <c r="AY87" s="265"/>
      <c r="AZ87" s="265"/>
    </row>
    <row r="88" spans="1:52" ht="11.1" customHeight="1" x14ac:dyDescent="0.2">
      <c r="P88" s="577"/>
      <c r="Q88" s="577"/>
      <c r="R88" s="577"/>
      <c r="S88" s="577"/>
      <c r="T88" s="637"/>
      <c r="U88" s="637"/>
      <c r="V88" s="637"/>
      <c r="W88" s="637"/>
      <c r="X88" s="651"/>
      <c r="Y88" s="651"/>
      <c r="Z88" s="365"/>
      <c r="AA88" s="371">
        <v>65.599999999999994</v>
      </c>
      <c r="AB88" s="372">
        <f t="shared" si="15"/>
        <v>0.95062500000000005</v>
      </c>
      <c r="AC88" s="265"/>
      <c r="AD88" s="265"/>
      <c r="AE88" s="265"/>
      <c r="AF88" s="265"/>
      <c r="AG88" s="265"/>
      <c r="AH88" s="265"/>
      <c r="AI88" s="265"/>
      <c r="AJ88" s="265"/>
      <c r="AK88" s="265"/>
      <c r="AL88" s="265"/>
      <c r="AM88" s="265"/>
      <c r="AN88" s="265"/>
      <c r="AO88" s="265"/>
      <c r="AP88" s="265"/>
      <c r="AQ88" s="265"/>
      <c r="AR88" s="265"/>
      <c r="AS88" s="265"/>
      <c r="AT88" s="265"/>
      <c r="AU88" s="265"/>
      <c r="AV88" s="265"/>
      <c r="AW88" s="265"/>
      <c r="AX88" s="265"/>
      <c r="AY88" s="265"/>
      <c r="AZ88" s="265"/>
    </row>
    <row r="89" spans="1:52" ht="11.1" customHeight="1" x14ac:dyDescent="0.2">
      <c r="P89" s="577"/>
      <c r="Q89" s="577"/>
      <c r="R89" s="577"/>
      <c r="S89" s="577"/>
      <c r="T89" s="637"/>
      <c r="U89" s="637"/>
      <c r="V89" s="637"/>
      <c r="W89" s="637"/>
      <c r="X89" s="651"/>
      <c r="Y89" s="651"/>
      <c r="Z89" s="345"/>
      <c r="AA89" s="371">
        <v>65.7</v>
      </c>
      <c r="AB89" s="372">
        <f t="shared" si="15"/>
        <v>0.94874999999999987</v>
      </c>
      <c r="AC89" s="265"/>
      <c r="AD89" s="265"/>
      <c r="AE89" s="265"/>
      <c r="AF89" s="265"/>
      <c r="AG89" s="265"/>
      <c r="AH89" s="265"/>
      <c r="AI89" s="265"/>
      <c r="AJ89" s="265"/>
      <c r="AK89" s="265"/>
      <c r="AL89" s="265"/>
      <c r="AM89" s="265"/>
      <c r="AN89" s="265"/>
      <c r="AO89" s="265"/>
      <c r="AP89" s="265"/>
      <c r="AQ89" s="265"/>
      <c r="AR89" s="265"/>
      <c r="AS89" s="265"/>
      <c r="AT89" s="265"/>
      <c r="AU89" s="265"/>
      <c r="AV89" s="265"/>
      <c r="AW89" s="265"/>
      <c r="AX89" s="265"/>
      <c r="AY89" s="265"/>
      <c r="AZ89" s="265"/>
    </row>
    <row r="90" spans="1:52" ht="11.1" customHeight="1" x14ac:dyDescent="0.2">
      <c r="P90" s="577"/>
      <c r="Q90" s="577"/>
      <c r="R90" s="577"/>
      <c r="S90" s="577"/>
      <c r="T90" s="577"/>
      <c r="U90" s="577"/>
      <c r="V90" s="577"/>
      <c r="W90" s="577"/>
      <c r="X90" s="651"/>
      <c r="Y90" s="651"/>
      <c r="Z90" s="384"/>
      <c r="AA90" s="371">
        <v>65.8</v>
      </c>
      <c r="AB90" s="372">
        <f t="shared" si="15"/>
        <v>0.94687500000000002</v>
      </c>
      <c r="AC90" s="350"/>
      <c r="AD90" s="350"/>
      <c r="AE90" s="350"/>
      <c r="AF90" s="350"/>
      <c r="AG90" s="350"/>
      <c r="AH90" s="350"/>
      <c r="AI90" s="350"/>
      <c r="AJ90" s="350"/>
      <c r="AK90" s="265"/>
      <c r="AL90" s="265"/>
      <c r="AM90" s="265"/>
      <c r="AN90" s="265"/>
      <c r="AO90" s="265"/>
      <c r="AP90" s="265"/>
      <c r="AQ90" s="265"/>
      <c r="AR90" s="265"/>
      <c r="AS90" s="265"/>
      <c r="AT90" s="265"/>
      <c r="AU90" s="265"/>
      <c r="AV90" s="265"/>
      <c r="AW90" s="265"/>
      <c r="AX90" s="265"/>
      <c r="AY90" s="265"/>
      <c r="AZ90" s="265"/>
    </row>
    <row r="91" spans="1:52" ht="11.1" customHeight="1" x14ac:dyDescent="0.2">
      <c r="P91" s="577"/>
      <c r="Q91" s="577"/>
      <c r="R91" s="577"/>
      <c r="S91" s="577"/>
      <c r="T91" s="577"/>
      <c r="U91" s="577"/>
      <c r="V91" s="577"/>
      <c r="W91" s="577"/>
      <c r="X91" s="652"/>
      <c r="Y91" s="652"/>
      <c r="Z91" s="383"/>
      <c r="AA91" s="371">
        <v>65.900000000000006</v>
      </c>
      <c r="AB91" s="372">
        <f t="shared" si="15"/>
        <v>0.94499999999999984</v>
      </c>
      <c r="AC91" s="350"/>
      <c r="AD91" s="350"/>
      <c r="AE91" s="350"/>
      <c r="AF91" s="350"/>
      <c r="AG91" s="350"/>
      <c r="AH91" s="350"/>
      <c r="AI91" s="350"/>
      <c r="AJ91" s="350"/>
      <c r="AK91" s="265"/>
      <c r="AL91" s="265"/>
      <c r="AM91" s="265"/>
      <c r="AN91" s="265"/>
      <c r="AO91" s="265"/>
      <c r="AP91" s="265"/>
      <c r="AQ91" s="265"/>
      <c r="AR91" s="265"/>
      <c r="AS91" s="265"/>
      <c r="AT91" s="265"/>
      <c r="AU91" s="265"/>
      <c r="AV91" s="265"/>
      <c r="AW91" s="265"/>
      <c r="AX91" s="265"/>
      <c r="AY91" s="265"/>
      <c r="AZ91" s="265"/>
    </row>
    <row r="92" spans="1:52" ht="11.1" customHeight="1" x14ac:dyDescent="0.2">
      <c r="P92" s="577"/>
      <c r="Q92" s="577"/>
      <c r="R92" s="577"/>
      <c r="S92" s="577"/>
      <c r="T92" s="577"/>
      <c r="U92" s="577"/>
      <c r="V92" s="577"/>
      <c r="W92" s="577"/>
      <c r="X92" s="539"/>
      <c r="Y92" s="539"/>
      <c r="Z92" s="384"/>
      <c r="AA92" s="371">
        <v>66</v>
      </c>
      <c r="AB92" s="372">
        <f t="shared" si="15"/>
        <v>0.94312499999999999</v>
      </c>
      <c r="AC92" s="350"/>
      <c r="AD92" s="350"/>
      <c r="AE92" s="350"/>
      <c r="AF92" s="350"/>
      <c r="AG92" s="350"/>
      <c r="AH92" s="350"/>
      <c r="AI92" s="350"/>
      <c r="AJ92" s="350"/>
      <c r="AK92" s="265"/>
      <c r="AL92" s="265"/>
      <c r="AM92" s="265"/>
      <c r="AN92" s="265"/>
      <c r="AO92" s="265"/>
      <c r="AP92" s="265"/>
      <c r="AQ92" s="265"/>
      <c r="AR92" s="265"/>
      <c r="AS92" s="265"/>
      <c r="AT92" s="265"/>
      <c r="AU92" s="265"/>
      <c r="AV92" s="265"/>
      <c r="AW92" s="265"/>
      <c r="AX92" s="265"/>
      <c r="AY92" s="265"/>
      <c r="AZ92" s="265"/>
    </row>
    <row r="93" spans="1:52" ht="11.1" customHeight="1" x14ac:dyDescent="0.2">
      <c r="P93" s="577"/>
      <c r="Q93" s="577"/>
      <c r="R93" s="577"/>
      <c r="S93" s="577"/>
      <c r="T93" s="577"/>
      <c r="U93" s="577"/>
      <c r="V93" s="577"/>
      <c r="W93" s="577"/>
      <c r="X93" s="651"/>
      <c r="Y93" s="651"/>
      <c r="Z93" s="384"/>
      <c r="AA93" s="371">
        <v>66.099999999999994</v>
      </c>
      <c r="AB93" s="372">
        <f t="shared" si="15"/>
        <v>0.94125000000000014</v>
      </c>
      <c r="AC93" s="350"/>
      <c r="AD93" s="350"/>
      <c r="AE93" s="350"/>
      <c r="AF93" s="350"/>
      <c r="AG93" s="350"/>
      <c r="AH93" s="350"/>
      <c r="AI93" s="350"/>
      <c r="AJ93" s="350"/>
      <c r="AK93" s="265"/>
      <c r="AL93" s="265"/>
      <c r="AM93" s="265"/>
      <c r="AN93" s="265"/>
      <c r="AO93" s="265"/>
      <c r="AP93" s="265"/>
      <c r="AQ93" s="265"/>
      <c r="AR93" s="265"/>
      <c r="AS93" s="265"/>
      <c r="AT93" s="265"/>
      <c r="AU93" s="265"/>
      <c r="AV93" s="265"/>
      <c r="AW93" s="265"/>
      <c r="AX93" s="265"/>
      <c r="AY93" s="265"/>
      <c r="AZ93" s="265"/>
    </row>
    <row r="94" spans="1:52" s="272" customFormat="1" ht="11.1" customHeight="1" x14ac:dyDescent="0.2">
      <c r="A94" s="11"/>
      <c r="B94" s="11"/>
      <c r="C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577"/>
      <c r="Q94" s="539"/>
      <c r="R94" s="653"/>
      <c r="S94" s="539"/>
      <c r="T94" s="577"/>
      <c r="U94" s="577"/>
      <c r="V94" s="577"/>
      <c r="W94" s="577"/>
      <c r="X94" s="539"/>
      <c r="Y94" s="539"/>
      <c r="Z94" s="378"/>
      <c r="AA94" s="371">
        <v>66.2</v>
      </c>
      <c r="AB94" s="372">
        <f t="shared" si="15"/>
        <v>0.93937499999999996</v>
      </c>
      <c r="AC94" s="350"/>
      <c r="AD94" s="350"/>
      <c r="AE94" s="350"/>
      <c r="AF94" s="350"/>
      <c r="AG94" s="350"/>
      <c r="AH94" s="350"/>
      <c r="AI94" s="350"/>
      <c r="AJ94" s="350"/>
      <c r="AK94" s="265"/>
      <c r="AL94" s="265"/>
      <c r="AM94" s="265"/>
      <c r="AN94" s="265"/>
      <c r="AO94" s="265"/>
      <c r="AP94" s="265"/>
      <c r="AQ94" s="265"/>
      <c r="AR94" s="265"/>
      <c r="AS94" s="265"/>
      <c r="AT94" s="265"/>
      <c r="AU94" s="265"/>
      <c r="AV94" s="265"/>
      <c r="AW94" s="270"/>
      <c r="AX94" s="270"/>
      <c r="AY94" s="270"/>
      <c r="AZ94" s="270"/>
    </row>
    <row r="95" spans="1:52" s="272" customFormat="1" ht="11.1" customHeight="1" x14ac:dyDescent="0.2">
      <c r="A95" s="11"/>
      <c r="B95" s="11"/>
      <c r="C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577"/>
      <c r="Q95" s="539"/>
      <c r="R95" s="653"/>
      <c r="S95" s="539"/>
      <c r="T95" s="577"/>
      <c r="U95" s="577"/>
      <c r="V95" s="577"/>
      <c r="W95" s="577"/>
      <c r="X95" s="539"/>
      <c r="Y95" s="539"/>
      <c r="Z95" s="378"/>
      <c r="AA95" s="371">
        <v>66.300000000000097</v>
      </c>
      <c r="AB95" s="372">
        <f t="shared" si="15"/>
        <v>0.93749999999999822</v>
      </c>
      <c r="AC95" s="350"/>
      <c r="AD95" s="350"/>
      <c r="AE95" s="350"/>
      <c r="AF95" s="350"/>
      <c r="AG95" s="350"/>
      <c r="AH95" s="350"/>
      <c r="AI95" s="350"/>
      <c r="AJ95" s="350"/>
      <c r="AK95" s="265"/>
      <c r="AL95" s="265"/>
      <c r="AM95" s="265"/>
      <c r="AN95" s="265"/>
      <c r="AO95" s="265"/>
      <c r="AP95" s="265"/>
      <c r="AQ95" s="265"/>
      <c r="AR95" s="265"/>
      <c r="AS95" s="265"/>
      <c r="AT95" s="265"/>
      <c r="AU95" s="265"/>
      <c r="AV95" s="265"/>
      <c r="AW95" s="270"/>
      <c r="AX95" s="270"/>
      <c r="AY95" s="270"/>
      <c r="AZ95" s="270"/>
    </row>
    <row r="96" spans="1:52" s="272" customFormat="1" ht="11.1" customHeight="1" x14ac:dyDescent="0.2">
      <c r="A96" s="11"/>
      <c r="B96" s="11"/>
      <c r="C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577"/>
      <c r="Q96" s="651"/>
      <c r="R96" s="651"/>
      <c r="S96" s="651"/>
      <c r="T96" s="577"/>
      <c r="U96" s="577"/>
      <c r="V96" s="577"/>
      <c r="W96" s="577"/>
      <c r="X96" s="539"/>
      <c r="Y96" s="539"/>
      <c r="Z96" s="447"/>
      <c r="AA96" s="371">
        <v>66.400000000000006</v>
      </c>
      <c r="AB96" s="372">
        <f t="shared" si="15"/>
        <v>0.93562499999999993</v>
      </c>
      <c r="AC96" s="350"/>
      <c r="AD96" s="350"/>
      <c r="AE96" s="350"/>
      <c r="AF96" s="350"/>
      <c r="AG96" s="350"/>
      <c r="AH96" s="350"/>
      <c r="AI96" s="350"/>
      <c r="AJ96" s="350"/>
      <c r="AK96" s="265"/>
      <c r="AL96" s="265"/>
      <c r="AM96" s="265"/>
      <c r="AN96" s="265"/>
      <c r="AO96" s="265"/>
      <c r="AP96" s="265"/>
      <c r="AQ96" s="265"/>
      <c r="AR96" s="265"/>
      <c r="AS96" s="265"/>
      <c r="AT96" s="265"/>
      <c r="AU96" s="265"/>
      <c r="AV96" s="265"/>
      <c r="AW96" s="270"/>
      <c r="AX96" s="270"/>
      <c r="AY96" s="270"/>
      <c r="AZ96" s="270"/>
    </row>
    <row r="97" spans="1:52" s="272" customFormat="1" ht="11.1" customHeight="1" x14ac:dyDescent="0.2">
      <c r="A97" s="11"/>
      <c r="B97" s="11"/>
      <c r="C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577"/>
      <c r="Q97" s="651"/>
      <c r="R97" s="651"/>
      <c r="S97" s="651"/>
      <c r="T97" s="577"/>
      <c r="U97" s="577"/>
      <c r="V97" s="577"/>
      <c r="W97" s="577"/>
      <c r="X97" s="539"/>
      <c r="Y97" s="539"/>
      <c r="Z97" s="447"/>
      <c r="AA97" s="371">
        <v>66.500000000000099</v>
      </c>
      <c r="AB97" s="372">
        <f t="shared" si="15"/>
        <v>0.93374999999999819</v>
      </c>
      <c r="AC97" s="350"/>
      <c r="AD97" s="350"/>
      <c r="AE97" s="350"/>
      <c r="AF97" s="350"/>
      <c r="AG97" s="350"/>
      <c r="AH97" s="350"/>
      <c r="AI97" s="350"/>
      <c r="AJ97" s="350"/>
      <c r="AK97" s="265"/>
      <c r="AL97" s="265"/>
      <c r="AM97" s="265"/>
      <c r="AN97" s="265"/>
      <c r="AO97" s="265"/>
      <c r="AP97" s="265"/>
      <c r="AQ97" s="265"/>
      <c r="AR97" s="265"/>
      <c r="AS97" s="265"/>
      <c r="AT97" s="265"/>
      <c r="AU97" s="265"/>
      <c r="AV97" s="265"/>
      <c r="AW97" s="270"/>
      <c r="AX97" s="270"/>
      <c r="AY97" s="270"/>
      <c r="AZ97" s="270"/>
    </row>
    <row r="98" spans="1:52" s="272" customFormat="1" ht="11.1" customHeight="1" x14ac:dyDescent="0.2">
      <c r="A98" s="11"/>
      <c r="B98" s="11"/>
      <c r="C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654"/>
      <c r="Q98" s="655"/>
      <c r="R98" s="655"/>
      <c r="S98" s="655"/>
      <c r="T98" s="577"/>
      <c r="U98" s="577"/>
      <c r="V98" s="577"/>
      <c r="W98" s="577"/>
      <c r="X98" s="539"/>
      <c r="Y98" s="539"/>
      <c r="Z98" s="448"/>
      <c r="AA98" s="371">
        <v>66.600000000000094</v>
      </c>
      <c r="AB98" s="372">
        <f t="shared" si="15"/>
        <v>0.93187499999999834</v>
      </c>
      <c r="AC98" s="350"/>
      <c r="AD98" s="350"/>
      <c r="AE98" s="350"/>
      <c r="AF98" s="350"/>
      <c r="AG98" s="350"/>
      <c r="AH98" s="350"/>
      <c r="AI98" s="350"/>
      <c r="AJ98" s="350"/>
      <c r="AK98" s="265"/>
      <c r="AL98" s="265"/>
      <c r="AM98" s="265"/>
      <c r="AN98" s="265"/>
      <c r="AO98" s="265"/>
      <c r="AP98" s="265"/>
      <c r="AQ98" s="265"/>
      <c r="AR98" s="265"/>
      <c r="AS98" s="265"/>
      <c r="AT98" s="265"/>
      <c r="AU98" s="265"/>
      <c r="AV98" s="265"/>
      <c r="AW98" s="270"/>
      <c r="AX98" s="270"/>
      <c r="AY98" s="270"/>
      <c r="AZ98" s="270"/>
    </row>
    <row r="99" spans="1:52" s="272" customFormat="1" ht="11.1" customHeight="1" x14ac:dyDescent="0.2">
      <c r="A99" s="11"/>
      <c r="B99" s="11"/>
      <c r="C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656"/>
      <c r="Q99" s="652"/>
      <c r="R99" s="652"/>
      <c r="S99" s="652"/>
      <c r="T99" s="577"/>
      <c r="U99" s="577"/>
      <c r="V99" s="577"/>
      <c r="W99" s="577"/>
      <c r="X99" s="539"/>
      <c r="Y99" s="539"/>
      <c r="Z99" s="448"/>
      <c r="AA99" s="369">
        <v>66.7</v>
      </c>
      <c r="AB99" s="370">
        <v>0.93</v>
      </c>
      <c r="AC99" s="350"/>
      <c r="AD99" s="350"/>
      <c r="AE99" s="350"/>
      <c r="AF99" s="350"/>
      <c r="AG99" s="350"/>
      <c r="AH99" s="350"/>
      <c r="AI99" s="350"/>
      <c r="AJ99" s="350"/>
      <c r="AK99" s="265"/>
      <c r="AL99" s="265"/>
      <c r="AM99" s="265"/>
      <c r="AN99" s="265"/>
      <c r="AO99" s="265"/>
      <c r="AP99" s="265"/>
      <c r="AQ99" s="265"/>
      <c r="AR99" s="265"/>
      <c r="AS99" s="265"/>
      <c r="AT99" s="265"/>
      <c r="AU99" s="265"/>
      <c r="AV99" s="265"/>
      <c r="AW99" s="270"/>
      <c r="AX99" s="270"/>
      <c r="AY99" s="270"/>
      <c r="AZ99" s="270"/>
    </row>
    <row r="100" spans="1:52" s="272" customFormat="1" ht="10.5" customHeight="1" x14ac:dyDescent="0.2">
      <c r="A100" s="11"/>
      <c r="B100" s="11"/>
      <c r="C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657"/>
      <c r="Q100" s="539"/>
      <c r="R100" s="653"/>
      <c r="S100" s="539"/>
      <c r="T100" s="655"/>
      <c r="U100" s="655"/>
      <c r="V100" s="655"/>
      <c r="W100" s="655"/>
      <c r="X100" s="539"/>
      <c r="Y100" s="539"/>
      <c r="Z100" s="394"/>
      <c r="AA100" s="371">
        <v>66.8</v>
      </c>
      <c r="AB100" s="372">
        <f t="shared" ref="AB100:AB114" si="16">+$AB$99+((AA100-$AA$99)*(($AB$115-$AB$99)/($AA$115-$AA$99)))</f>
        <v>0.92750000000000032</v>
      </c>
      <c r="AC100" s="361"/>
      <c r="AD100" s="361"/>
      <c r="AE100" s="361"/>
      <c r="AF100" s="361"/>
      <c r="AG100" s="361"/>
      <c r="AH100" s="361"/>
      <c r="AI100" s="361"/>
      <c r="AJ100" s="361"/>
      <c r="AK100" s="267"/>
      <c r="AL100" s="265"/>
      <c r="AM100" s="265"/>
      <c r="AN100" s="265"/>
      <c r="AO100" s="265"/>
      <c r="AP100" s="265"/>
      <c r="AQ100" s="265"/>
      <c r="AR100" s="265"/>
      <c r="AS100" s="265"/>
      <c r="AT100" s="265"/>
      <c r="AU100" s="265"/>
      <c r="AV100" s="265"/>
      <c r="AW100" s="270"/>
      <c r="AX100" s="270"/>
      <c r="AY100" s="270"/>
      <c r="AZ100" s="270"/>
    </row>
    <row r="101" spans="1:52" s="272" customFormat="1" ht="18" customHeight="1" x14ac:dyDescent="0.2">
      <c r="A101" s="11"/>
      <c r="B101" s="11"/>
      <c r="C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658"/>
      <c r="Q101" s="539"/>
      <c r="R101" s="653"/>
      <c r="S101" s="539"/>
      <c r="T101" s="655"/>
      <c r="U101" s="655"/>
      <c r="V101" s="655"/>
      <c r="W101" s="655"/>
      <c r="X101" s="539"/>
      <c r="Y101" s="539"/>
      <c r="Z101" s="394"/>
      <c r="AA101" s="371">
        <v>66.900000000000006</v>
      </c>
      <c r="AB101" s="372">
        <f t="shared" si="16"/>
        <v>0.92500000000000027</v>
      </c>
      <c r="AC101" s="361"/>
      <c r="AD101" s="361"/>
      <c r="AE101" s="361"/>
      <c r="AF101" s="361"/>
      <c r="AG101" s="361"/>
      <c r="AH101" s="361"/>
      <c r="AI101" s="361"/>
      <c r="AJ101" s="361"/>
      <c r="AK101" s="267"/>
      <c r="AL101" s="265"/>
      <c r="AM101" s="265"/>
      <c r="AN101" s="265"/>
      <c r="AO101" s="265"/>
      <c r="AP101" s="265"/>
      <c r="AQ101" s="265"/>
      <c r="AR101" s="265"/>
      <c r="AS101" s="265"/>
      <c r="AT101" s="265"/>
      <c r="AU101" s="265"/>
      <c r="AV101" s="265"/>
      <c r="AW101" s="270"/>
      <c r="AX101" s="270"/>
      <c r="AY101" s="270"/>
      <c r="AZ101" s="270"/>
    </row>
    <row r="102" spans="1:52" s="272" customFormat="1" ht="27.95" customHeight="1" x14ac:dyDescent="0.2">
      <c r="A102" s="11"/>
      <c r="B102" s="11"/>
      <c r="C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659"/>
      <c r="Q102" s="539"/>
      <c r="R102" s="653"/>
      <c r="S102" s="539"/>
      <c r="T102" s="651"/>
      <c r="U102" s="651"/>
      <c r="V102" s="651"/>
      <c r="W102" s="651"/>
      <c r="X102" s="539"/>
      <c r="Y102" s="539"/>
      <c r="Z102" s="397"/>
      <c r="AA102" s="371">
        <v>67</v>
      </c>
      <c r="AB102" s="372">
        <f t="shared" si="16"/>
        <v>0.92250000000000054</v>
      </c>
      <c r="AC102" s="357"/>
      <c r="AD102" s="357"/>
      <c r="AE102" s="357"/>
      <c r="AF102" s="350"/>
      <c r="AG102" s="350"/>
      <c r="AH102" s="350"/>
      <c r="AI102" s="361"/>
      <c r="AJ102" s="361"/>
      <c r="AK102" s="267"/>
      <c r="AL102" s="265"/>
      <c r="AM102" s="265"/>
      <c r="AN102" s="265"/>
      <c r="AO102" s="265"/>
      <c r="AP102" s="265"/>
      <c r="AQ102" s="265"/>
      <c r="AR102" s="265"/>
      <c r="AS102" s="265"/>
      <c r="AT102" s="265"/>
      <c r="AU102" s="265"/>
      <c r="AV102" s="265"/>
      <c r="AW102" s="270"/>
      <c r="AX102" s="270"/>
      <c r="AY102" s="270"/>
      <c r="AZ102" s="270"/>
    </row>
    <row r="103" spans="1:52" s="272" customFormat="1" ht="9.75" customHeight="1" x14ac:dyDescent="0.2">
      <c r="A103" s="11"/>
      <c r="B103" s="11"/>
      <c r="C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659"/>
      <c r="Q103" s="539"/>
      <c r="R103" s="653"/>
      <c r="S103" s="539"/>
      <c r="T103" s="651"/>
      <c r="U103" s="651"/>
      <c r="V103" s="651"/>
      <c r="W103" s="651"/>
      <c r="X103" s="539"/>
      <c r="Y103" s="539"/>
      <c r="Z103" s="449"/>
      <c r="AA103" s="371">
        <v>67.099999999999994</v>
      </c>
      <c r="AB103" s="372">
        <f t="shared" si="16"/>
        <v>0.92000000000000082</v>
      </c>
      <c r="AC103" s="362"/>
      <c r="AD103" s="362"/>
      <c r="AE103" s="362"/>
      <c r="AF103" s="362"/>
      <c r="AG103" s="362"/>
      <c r="AH103" s="350"/>
      <c r="AI103" s="360"/>
      <c r="AJ103" s="450"/>
      <c r="AK103" s="267"/>
      <c r="AL103" s="265"/>
      <c r="AM103" s="265"/>
      <c r="AN103" s="265"/>
      <c r="AO103" s="265"/>
      <c r="AP103" s="265"/>
      <c r="AQ103" s="265"/>
      <c r="AR103" s="265"/>
      <c r="AS103" s="265"/>
      <c r="AT103" s="265"/>
      <c r="AU103" s="265"/>
      <c r="AV103" s="265"/>
      <c r="AW103" s="270"/>
      <c r="AX103" s="270"/>
      <c r="AY103" s="270"/>
      <c r="AZ103" s="270"/>
    </row>
    <row r="104" spans="1:52" s="272" customFormat="1" ht="14.1" customHeight="1" x14ac:dyDescent="0.2">
      <c r="A104" s="11"/>
      <c r="B104" s="11"/>
      <c r="C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660"/>
      <c r="Q104" s="539"/>
      <c r="R104" s="653"/>
      <c r="S104" s="539"/>
      <c r="T104" s="661"/>
      <c r="U104" s="661"/>
      <c r="V104" s="655"/>
      <c r="W104" s="655"/>
      <c r="X104" s="539"/>
      <c r="Y104" s="539"/>
      <c r="Z104" s="400"/>
      <c r="AA104" s="371">
        <v>67.2</v>
      </c>
      <c r="AB104" s="372">
        <f t="shared" si="16"/>
        <v>0.91750000000000076</v>
      </c>
      <c r="AC104" s="362"/>
      <c r="AD104" s="362"/>
      <c r="AE104" s="362"/>
      <c r="AF104" s="362"/>
      <c r="AG104" s="362"/>
      <c r="AH104" s="350"/>
      <c r="AI104" s="360"/>
      <c r="AJ104" s="450"/>
      <c r="AK104" s="267"/>
      <c r="AL104" s="265"/>
      <c r="AM104" s="265"/>
      <c r="AN104" s="265"/>
      <c r="AO104" s="265"/>
      <c r="AP104" s="265"/>
      <c r="AQ104" s="265"/>
      <c r="AR104" s="265"/>
      <c r="AS104" s="265"/>
      <c r="AT104" s="265"/>
      <c r="AU104" s="265"/>
      <c r="AV104" s="265"/>
      <c r="AW104" s="270"/>
      <c r="AX104" s="270"/>
      <c r="AY104" s="270"/>
      <c r="AZ104" s="270"/>
    </row>
    <row r="105" spans="1:52" s="272" customFormat="1" ht="14.1" customHeight="1" x14ac:dyDescent="0.2">
      <c r="A105" s="11"/>
      <c r="B105" s="11"/>
      <c r="C105" s="11"/>
      <c r="F105" s="11"/>
      <c r="G105" s="11"/>
      <c r="H105" s="11"/>
      <c r="I105" s="11"/>
      <c r="J105" s="271"/>
      <c r="K105" s="271"/>
      <c r="L105" s="11"/>
      <c r="M105" s="11"/>
      <c r="N105" s="11"/>
      <c r="O105" s="11"/>
      <c r="P105" s="662"/>
      <c r="Q105" s="539"/>
      <c r="R105" s="653"/>
      <c r="S105" s="539"/>
      <c r="T105" s="661"/>
      <c r="U105" s="661"/>
      <c r="V105" s="661"/>
      <c r="W105" s="652"/>
      <c r="X105" s="539"/>
      <c r="Y105" s="539"/>
      <c r="Z105" s="402"/>
      <c r="AA105" s="371">
        <v>67.3</v>
      </c>
      <c r="AB105" s="372">
        <f t="shared" si="16"/>
        <v>0.91500000000000103</v>
      </c>
      <c r="AC105" s="363"/>
      <c r="AD105" s="363"/>
      <c r="AE105" s="363"/>
      <c r="AF105" s="363"/>
      <c r="AG105" s="363"/>
      <c r="AH105" s="350"/>
      <c r="AI105" s="361"/>
      <c r="AJ105" s="361"/>
      <c r="AK105" s="267"/>
      <c r="AL105" s="265"/>
      <c r="AM105" s="265"/>
      <c r="AN105" s="265"/>
      <c r="AO105" s="265"/>
      <c r="AP105" s="265"/>
      <c r="AQ105" s="265"/>
      <c r="AR105" s="265"/>
      <c r="AS105" s="265"/>
      <c r="AT105" s="265"/>
      <c r="AU105" s="265"/>
      <c r="AV105" s="265"/>
      <c r="AW105" s="270"/>
      <c r="AX105" s="270"/>
      <c r="AY105" s="270"/>
      <c r="AZ105" s="270"/>
    </row>
    <row r="106" spans="1:52" s="272" customFormat="1" ht="14.1" customHeight="1" x14ac:dyDescent="0.2">
      <c r="A106" s="11"/>
      <c r="B106" s="11"/>
      <c r="C106" s="11"/>
      <c r="F106" s="11"/>
      <c r="G106" s="11"/>
      <c r="H106" s="11"/>
      <c r="I106" s="11"/>
      <c r="L106" s="11"/>
      <c r="M106" s="11"/>
      <c r="N106" s="11"/>
      <c r="O106" s="11"/>
      <c r="P106" s="662"/>
      <c r="Q106" s="539"/>
      <c r="R106" s="653"/>
      <c r="S106" s="539"/>
      <c r="T106" s="661"/>
      <c r="U106" s="661"/>
      <c r="V106" s="661"/>
      <c r="W106" s="653"/>
      <c r="X106" s="539"/>
      <c r="Y106" s="539"/>
      <c r="Z106" s="400"/>
      <c r="AA106" s="371">
        <v>67.400000000000006</v>
      </c>
      <c r="AB106" s="372">
        <f t="shared" si="16"/>
        <v>0.91250000000000098</v>
      </c>
      <c r="AC106" s="363"/>
      <c r="AD106" s="363"/>
      <c r="AE106" s="363"/>
      <c r="AF106" s="363"/>
      <c r="AG106" s="363"/>
      <c r="AH106" s="350"/>
      <c r="AI106" s="361"/>
      <c r="AJ106" s="350"/>
      <c r="AK106" s="265"/>
      <c r="AL106" s="265"/>
      <c r="AM106" s="265"/>
      <c r="AN106" s="265"/>
      <c r="AO106" s="265"/>
      <c r="AP106" s="265"/>
      <c r="AQ106" s="265"/>
      <c r="AR106" s="265"/>
      <c r="AS106" s="265"/>
      <c r="AT106" s="265"/>
      <c r="AU106" s="265"/>
      <c r="AV106" s="265"/>
      <c r="AW106" s="270"/>
      <c r="AX106" s="270"/>
      <c r="AY106" s="270"/>
      <c r="AZ106" s="270"/>
    </row>
    <row r="107" spans="1:52" s="272" customFormat="1" ht="12" customHeight="1" x14ac:dyDescent="0.2">
      <c r="A107" s="11"/>
      <c r="B107" s="11"/>
      <c r="C107" s="11"/>
      <c r="F107" s="11"/>
      <c r="G107" s="11"/>
      <c r="H107" s="11"/>
      <c r="I107" s="11"/>
      <c r="L107" s="11"/>
      <c r="M107" s="11"/>
      <c r="N107" s="11"/>
      <c r="O107" s="11"/>
      <c r="P107" s="663"/>
      <c r="Q107" s="539"/>
      <c r="R107" s="653"/>
      <c r="S107" s="539"/>
      <c r="T107" s="661"/>
      <c r="U107" s="661"/>
      <c r="V107" s="661"/>
      <c r="W107" s="651"/>
      <c r="X107" s="539"/>
      <c r="Y107" s="539"/>
      <c r="Z107" s="407"/>
      <c r="AA107" s="371">
        <v>67.500000000000099</v>
      </c>
      <c r="AB107" s="372">
        <f t="shared" si="16"/>
        <v>0.90999999999999881</v>
      </c>
      <c r="AC107" s="363"/>
      <c r="AD107" s="363"/>
      <c r="AE107" s="363"/>
      <c r="AF107" s="363"/>
      <c r="AG107" s="363"/>
      <c r="AH107" s="350"/>
      <c r="AI107" s="361"/>
      <c r="AJ107" s="350"/>
      <c r="AK107" s="265"/>
      <c r="AL107" s="265"/>
      <c r="AM107" s="265"/>
      <c r="AN107" s="265"/>
      <c r="AO107" s="265"/>
      <c r="AP107" s="265"/>
      <c r="AQ107" s="265"/>
      <c r="AR107" s="265"/>
      <c r="AS107" s="265"/>
      <c r="AT107" s="265"/>
      <c r="AU107" s="265"/>
      <c r="AV107" s="265"/>
      <c r="AW107" s="270"/>
      <c r="AX107" s="270"/>
      <c r="AY107" s="270"/>
      <c r="AZ107" s="270"/>
    </row>
    <row r="108" spans="1:52" s="272" customFormat="1" ht="12" customHeight="1" x14ac:dyDescent="0.2">
      <c r="A108" s="11"/>
      <c r="B108" s="11"/>
      <c r="C108" s="11"/>
      <c r="F108" s="11"/>
      <c r="G108" s="11"/>
      <c r="H108" s="11"/>
      <c r="I108" s="11"/>
      <c r="L108" s="11"/>
      <c r="M108" s="11"/>
      <c r="N108" s="11"/>
      <c r="O108" s="11"/>
      <c r="P108" s="663"/>
      <c r="Q108" s="539"/>
      <c r="R108" s="653"/>
      <c r="S108" s="539"/>
      <c r="T108" s="661"/>
      <c r="U108" s="661"/>
      <c r="V108" s="661"/>
      <c r="W108" s="653"/>
      <c r="X108" s="539"/>
      <c r="Y108" s="539"/>
      <c r="Z108" s="407"/>
      <c r="AA108" s="371">
        <v>67.600000000000094</v>
      </c>
      <c r="AB108" s="372">
        <f t="shared" si="16"/>
        <v>0.90749999999999909</v>
      </c>
      <c r="AC108" s="363"/>
      <c r="AD108" s="363"/>
      <c r="AE108" s="363"/>
      <c r="AF108" s="363"/>
      <c r="AG108" s="363"/>
      <c r="AH108" s="350"/>
      <c r="AI108" s="361"/>
      <c r="AJ108" s="350"/>
      <c r="AK108" s="265"/>
      <c r="AL108" s="265"/>
      <c r="AM108" s="265"/>
      <c r="AN108" s="265"/>
      <c r="AO108" s="265"/>
      <c r="AP108" s="265"/>
      <c r="AQ108" s="265"/>
      <c r="AR108" s="265"/>
      <c r="AS108" s="265"/>
      <c r="AT108" s="265"/>
      <c r="AU108" s="265"/>
      <c r="AV108" s="265"/>
      <c r="AW108" s="270"/>
      <c r="AX108" s="270"/>
      <c r="AY108" s="270"/>
      <c r="AZ108" s="270"/>
    </row>
    <row r="109" spans="1:52" s="272" customFormat="1" ht="14.1" customHeight="1" x14ac:dyDescent="0.2">
      <c r="A109" s="11"/>
      <c r="B109" s="11"/>
      <c r="C109" s="11"/>
      <c r="F109" s="11"/>
      <c r="G109" s="11"/>
      <c r="H109" s="11"/>
      <c r="I109" s="11"/>
      <c r="L109" s="11"/>
      <c r="M109" s="11"/>
      <c r="N109" s="11"/>
      <c r="O109" s="11"/>
      <c r="P109" s="664"/>
      <c r="Q109" s="539"/>
      <c r="R109" s="653"/>
      <c r="S109" s="539"/>
      <c r="T109" s="661"/>
      <c r="U109" s="661"/>
      <c r="V109" s="661"/>
      <c r="W109" s="653"/>
      <c r="X109" s="539"/>
      <c r="Y109" s="539"/>
      <c r="Z109" s="412"/>
      <c r="AA109" s="371">
        <v>67.700000000000102</v>
      </c>
      <c r="AB109" s="372">
        <f t="shared" si="16"/>
        <v>0.90499999999999903</v>
      </c>
      <c r="AC109" s="363"/>
      <c r="AD109" s="363"/>
      <c r="AE109" s="363"/>
      <c r="AF109" s="363"/>
      <c r="AG109" s="363"/>
      <c r="AH109" s="350"/>
      <c r="AI109" s="350"/>
      <c r="AJ109" s="350"/>
      <c r="AK109" s="265"/>
      <c r="AL109" s="265"/>
      <c r="AM109" s="265"/>
      <c r="AN109" s="265"/>
      <c r="AO109" s="265"/>
      <c r="AP109" s="265"/>
      <c r="AQ109" s="265"/>
      <c r="AR109" s="265"/>
      <c r="AS109" s="265"/>
      <c r="AT109" s="265"/>
      <c r="AU109" s="265"/>
      <c r="AV109" s="265"/>
      <c r="AW109" s="270"/>
      <c r="AX109" s="270"/>
      <c r="AY109" s="270"/>
      <c r="AZ109" s="270"/>
    </row>
    <row r="110" spans="1:52" s="272" customFormat="1" ht="14.1" customHeight="1" x14ac:dyDescent="0.2">
      <c r="A110" s="11"/>
      <c r="B110" s="11"/>
      <c r="C110" s="11"/>
      <c r="F110" s="11"/>
      <c r="G110" s="11"/>
      <c r="H110" s="11"/>
      <c r="I110" s="11"/>
      <c r="L110" s="11"/>
      <c r="M110" s="11"/>
      <c r="N110" s="11"/>
      <c r="O110" s="11"/>
      <c r="P110" s="664"/>
      <c r="Q110" s="539"/>
      <c r="R110" s="653"/>
      <c r="S110" s="539"/>
      <c r="T110" s="661"/>
      <c r="U110" s="661"/>
      <c r="V110" s="661"/>
      <c r="W110" s="653"/>
      <c r="X110" s="539"/>
      <c r="Y110" s="539"/>
      <c r="Z110" s="401"/>
      <c r="AA110" s="371">
        <v>67.800000000000097</v>
      </c>
      <c r="AB110" s="372">
        <f t="shared" si="16"/>
        <v>0.9024999999999993</v>
      </c>
      <c r="AC110" s="363"/>
      <c r="AD110" s="363"/>
      <c r="AE110" s="363"/>
      <c r="AF110" s="363"/>
      <c r="AG110" s="363"/>
      <c r="AH110" s="350"/>
      <c r="AI110" s="350"/>
      <c r="AJ110" s="350"/>
      <c r="AK110" s="265"/>
      <c r="AL110" s="265"/>
      <c r="AM110" s="265"/>
      <c r="AN110" s="265"/>
      <c r="AO110" s="265"/>
      <c r="AP110" s="265"/>
      <c r="AQ110" s="265"/>
      <c r="AR110" s="265"/>
      <c r="AS110" s="265"/>
      <c r="AT110" s="265"/>
      <c r="AU110" s="265"/>
      <c r="AV110" s="265"/>
      <c r="AW110" s="270"/>
      <c r="AX110" s="270"/>
      <c r="AY110" s="270"/>
      <c r="AZ110" s="270"/>
    </row>
    <row r="111" spans="1:52" s="272" customFormat="1" ht="14.1" customHeight="1" x14ac:dyDescent="0.2">
      <c r="A111" s="11"/>
      <c r="B111" s="11"/>
      <c r="C111" s="11"/>
      <c r="F111" s="11"/>
      <c r="G111" s="11"/>
      <c r="H111" s="11"/>
      <c r="I111" s="11"/>
      <c r="L111" s="11"/>
      <c r="M111" s="11"/>
      <c r="N111" s="11"/>
      <c r="O111" s="11"/>
      <c r="P111" s="665"/>
      <c r="Q111" s="539"/>
      <c r="R111" s="653"/>
      <c r="S111" s="539"/>
      <c r="T111" s="661"/>
      <c r="U111" s="661"/>
      <c r="V111" s="661"/>
      <c r="W111" s="653"/>
      <c r="X111" s="539"/>
      <c r="Y111" s="539"/>
      <c r="Z111" s="401"/>
      <c r="AA111" s="371">
        <v>67.900000000000105</v>
      </c>
      <c r="AB111" s="372">
        <f t="shared" si="16"/>
        <v>0.89999999999999925</v>
      </c>
      <c r="AC111" s="363"/>
      <c r="AD111" s="363"/>
      <c r="AE111" s="363"/>
      <c r="AF111" s="363"/>
      <c r="AG111" s="363"/>
      <c r="AH111" s="350"/>
      <c r="AI111" s="350"/>
      <c r="AJ111" s="350"/>
      <c r="AK111" s="265"/>
      <c r="AL111" s="265"/>
      <c r="AM111" s="265"/>
      <c r="AN111" s="265"/>
      <c r="AO111" s="265"/>
      <c r="AP111" s="265"/>
      <c r="AQ111" s="265"/>
      <c r="AR111" s="265"/>
      <c r="AS111" s="265"/>
      <c r="AT111" s="265"/>
      <c r="AU111" s="265"/>
      <c r="AV111" s="265"/>
      <c r="AW111" s="270"/>
      <c r="AX111" s="270"/>
      <c r="AY111" s="270"/>
      <c r="AZ111" s="270"/>
    </row>
    <row r="112" spans="1:52" s="272" customFormat="1" ht="14.1" customHeight="1" x14ac:dyDescent="0.2">
      <c r="A112" s="11"/>
      <c r="B112" s="11"/>
      <c r="C112" s="11"/>
      <c r="F112" s="11"/>
      <c r="G112" s="11"/>
      <c r="H112" s="11"/>
      <c r="I112" s="11"/>
      <c r="L112" s="11"/>
      <c r="M112" s="11"/>
      <c r="N112" s="11"/>
      <c r="O112" s="11"/>
      <c r="P112" s="665"/>
      <c r="Q112" s="539"/>
      <c r="R112" s="653"/>
      <c r="S112" s="539"/>
      <c r="T112" s="661"/>
      <c r="U112" s="661"/>
      <c r="V112" s="661"/>
      <c r="W112" s="653"/>
      <c r="X112" s="539"/>
      <c r="Y112" s="539"/>
      <c r="Z112" s="401"/>
      <c r="AA112" s="371">
        <v>68.000000000000099</v>
      </c>
      <c r="AB112" s="372">
        <f t="shared" si="16"/>
        <v>0.89749999999999952</v>
      </c>
      <c r="AC112" s="363"/>
      <c r="AD112" s="363"/>
      <c r="AE112" s="363"/>
      <c r="AF112" s="363"/>
      <c r="AG112" s="363"/>
      <c r="AH112" s="350"/>
      <c r="AI112" s="350"/>
      <c r="AJ112" s="350"/>
      <c r="AK112" s="265"/>
      <c r="AL112" s="265"/>
      <c r="AM112" s="265"/>
      <c r="AN112" s="265"/>
      <c r="AO112" s="265"/>
      <c r="AP112" s="265"/>
      <c r="AQ112" s="265"/>
      <c r="AR112" s="265"/>
      <c r="AS112" s="265"/>
      <c r="AT112" s="265"/>
      <c r="AU112" s="265"/>
      <c r="AV112" s="265"/>
      <c r="AW112" s="270"/>
      <c r="AX112" s="270"/>
      <c r="AY112" s="270"/>
      <c r="AZ112" s="270"/>
    </row>
    <row r="113" spans="1:52" s="272" customFormat="1" ht="13.5" customHeight="1" x14ac:dyDescent="0.2">
      <c r="A113" s="11"/>
      <c r="B113" s="11"/>
      <c r="C113" s="11"/>
      <c r="F113" s="11"/>
      <c r="G113" s="11"/>
      <c r="H113" s="11"/>
      <c r="I113" s="11"/>
      <c r="L113" s="11"/>
      <c r="M113" s="11"/>
      <c r="N113" s="11"/>
      <c r="O113" s="11"/>
      <c r="P113" s="665"/>
      <c r="Q113" s="539"/>
      <c r="R113" s="653"/>
      <c r="S113" s="539"/>
      <c r="T113" s="661"/>
      <c r="U113" s="661"/>
      <c r="V113" s="661"/>
      <c r="W113" s="653"/>
      <c r="X113" s="539"/>
      <c r="Y113" s="539"/>
      <c r="Z113" s="401"/>
      <c r="AA113" s="371">
        <v>68.100000000000094</v>
      </c>
      <c r="AB113" s="372">
        <f t="shared" si="16"/>
        <v>0.8949999999999998</v>
      </c>
      <c r="AC113" s="363"/>
      <c r="AD113" s="363"/>
      <c r="AE113" s="363"/>
      <c r="AF113" s="364"/>
      <c r="AG113" s="364"/>
      <c r="AH113" s="350"/>
      <c r="AI113" s="350"/>
      <c r="AJ113" s="350"/>
      <c r="AK113" s="265"/>
      <c r="AL113" s="265"/>
      <c r="AM113" s="265"/>
      <c r="AN113" s="265"/>
      <c r="AO113" s="265"/>
      <c r="AP113" s="265"/>
      <c r="AQ113" s="265"/>
      <c r="AR113" s="265"/>
      <c r="AS113" s="265"/>
      <c r="AT113" s="265"/>
      <c r="AU113" s="265"/>
      <c r="AV113" s="265"/>
      <c r="AW113" s="270"/>
      <c r="AX113" s="270"/>
      <c r="AY113" s="270"/>
      <c r="AZ113" s="270"/>
    </row>
    <row r="114" spans="1:52" s="272" customFormat="1" ht="15" customHeight="1" x14ac:dyDescent="0.2">
      <c r="A114" s="11"/>
      <c r="B114" s="11"/>
      <c r="C114" s="11"/>
      <c r="F114" s="11"/>
      <c r="G114" s="11"/>
      <c r="H114" s="11"/>
      <c r="I114" s="11"/>
      <c r="L114" s="11"/>
      <c r="M114" s="11"/>
      <c r="N114" s="11"/>
      <c r="O114" s="11"/>
      <c r="P114" s="666"/>
      <c r="Q114" s="539"/>
      <c r="R114" s="653"/>
      <c r="S114" s="539"/>
      <c r="T114" s="661"/>
      <c r="U114" s="661"/>
      <c r="V114" s="661"/>
      <c r="W114" s="653"/>
      <c r="X114" s="539"/>
      <c r="Y114" s="539"/>
      <c r="Z114" s="401"/>
      <c r="AA114" s="371">
        <v>68.200000000000102</v>
      </c>
      <c r="AB114" s="372">
        <f t="shared" si="16"/>
        <v>0.89249999999999974</v>
      </c>
      <c r="AC114" s="363"/>
      <c r="AD114" s="363"/>
      <c r="AE114" s="363"/>
      <c r="AF114" s="364"/>
      <c r="AG114" s="364"/>
      <c r="AH114" s="361"/>
      <c r="AI114" s="350"/>
      <c r="AJ114" s="350"/>
      <c r="AK114" s="265"/>
      <c r="AL114" s="267"/>
      <c r="AM114" s="267"/>
      <c r="AN114" s="267"/>
      <c r="AO114" s="267"/>
      <c r="AP114" s="267"/>
      <c r="AQ114" s="267"/>
      <c r="AR114" s="267"/>
      <c r="AS114" s="267"/>
      <c r="AT114" s="267"/>
      <c r="AU114" s="267"/>
      <c r="AV114" s="267"/>
      <c r="AW114" s="270"/>
      <c r="AX114" s="270"/>
      <c r="AY114" s="270"/>
      <c r="AZ114" s="270"/>
    </row>
    <row r="115" spans="1:52" s="272" customFormat="1" ht="20.100000000000001" customHeight="1" thickBot="1" x14ac:dyDescent="0.25">
      <c r="A115" s="11"/>
      <c r="B115" s="11"/>
      <c r="C115" s="11"/>
      <c r="F115" s="11"/>
      <c r="G115" s="11"/>
      <c r="H115" s="11"/>
      <c r="I115" s="11"/>
      <c r="L115" s="11"/>
      <c r="M115" s="11"/>
      <c r="N115" s="11"/>
      <c r="O115" s="11"/>
      <c r="P115" s="667"/>
      <c r="Q115" s="539"/>
      <c r="R115" s="653"/>
      <c r="S115" s="539"/>
      <c r="T115" s="661"/>
      <c r="U115" s="661"/>
      <c r="V115" s="661"/>
      <c r="W115" s="653"/>
      <c r="X115" s="539"/>
      <c r="Y115" s="539"/>
      <c r="Z115" s="401"/>
      <c r="AA115" s="374">
        <v>68.300000000000097</v>
      </c>
      <c r="AB115" s="375">
        <v>0.89</v>
      </c>
      <c r="AC115" s="363"/>
      <c r="AD115" s="363"/>
      <c r="AE115" s="364"/>
      <c r="AF115" s="364"/>
      <c r="AG115" s="364"/>
      <c r="AH115" s="361"/>
      <c r="AI115" s="350"/>
      <c r="AJ115" s="350"/>
      <c r="AK115" s="350"/>
      <c r="AL115" s="361"/>
      <c r="AM115" s="361"/>
      <c r="AN115" s="361"/>
      <c r="AO115" s="361"/>
      <c r="AP115" s="361"/>
      <c r="AQ115" s="361"/>
      <c r="AR115" s="361"/>
      <c r="AS115" s="361"/>
      <c r="AT115" s="267"/>
      <c r="AU115" s="267"/>
      <c r="AV115" s="267"/>
      <c r="AW115" s="270"/>
      <c r="AX115" s="270"/>
      <c r="AY115" s="270"/>
      <c r="AZ115" s="270"/>
    </row>
    <row r="116" spans="1:52" s="272" customFormat="1" ht="15" customHeight="1" thickTop="1" x14ac:dyDescent="0.2">
      <c r="A116" s="11"/>
      <c r="B116" s="11"/>
      <c r="C116" s="11"/>
      <c r="F116" s="11"/>
      <c r="G116" s="11"/>
      <c r="H116" s="11"/>
      <c r="I116" s="11"/>
      <c r="L116" s="11"/>
      <c r="M116" s="11"/>
      <c r="N116" s="11"/>
      <c r="O116" s="11"/>
      <c r="P116" s="1535"/>
      <c r="Q116" s="1535"/>
      <c r="R116" s="1536"/>
      <c r="S116" s="1536"/>
      <c r="T116" s="661"/>
      <c r="U116" s="661"/>
      <c r="V116" s="661"/>
      <c r="W116" s="653"/>
      <c r="X116" s="539"/>
      <c r="Y116" s="539"/>
      <c r="Z116" s="401"/>
      <c r="AC116" s="363"/>
      <c r="AD116" s="363"/>
      <c r="AE116" s="364"/>
      <c r="AF116" s="364"/>
      <c r="AG116" s="364"/>
      <c r="AH116" s="361"/>
      <c r="AI116" s="350"/>
      <c r="AJ116" s="350"/>
      <c r="AK116" s="365"/>
      <c r="AL116" s="361"/>
      <c r="AM116" s="361"/>
      <c r="AN116" s="361"/>
      <c r="AO116" s="361"/>
      <c r="AP116" s="361"/>
      <c r="AQ116" s="361"/>
      <c r="AR116" s="361"/>
      <c r="AS116" s="361"/>
      <c r="AT116" s="267"/>
      <c r="AU116" s="267"/>
      <c r="AV116" s="267"/>
      <c r="AW116" s="270"/>
      <c r="AX116" s="270"/>
      <c r="AY116" s="270"/>
      <c r="AZ116" s="270"/>
    </row>
    <row r="117" spans="1:52" s="272" customFormat="1" ht="15" customHeight="1" x14ac:dyDescent="0.2">
      <c r="A117" s="11"/>
      <c r="B117" s="11"/>
      <c r="C117" s="11"/>
      <c r="F117" s="11"/>
      <c r="G117" s="11"/>
      <c r="H117" s="11"/>
      <c r="I117" s="11"/>
      <c r="L117" s="11"/>
      <c r="M117" s="11"/>
      <c r="N117" s="11"/>
      <c r="O117" s="11"/>
      <c r="P117" s="538"/>
      <c r="Q117" s="539"/>
      <c r="R117" s="1536"/>
      <c r="S117" s="1536"/>
      <c r="T117" s="661"/>
      <c r="U117" s="661"/>
      <c r="V117" s="661"/>
      <c r="W117" s="653"/>
      <c r="X117" s="539"/>
      <c r="Y117" s="539"/>
      <c r="Z117" s="401"/>
      <c r="AC117" s="363"/>
      <c r="AD117" s="363"/>
      <c r="AE117" s="364"/>
      <c r="AF117" s="350"/>
      <c r="AG117" s="350"/>
      <c r="AH117" s="350"/>
      <c r="AI117" s="365"/>
      <c r="AJ117" s="365"/>
      <c r="AK117" s="365"/>
      <c r="AL117" s="361"/>
      <c r="AM117" s="361"/>
      <c r="AN117" s="361"/>
      <c r="AO117" s="361"/>
      <c r="AP117" s="361"/>
      <c r="AQ117" s="361"/>
      <c r="AR117" s="361"/>
      <c r="AS117" s="361"/>
      <c r="AT117" s="267"/>
      <c r="AU117" s="267"/>
      <c r="AV117" s="267"/>
      <c r="AW117" s="270"/>
      <c r="AX117" s="270"/>
      <c r="AY117" s="270"/>
      <c r="AZ117" s="270"/>
    </row>
    <row r="118" spans="1:52" s="272" customFormat="1" ht="15" customHeight="1" x14ac:dyDescent="0.2">
      <c r="A118" s="11"/>
      <c r="B118" s="11"/>
      <c r="C118" s="11"/>
      <c r="F118" s="11"/>
      <c r="G118" s="11"/>
      <c r="H118" s="11"/>
      <c r="I118" s="11"/>
      <c r="L118" s="11"/>
      <c r="M118" s="11"/>
      <c r="N118" s="11"/>
      <c r="O118" s="11"/>
      <c r="P118" s="538"/>
      <c r="Q118" s="539"/>
      <c r="R118" s="653"/>
      <c r="S118" s="539"/>
      <c r="T118" s="661"/>
      <c r="U118" s="661"/>
      <c r="V118" s="661"/>
      <c r="W118" s="653"/>
      <c r="X118" s="539"/>
      <c r="Y118" s="539"/>
      <c r="Z118" s="401"/>
      <c r="AC118" s="363"/>
      <c r="AD118" s="363"/>
      <c r="AE118" s="364"/>
      <c r="AF118" s="350"/>
      <c r="AG118" s="350"/>
      <c r="AH118" s="350"/>
      <c r="AI118" s="365"/>
      <c r="AJ118" s="365"/>
      <c r="AK118" s="365"/>
      <c r="AL118" s="361"/>
      <c r="AM118" s="361"/>
      <c r="AN118" s="361"/>
      <c r="AO118" s="361"/>
      <c r="AP118" s="361"/>
      <c r="AQ118" s="361"/>
      <c r="AR118" s="361"/>
      <c r="AS118" s="361"/>
      <c r="AT118" s="267"/>
      <c r="AU118" s="267"/>
      <c r="AV118" s="267"/>
      <c r="AW118" s="270"/>
      <c r="AX118" s="270"/>
      <c r="AY118" s="270"/>
      <c r="AZ118" s="270"/>
    </row>
    <row r="119" spans="1:52" s="272" customFormat="1" ht="15" customHeight="1" x14ac:dyDescent="0.2">
      <c r="A119" s="11"/>
      <c r="B119" s="11"/>
      <c r="C119" s="11"/>
      <c r="F119" s="11"/>
      <c r="G119" s="11"/>
      <c r="H119" s="11"/>
      <c r="I119" s="11"/>
      <c r="L119" s="11"/>
      <c r="M119" s="11"/>
      <c r="N119" s="11"/>
      <c r="O119" s="11"/>
      <c r="P119" s="1539"/>
      <c r="Q119" s="1539"/>
      <c r="R119" s="1539"/>
      <c r="S119" s="1539"/>
      <c r="T119" s="661"/>
      <c r="U119" s="661"/>
      <c r="V119" s="661"/>
      <c r="W119" s="653"/>
      <c r="X119" s="539"/>
      <c r="Y119" s="539"/>
      <c r="Z119" s="401"/>
      <c r="AC119" s="363"/>
      <c r="AD119" s="363"/>
      <c r="AE119" s="364"/>
      <c r="AF119" s="365"/>
      <c r="AG119" s="365"/>
      <c r="AH119" s="365"/>
      <c r="AI119" s="365"/>
      <c r="AJ119" s="365"/>
      <c r="AK119" s="365"/>
      <c r="AL119" s="361"/>
      <c r="AM119" s="361"/>
      <c r="AN119" s="361"/>
      <c r="AO119" s="361"/>
      <c r="AP119" s="361"/>
      <c r="AQ119" s="361"/>
      <c r="AR119" s="361"/>
      <c r="AS119" s="361"/>
      <c r="AT119" s="267"/>
      <c r="AU119" s="267"/>
      <c r="AV119" s="267"/>
      <c r="AW119" s="270"/>
      <c r="AX119" s="270"/>
      <c r="AY119" s="270"/>
      <c r="AZ119" s="270"/>
    </row>
    <row r="120" spans="1:52" s="272" customFormat="1" ht="20.100000000000001" customHeight="1" x14ac:dyDescent="0.2">
      <c r="A120" s="11"/>
      <c r="B120" s="11"/>
      <c r="C120" s="11"/>
      <c r="F120" s="11"/>
      <c r="G120" s="11"/>
      <c r="H120" s="11"/>
      <c r="I120" s="11"/>
      <c r="L120" s="11"/>
      <c r="M120" s="11"/>
      <c r="N120" s="11"/>
      <c r="O120" s="11"/>
      <c r="P120" s="1539"/>
      <c r="Q120" s="1539"/>
      <c r="R120" s="1539"/>
      <c r="S120" s="1539"/>
      <c r="T120" s="661"/>
      <c r="U120" s="661"/>
      <c r="V120" s="661"/>
      <c r="W120" s="653"/>
      <c r="X120" s="539"/>
      <c r="Y120" s="539"/>
      <c r="Z120" s="401"/>
      <c r="AC120" s="350"/>
      <c r="AD120" s="350"/>
      <c r="AE120" s="350"/>
      <c r="AF120" s="365"/>
      <c r="AG120" s="365"/>
      <c r="AH120" s="365"/>
      <c r="AI120" s="365"/>
      <c r="AJ120" s="365"/>
      <c r="AK120" s="365"/>
      <c r="AL120" s="350"/>
      <c r="AM120" s="350"/>
      <c r="AN120" s="350"/>
      <c r="AO120" s="350"/>
      <c r="AP120" s="350"/>
      <c r="AQ120" s="350"/>
      <c r="AR120" s="350"/>
      <c r="AS120" s="350"/>
      <c r="AT120" s="265"/>
      <c r="AU120" s="265"/>
      <c r="AV120" s="265"/>
      <c r="AW120" s="270"/>
      <c r="AX120" s="270"/>
      <c r="AY120" s="270"/>
      <c r="AZ120" s="270"/>
    </row>
    <row r="121" spans="1:52" s="272" customFormat="1" ht="20.100000000000001" customHeight="1" x14ac:dyDescent="0.2">
      <c r="A121" s="11"/>
      <c r="B121" s="11"/>
      <c r="C121" s="11"/>
      <c r="F121" s="11"/>
      <c r="G121" s="11"/>
      <c r="H121" s="11"/>
      <c r="I121" s="11"/>
      <c r="L121" s="11"/>
      <c r="M121" s="11"/>
      <c r="N121" s="11"/>
      <c r="O121" s="11"/>
      <c r="P121" s="366"/>
      <c r="Q121" s="367"/>
      <c r="R121" s="1534"/>
      <c r="S121" s="1534"/>
      <c r="T121" s="399"/>
      <c r="U121" s="399"/>
      <c r="V121" s="399"/>
      <c r="W121" s="405"/>
      <c r="X121" s="366"/>
      <c r="Y121" s="366"/>
      <c r="Z121" s="401"/>
      <c r="AC121" s="350"/>
      <c r="AD121" s="350"/>
      <c r="AE121" s="350"/>
      <c r="AF121" s="365"/>
      <c r="AG121" s="365"/>
      <c r="AH121" s="365"/>
      <c r="AI121" s="365"/>
      <c r="AJ121" s="365"/>
      <c r="AK121" s="365"/>
      <c r="AL121" s="350"/>
      <c r="AM121" s="350"/>
      <c r="AN121" s="350"/>
      <c r="AO121" s="350"/>
      <c r="AP121" s="350"/>
      <c r="AQ121" s="350"/>
      <c r="AR121" s="350"/>
      <c r="AS121" s="350"/>
      <c r="AT121" s="265"/>
      <c r="AU121" s="265"/>
      <c r="AV121" s="265"/>
      <c r="AW121" s="270"/>
      <c r="AX121" s="270"/>
      <c r="AY121" s="270"/>
      <c r="AZ121" s="270"/>
    </row>
    <row r="122" spans="1:52" s="272" customFormat="1" ht="21" customHeight="1" x14ac:dyDescent="0.2">
      <c r="A122" s="11"/>
      <c r="B122" s="11"/>
      <c r="C122" s="11"/>
      <c r="F122" s="11"/>
      <c r="G122" s="11"/>
      <c r="H122" s="11"/>
      <c r="I122" s="11"/>
      <c r="L122" s="11"/>
      <c r="M122" s="11"/>
      <c r="N122" s="11"/>
      <c r="O122" s="11"/>
      <c r="P122" s="425"/>
      <c r="Q122" s="366"/>
      <c r="R122" s="392"/>
      <c r="S122" s="393"/>
      <c r="T122" s="399"/>
      <c r="U122" s="399"/>
      <c r="V122" s="399"/>
      <c r="W122" s="405"/>
      <c r="X122" s="426"/>
      <c r="Y122" s="426"/>
      <c r="Z122" s="401"/>
      <c r="AC122" s="365"/>
      <c r="AD122" s="365"/>
      <c r="AE122" s="365"/>
      <c r="AF122" s="365"/>
      <c r="AG122" s="365"/>
      <c r="AH122" s="365"/>
      <c r="AI122" s="365"/>
      <c r="AJ122" s="365"/>
      <c r="AK122" s="365"/>
      <c r="AL122" s="350"/>
      <c r="AM122" s="350"/>
      <c r="AN122" s="350"/>
      <c r="AO122" s="350"/>
      <c r="AP122" s="350"/>
      <c r="AQ122" s="350"/>
      <c r="AR122" s="350"/>
      <c r="AS122" s="350"/>
      <c r="AT122" s="265"/>
      <c r="AU122" s="265"/>
      <c r="AV122" s="265"/>
      <c r="AW122" s="270"/>
      <c r="AX122" s="270"/>
      <c r="AY122" s="270"/>
      <c r="AZ122" s="270"/>
    </row>
    <row r="123" spans="1:52" s="272" customFormat="1" ht="15" customHeight="1" x14ac:dyDescent="0.2">
      <c r="A123" s="11"/>
      <c r="B123" s="11"/>
      <c r="C123" s="11"/>
      <c r="F123" s="11"/>
      <c r="G123" s="11"/>
      <c r="H123" s="11"/>
      <c r="I123" s="11"/>
      <c r="L123" s="11"/>
      <c r="M123" s="11"/>
      <c r="N123" s="11"/>
      <c r="O123" s="11"/>
      <c r="P123" s="427"/>
      <c r="Q123" s="366"/>
      <c r="R123" s="392"/>
      <c r="S123" s="393"/>
      <c r="T123" s="399"/>
      <c r="U123" s="399"/>
      <c r="V123" s="399"/>
      <c r="W123" s="405"/>
      <c r="X123" s="426"/>
      <c r="Y123" s="426"/>
      <c r="Z123" s="401"/>
      <c r="AC123" s="365"/>
      <c r="AD123" s="365"/>
      <c r="AE123" s="365"/>
      <c r="AF123" s="365"/>
      <c r="AG123" s="365"/>
      <c r="AH123" s="365"/>
      <c r="AI123" s="365"/>
      <c r="AJ123" s="365"/>
      <c r="AK123" s="365"/>
      <c r="AL123" s="350"/>
      <c r="AM123" s="350"/>
      <c r="AN123" s="350"/>
      <c r="AO123" s="350"/>
      <c r="AP123" s="350"/>
      <c r="AQ123" s="350"/>
      <c r="AR123" s="350"/>
      <c r="AS123" s="350"/>
      <c r="AT123" s="265"/>
      <c r="AU123" s="265"/>
      <c r="AV123" s="265"/>
      <c r="AW123" s="270"/>
      <c r="AX123" s="270"/>
      <c r="AY123" s="270"/>
      <c r="AZ123" s="270"/>
    </row>
    <row r="124" spans="1:52" s="272" customFormat="1" ht="15" customHeight="1" x14ac:dyDescent="0.2">
      <c r="A124" s="11"/>
      <c r="B124" s="11"/>
      <c r="C124" s="11"/>
      <c r="F124" s="11"/>
      <c r="G124" s="11"/>
      <c r="H124" s="11"/>
      <c r="I124" s="11"/>
      <c r="L124" s="11"/>
      <c r="M124" s="11"/>
      <c r="N124" s="11"/>
      <c r="O124" s="11"/>
      <c r="P124" s="428"/>
      <c r="Q124" s="366"/>
      <c r="R124" s="392"/>
      <c r="S124" s="393"/>
      <c r="T124" s="399"/>
      <c r="U124" s="399"/>
      <c r="V124" s="399"/>
      <c r="W124" s="405"/>
      <c r="X124" s="426"/>
      <c r="Y124" s="426"/>
      <c r="Z124" s="401"/>
      <c r="AC124" s="365"/>
      <c r="AD124" s="365"/>
      <c r="AE124" s="365"/>
      <c r="AF124" s="365"/>
      <c r="AG124" s="365"/>
      <c r="AH124" s="365"/>
      <c r="AI124" s="365"/>
      <c r="AJ124" s="365"/>
      <c r="AK124" s="365"/>
      <c r="AL124" s="350"/>
      <c r="AM124" s="350"/>
      <c r="AN124" s="350"/>
      <c r="AO124" s="350"/>
      <c r="AP124" s="350"/>
      <c r="AQ124" s="350"/>
      <c r="AR124" s="350"/>
      <c r="AS124" s="350"/>
      <c r="AT124" s="265"/>
      <c r="AU124" s="265"/>
      <c r="AV124" s="265"/>
      <c r="AW124" s="270"/>
      <c r="AX124" s="270"/>
      <c r="AY124" s="270"/>
      <c r="AZ124" s="270"/>
    </row>
    <row r="125" spans="1:52" s="272" customFormat="1" ht="14.1" customHeight="1" x14ac:dyDescent="0.2">
      <c r="A125" s="11"/>
      <c r="B125" s="11"/>
      <c r="C125" s="11"/>
      <c r="F125" s="11"/>
      <c r="G125" s="11"/>
      <c r="H125" s="11"/>
      <c r="I125" s="11"/>
      <c r="L125" s="11"/>
      <c r="M125" s="11"/>
      <c r="N125" s="11"/>
      <c r="O125" s="11"/>
      <c r="P125" s="429"/>
      <c r="Q125" s="366"/>
      <c r="R125" s="392"/>
      <c r="S125" s="393"/>
      <c r="T125" s="399"/>
      <c r="U125" s="399"/>
      <c r="V125" s="399"/>
      <c r="W125" s="405"/>
      <c r="X125" s="426"/>
      <c r="Y125" s="426"/>
      <c r="Z125" s="401"/>
      <c r="AC125" s="345"/>
      <c r="AD125" s="345"/>
      <c r="AE125" s="345"/>
      <c r="AF125" s="365"/>
      <c r="AG125" s="365"/>
      <c r="AH125" s="365"/>
      <c r="AI125" s="365"/>
      <c r="AJ125" s="365"/>
      <c r="AK125" s="365"/>
      <c r="AL125" s="350"/>
      <c r="AM125" s="350"/>
      <c r="AN125" s="350"/>
      <c r="AO125" s="350"/>
      <c r="AP125" s="350"/>
      <c r="AQ125" s="350"/>
      <c r="AR125" s="350"/>
      <c r="AS125" s="350"/>
      <c r="AT125" s="265"/>
      <c r="AU125" s="265"/>
      <c r="AV125" s="265"/>
      <c r="AW125" s="270"/>
      <c r="AX125" s="270"/>
      <c r="AY125" s="270"/>
      <c r="AZ125" s="270"/>
    </row>
    <row r="126" spans="1:52" s="272" customFormat="1" ht="14.1" customHeight="1" x14ac:dyDescent="0.2">
      <c r="A126" s="11"/>
      <c r="B126" s="11"/>
      <c r="C126" s="11"/>
      <c r="F126" s="11"/>
      <c r="G126" s="11"/>
      <c r="H126" s="11"/>
      <c r="I126" s="11"/>
      <c r="L126" s="11"/>
      <c r="M126" s="11"/>
      <c r="N126" s="11"/>
      <c r="O126" s="11"/>
      <c r="P126" s="430"/>
      <c r="Q126" s="366"/>
      <c r="R126" s="392"/>
      <c r="S126" s="393"/>
      <c r="T126" s="399"/>
      <c r="U126" s="399"/>
      <c r="V126" s="399"/>
      <c r="W126" s="405"/>
      <c r="X126" s="426"/>
      <c r="Y126" s="426"/>
      <c r="Z126" s="401"/>
      <c r="AC126" s="384"/>
      <c r="AD126" s="384"/>
      <c r="AE126" s="384"/>
      <c r="AF126" s="365"/>
      <c r="AG126" s="365"/>
      <c r="AH126" s="365"/>
      <c r="AI126" s="365"/>
      <c r="AJ126" s="365"/>
      <c r="AK126" s="365"/>
      <c r="AL126" s="350"/>
      <c r="AM126" s="350"/>
      <c r="AN126" s="350"/>
      <c r="AO126" s="350"/>
      <c r="AP126" s="350"/>
      <c r="AQ126" s="350"/>
      <c r="AR126" s="350"/>
      <c r="AS126" s="350"/>
      <c r="AT126" s="265"/>
      <c r="AU126" s="265"/>
      <c r="AV126" s="265"/>
      <c r="AW126" s="270"/>
      <c r="AX126" s="270"/>
      <c r="AY126" s="270"/>
      <c r="AZ126" s="270"/>
    </row>
    <row r="127" spans="1:52" s="272" customFormat="1" ht="14.1" customHeight="1" x14ac:dyDescent="0.2">
      <c r="A127" s="11"/>
      <c r="B127" s="11"/>
      <c r="C127" s="11"/>
      <c r="F127" s="11"/>
      <c r="G127" s="11"/>
      <c r="H127" s="11"/>
      <c r="I127" s="11"/>
      <c r="L127" s="11"/>
      <c r="M127" s="11"/>
      <c r="N127" s="11"/>
      <c r="O127" s="11"/>
      <c r="P127" s="431"/>
      <c r="Q127" s="366"/>
      <c r="R127" s="392"/>
      <c r="S127" s="393"/>
      <c r="T127" s="399"/>
      <c r="U127" s="399"/>
      <c r="V127" s="399"/>
      <c r="W127" s="405"/>
      <c r="X127" s="426"/>
      <c r="Y127" s="426"/>
      <c r="Z127" s="401"/>
      <c r="AC127" s="383"/>
      <c r="AD127" s="383"/>
      <c r="AE127" s="383"/>
      <c r="AF127" s="365"/>
      <c r="AG127" s="365"/>
      <c r="AH127" s="365"/>
      <c r="AI127" s="365"/>
      <c r="AJ127" s="365"/>
      <c r="AK127" s="365"/>
      <c r="AL127" s="350"/>
      <c r="AM127" s="350"/>
      <c r="AN127" s="350"/>
      <c r="AO127" s="350"/>
      <c r="AP127" s="350"/>
      <c r="AQ127" s="350"/>
      <c r="AR127" s="350"/>
      <c r="AS127" s="350"/>
      <c r="AT127" s="265"/>
      <c r="AU127" s="265"/>
      <c r="AV127" s="265"/>
      <c r="AW127" s="270"/>
      <c r="AX127" s="270"/>
      <c r="AY127" s="270"/>
      <c r="AZ127" s="270"/>
    </row>
    <row r="128" spans="1:52" s="272" customFormat="1" ht="14.1" customHeight="1" x14ac:dyDescent="0.2">
      <c r="A128" s="11"/>
      <c r="B128" s="11"/>
      <c r="C128" s="11"/>
      <c r="F128" s="11"/>
      <c r="G128" s="11"/>
      <c r="H128" s="11"/>
      <c r="I128" s="11"/>
      <c r="L128" s="11"/>
      <c r="M128" s="11"/>
      <c r="N128" s="11"/>
      <c r="O128" s="11"/>
      <c r="P128" s="431"/>
      <c r="Q128" s="432"/>
      <c r="R128" s="365"/>
      <c r="S128" s="365"/>
      <c r="T128" s="399"/>
      <c r="U128" s="399"/>
      <c r="V128" s="399"/>
      <c r="W128" s="405"/>
      <c r="X128" s="426"/>
      <c r="Y128" s="426"/>
      <c r="Z128" s="433"/>
      <c r="AC128" s="384"/>
      <c r="AD128" s="378"/>
      <c r="AE128" s="384"/>
      <c r="AF128" s="365"/>
      <c r="AG128" s="365"/>
      <c r="AH128" s="365"/>
      <c r="AI128" s="365"/>
      <c r="AJ128" s="365"/>
      <c r="AK128" s="365"/>
      <c r="AL128" s="350"/>
      <c r="AM128" s="350"/>
      <c r="AN128" s="350"/>
      <c r="AO128" s="350"/>
      <c r="AP128" s="350"/>
      <c r="AQ128" s="350"/>
      <c r="AR128" s="350"/>
      <c r="AS128" s="350"/>
      <c r="AT128" s="265"/>
      <c r="AU128" s="265"/>
      <c r="AV128" s="265"/>
      <c r="AW128" s="270"/>
      <c r="AX128" s="270"/>
      <c r="AY128" s="270"/>
      <c r="AZ128" s="270"/>
    </row>
    <row r="129" spans="1:52" s="272" customFormat="1" ht="15" customHeight="1" x14ac:dyDescent="0.2">
      <c r="A129" s="11"/>
      <c r="B129" s="11"/>
      <c r="C129" s="11"/>
      <c r="F129" s="11"/>
      <c r="G129" s="11"/>
      <c r="H129" s="11"/>
      <c r="I129" s="11"/>
      <c r="L129" s="11"/>
      <c r="M129" s="11"/>
      <c r="N129" s="11"/>
      <c r="O129" s="11"/>
      <c r="P129" s="431"/>
      <c r="Q129" s="366"/>
      <c r="R129" s="392"/>
      <c r="S129" s="393"/>
      <c r="T129" s="399"/>
      <c r="U129" s="399"/>
      <c r="V129" s="399"/>
      <c r="W129" s="405"/>
      <c r="X129" s="365"/>
      <c r="Y129" s="365"/>
      <c r="Z129" s="433"/>
      <c r="AC129" s="385"/>
      <c r="AD129" s="386"/>
      <c r="AE129" s="386"/>
      <c r="AF129" s="365"/>
      <c r="AG129" s="365"/>
      <c r="AH129" s="365"/>
      <c r="AI129" s="365"/>
      <c r="AJ129" s="365"/>
      <c r="AK129" s="365"/>
      <c r="AL129" s="350"/>
      <c r="AM129" s="350"/>
      <c r="AN129" s="350"/>
      <c r="AO129" s="350"/>
      <c r="AP129" s="350"/>
      <c r="AQ129" s="350"/>
      <c r="AR129" s="350"/>
      <c r="AS129" s="350"/>
      <c r="AT129" s="265"/>
      <c r="AU129" s="265"/>
      <c r="AV129" s="265"/>
      <c r="AW129" s="270"/>
      <c r="AX129" s="270"/>
      <c r="AY129" s="270"/>
      <c r="AZ129" s="270"/>
    </row>
    <row r="130" spans="1:52" s="273" customFormat="1" ht="15" customHeight="1" x14ac:dyDescent="0.2">
      <c r="A130" s="11"/>
      <c r="B130" s="11"/>
      <c r="C130" s="11"/>
      <c r="F130" s="11"/>
      <c r="G130" s="11"/>
      <c r="H130" s="11"/>
      <c r="I130" s="11"/>
      <c r="L130" s="11"/>
      <c r="M130" s="11"/>
      <c r="N130" s="11"/>
      <c r="O130" s="11"/>
      <c r="P130" s="434"/>
      <c r="Q130" s="426"/>
      <c r="R130" s="435"/>
      <c r="S130" s="436"/>
      <c r="T130" s="437"/>
      <c r="U130" s="437"/>
      <c r="V130" s="437"/>
      <c r="W130" s="405"/>
      <c r="X130" s="350"/>
      <c r="Y130" s="350"/>
      <c r="Z130" s="357"/>
      <c r="AC130" s="378"/>
      <c r="AD130" s="386"/>
      <c r="AE130" s="386"/>
      <c r="AF130" s="365"/>
      <c r="AG130" s="365"/>
      <c r="AH130" s="365"/>
      <c r="AI130" s="365"/>
      <c r="AJ130" s="365"/>
      <c r="AK130" s="388"/>
      <c r="AL130" s="365"/>
      <c r="AM130" s="365"/>
      <c r="AN130" s="365"/>
      <c r="AO130" s="365"/>
      <c r="AP130" s="365"/>
      <c r="AQ130" s="365"/>
      <c r="AR130" s="365"/>
      <c r="AS130" s="365"/>
      <c r="AT130" s="270"/>
      <c r="AU130" s="270"/>
      <c r="AV130" s="270"/>
    </row>
    <row r="131" spans="1:52" s="273" customFormat="1" ht="15" customHeight="1" x14ac:dyDescent="0.2">
      <c r="A131" s="11"/>
      <c r="B131" s="11"/>
      <c r="C131" s="11"/>
      <c r="F131" s="11"/>
      <c r="G131" s="11"/>
      <c r="H131" s="11"/>
      <c r="I131" s="11"/>
      <c r="L131" s="11"/>
      <c r="M131" s="11"/>
      <c r="N131" s="11"/>
      <c r="O131" s="11"/>
      <c r="P131" s="349"/>
      <c r="Q131" s="426"/>
      <c r="R131" s="438"/>
      <c r="S131" s="438"/>
      <c r="T131" s="437"/>
      <c r="U131" s="437"/>
      <c r="V131" s="437"/>
      <c r="W131" s="405"/>
      <c r="X131" s="350"/>
      <c r="Y131" s="350"/>
      <c r="Z131" s="351"/>
      <c r="AC131" s="378"/>
      <c r="AD131" s="386"/>
      <c r="AE131" s="384"/>
      <c r="AF131" s="365"/>
      <c r="AG131" s="365"/>
      <c r="AH131" s="365"/>
      <c r="AI131" s="389"/>
      <c r="AJ131" s="389"/>
      <c r="AK131" s="388"/>
      <c r="AL131" s="365"/>
      <c r="AM131" s="365"/>
      <c r="AN131" s="365"/>
      <c r="AO131" s="365"/>
      <c r="AP131" s="365"/>
      <c r="AQ131" s="365"/>
      <c r="AR131" s="365"/>
      <c r="AS131" s="365"/>
      <c r="AT131" s="270"/>
      <c r="AU131" s="270"/>
      <c r="AV131" s="270"/>
    </row>
    <row r="132" spans="1:52" s="273" customFormat="1" ht="15" customHeight="1" x14ac:dyDescent="0.2">
      <c r="A132" s="11"/>
      <c r="B132" s="11"/>
      <c r="C132" s="11"/>
      <c r="F132" s="11"/>
      <c r="G132" s="11"/>
      <c r="H132" s="11"/>
      <c r="I132" s="11"/>
      <c r="L132" s="11"/>
      <c r="M132" s="11"/>
      <c r="N132" s="11"/>
      <c r="O132" s="11"/>
      <c r="P132" s="437"/>
      <c r="Q132" s="437"/>
      <c r="R132" s="437"/>
      <c r="S132" s="437"/>
      <c r="T132" s="437"/>
      <c r="U132" s="437"/>
      <c r="V132" s="437"/>
      <c r="W132" s="405"/>
      <c r="X132" s="350"/>
      <c r="Y132" s="350"/>
      <c r="Z132" s="351"/>
      <c r="AC132" s="447"/>
      <c r="AD132" s="447"/>
      <c r="AE132" s="447"/>
      <c r="AF132" s="365"/>
      <c r="AG132" s="365"/>
      <c r="AH132" s="365"/>
      <c r="AI132" s="389"/>
      <c r="AJ132" s="389"/>
      <c r="AK132" s="365"/>
      <c r="AL132" s="365"/>
      <c r="AM132" s="365"/>
      <c r="AN132" s="365"/>
      <c r="AO132" s="365"/>
      <c r="AP132" s="365"/>
      <c r="AQ132" s="365"/>
      <c r="AR132" s="365"/>
      <c r="AS132" s="365"/>
      <c r="AT132" s="270"/>
      <c r="AU132" s="270"/>
      <c r="AV132" s="270"/>
    </row>
    <row r="133" spans="1:52" s="273" customFormat="1" ht="15.75" customHeight="1" x14ac:dyDescent="0.2">
      <c r="A133" s="11"/>
      <c r="B133" s="11"/>
      <c r="C133" s="11"/>
      <c r="F133" s="11"/>
      <c r="G133" s="11"/>
      <c r="H133" s="11"/>
      <c r="I133" s="11"/>
      <c r="L133" s="11"/>
      <c r="M133" s="11"/>
      <c r="N133" s="11"/>
      <c r="O133" s="11"/>
      <c r="P133" s="437"/>
      <c r="Q133" s="437"/>
      <c r="R133" s="437"/>
      <c r="S133" s="437"/>
      <c r="T133" s="437"/>
      <c r="U133" s="437"/>
      <c r="V133" s="437"/>
      <c r="W133" s="439"/>
      <c r="X133" s="350"/>
      <c r="Y133" s="350"/>
      <c r="Z133" s="357"/>
      <c r="AC133" s="447"/>
      <c r="AD133" s="447"/>
      <c r="AE133" s="447"/>
      <c r="AF133" s="365"/>
      <c r="AG133" s="389"/>
      <c r="AH133" s="389"/>
      <c r="AI133" s="365"/>
      <c r="AJ133" s="365"/>
      <c r="AK133" s="365"/>
      <c r="AL133" s="365"/>
      <c r="AM133" s="365"/>
      <c r="AN133" s="365"/>
      <c r="AO133" s="365"/>
      <c r="AP133" s="365"/>
      <c r="AQ133" s="365"/>
      <c r="AR133" s="365"/>
      <c r="AS133" s="365"/>
      <c r="AT133" s="270"/>
      <c r="AU133" s="270"/>
      <c r="AV133" s="270"/>
    </row>
    <row r="134" spans="1:52" s="273" customFormat="1" ht="15" customHeight="1" x14ac:dyDescent="0.2">
      <c r="A134" s="11"/>
      <c r="B134" s="11"/>
      <c r="C134" s="11"/>
      <c r="F134" s="11"/>
      <c r="G134" s="11"/>
      <c r="H134" s="11"/>
      <c r="I134" s="11"/>
      <c r="L134" s="11"/>
      <c r="M134" s="11"/>
      <c r="N134" s="11"/>
      <c r="O134" s="11"/>
      <c r="P134" s="437"/>
      <c r="Q134" s="437"/>
      <c r="R134" s="437"/>
      <c r="S134" s="437"/>
      <c r="T134" s="437"/>
      <c r="U134" s="437"/>
      <c r="V134" s="437"/>
      <c r="W134" s="439"/>
      <c r="X134" s="350"/>
      <c r="Y134" s="350"/>
      <c r="Z134" s="357"/>
      <c r="AC134" s="448"/>
      <c r="AD134" s="448"/>
      <c r="AE134" s="448"/>
      <c r="AF134" s="365"/>
      <c r="AG134" s="389"/>
      <c r="AH134" s="389"/>
      <c r="AI134" s="365"/>
      <c r="AJ134" s="365"/>
      <c r="AK134" s="365"/>
      <c r="AL134" s="365"/>
      <c r="AM134" s="365"/>
      <c r="AN134" s="365"/>
      <c r="AO134" s="365"/>
      <c r="AP134" s="365"/>
      <c r="AQ134" s="365"/>
      <c r="AR134" s="365"/>
      <c r="AS134" s="365"/>
      <c r="AT134" s="270"/>
      <c r="AU134" s="270"/>
      <c r="AV134" s="270"/>
    </row>
    <row r="135" spans="1:52" s="273" customFormat="1" ht="15" customHeight="1" x14ac:dyDescent="0.2">
      <c r="A135" s="11"/>
      <c r="B135" s="11"/>
      <c r="C135" s="11"/>
      <c r="F135" s="11"/>
      <c r="G135" s="11"/>
      <c r="H135" s="11"/>
      <c r="I135" s="11"/>
      <c r="L135" s="11"/>
      <c r="M135" s="11"/>
      <c r="N135" s="11"/>
      <c r="O135" s="11"/>
      <c r="P135" s="437"/>
      <c r="Q135" s="437"/>
      <c r="R135" s="437"/>
      <c r="S135" s="437"/>
      <c r="T135" s="437"/>
      <c r="U135" s="437"/>
      <c r="V135" s="437"/>
      <c r="W135" s="439"/>
      <c r="X135" s="350"/>
      <c r="Y135" s="350"/>
      <c r="Z135" s="357"/>
      <c r="AC135" s="448"/>
      <c r="AD135" s="391"/>
      <c r="AE135" s="391"/>
      <c r="AF135" s="365"/>
      <c r="AG135" s="365"/>
      <c r="AH135" s="365"/>
      <c r="AI135" s="365"/>
      <c r="AJ135" s="365"/>
      <c r="AK135" s="365"/>
      <c r="AL135" s="365"/>
      <c r="AM135" s="365"/>
      <c r="AN135" s="365"/>
      <c r="AO135" s="365"/>
      <c r="AP135" s="365"/>
      <c r="AQ135" s="365"/>
      <c r="AR135" s="365"/>
      <c r="AS135" s="365"/>
      <c r="AT135" s="270"/>
      <c r="AU135" s="270"/>
      <c r="AV135" s="270"/>
    </row>
    <row r="136" spans="1:52" s="273" customFormat="1" ht="15" customHeight="1" x14ac:dyDescent="0.2">
      <c r="A136" s="11"/>
      <c r="B136" s="11"/>
      <c r="C136" s="11"/>
      <c r="F136" s="11"/>
      <c r="G136" s="11"/>
      <c r="H136" s="11"/>
      <c r="I136" s="11"/>
      <c r="L136" s="11"/>
      <c r="M136" s="11"/>
      <c r="N136" s="11"/>
      <c r="O136" s="11"/>
      <c r="P136" s="349"/>
      <c r="Q136" s="426"/>
      <c r="R136" s="435"/>
      <c r="S136" s="440"/>
      <c r="T136" s="437"/>
      <c r="U136" s="437"/>
      <c r="V136" s="437"/>
      <c r="W136" s="439"/>
      <c r="X136" s="350"/>
      <c r="Y136" s="350"/>
      <c r="Z136" s="357"/>
      <c r="AC136" s="394"/>
      <c r="AD136" s="395"/>
      <c r="AE136" s="396"/>
      <c r="AF136" s="365"/>
      <c r="AG136" s="365"/>
      <c r="AH136" s="365"/>
      <c r="AI136" s="365"/>
      <c r="AJ136" s="365"/>
      <c r="AK136" s="365"/>
      <c r="AL136" s="365"/>
      <c r="AM136" s="365"/>
      <c r="AN136" s="365"/>
      <c r="AO136" s="365"/>
      <c r="AP136" s="365"/>
      <c r="AQ136" s="365"/>
      <c r="AR136" s="365"/>
      <c r="AS136" s="365"/>
      <c r="AT136" s="270"/>
      <c r="AU136" s="270"/>
      <c r="AV136" s="270"/>
    </row>
    <row r="137" spans="1:52" s="273" customFormat="1" ht="15" customHeight="1" x14ac:dyDescent="0.2">
      <c r="A137" s="11"/>
      <c r="B137" s="11"/>
      <c r="C137" s="11"/>
      <c r="F137" s="11"/>
      <c r="G137" s="11"/>
      <c r="H137" s="11"/>
      <c r="I137" s="11"/>
      <c r="L137" s="11"/>
      <c r="M137" s="11"/>
      <c r="N137" s="11"/>
      <c r="O137" s="11"/>
      <c r="P137" s="425"/>
      <c r="Q137" s="426"/>
      <c r="R137" s="435"/>
      <c r="S137" s="440"/>
      <c r="T137" s="437"/>
      <c r="U137" s="437"/>
      <c r="V137" s="437"/>
      <c r="W137" s="439"/>
      <c r="X137" s="350"/>
      <c r="Y137" s="350"/>
      <c r="Z137" s="357"/>
      <c r="AC137" s="394"/>
      <c r="AD137" s="395"/>
      <c r="AE137" s="396"/>
      <c r="AF137" s="365"/>
      <c r="AG137" s="365"/>
      <c r="AH137" s="365"/>
      <c r="AI137" s="365"/>
      <c r="AJ137" s="365"/>
      <c r="AK137" s="365"/>
      <c r="AL137" s="365"/>
      <c r="AM137" s="365"/>
      <c r="AN137" s="365"/>
      <c r="AO137" s="365"/>
      <c r="AP137" s="365"/>
      <c r="AQ137" s="365"/>
      <c r="AR137" s="365"/>
      <c r="AS137" s="365"/>
      <c r="AT137" s="270"/>
      <c r="AU137" s="270"/>
      <c r="AV137" s="270"/>
    </row>
    <row r="138" spans="1:52" s="273" customFormat="1" ht="15" customHeight="1" x14ac:dyDescent="0.2">
      <c r="A138" s="11"/>
      <c r="B138" s="11"/>
      <c r="C138" s="11"/>
      <c r="F138" s="11"/>
      <c r="G138" s="11"/>
      <c r="H138" s="11"/>
      <c r="I138" s="11"/>
      <c r="L138" s="11"/>
      <c r="M138" s="11"/>
      <c r="N138" s="11"/>
      <c r="O138" s="11"/>
      <c r="P138" s="441"/>
      <c r="Q138" s="438"/>
      <c r="R138" s="426"/>
      <c r="S138" s="440"/>
      <c r="T138" s="437"/>
      <c r="U138" s="437"/>
      <c r="V138" s="437"/>
      <c r="W138" s="436"/>
      <c r="X138" s="350"/>
      <c r="Y138" s="350"/>
      <c r="Z138" s="357"/>
      <c r="AC138" s="397"/>
      <c r="AD138" s="397"/>
      <c r="AE138" s="397"/>
      <c r="AF138" s="365"/>
      <c r="AG138" s="365"/>
      <c r="AH138" s="365"/>
      <c r="AI138" s="365"/>
      <c r="AJ138" s="365"/>
      <c r="AK138" s="365"/>
      <c r="AL138" s="365"/>
      <c r="AM138" s="365"/>
      <c r="AN138" s="365"/>
      <c r="AO138" s="365"/>
      <c r="AP138" s="365"/>
      <c r="AQ138" s="365"/>
      <c r="AR138" s="365"/>
      <c r="AS138" s="365"/>
      <c r="AT138" s="270"/>
      <c r="AU138" s="270"/>
      <c r="AV138" s="270"/>
    </row>
    <row r="139" spans="1:52" s="273" customFormat="1" ht="15" customHeight="1" x14ac:dyDescent="0.2">
      <c r="A139" s="11"/>
      <c r="B139" s="11"/>
      <c r="C139" s="11"/>
      <c r="F139" s="11"/>
      <c r="G139" s="11"/>
      <c r="H139" s="11"/>
      <c r="I139" s="11"/>
      <c r="L139" s="11"/>
      <c r="M139" s="11"/>
      <c r="N139" s="11"/>
      <c r="O139" s="11"/>
      <c r="P139" s="441"/>
      <c r="Q139" s="438"/>
      <c r="R139" s="426"/>
      <c r="S139" s="440"/>
      <c r="T139" s="437"/>
      <c r="U139" s="437"/>
      <c r="V139" s="437"/>
      <c r="W139" s="436"/>
      <c r="X139" s="350"/>
      <c r="Y139" s="350"/>
      <c r="Z139" s="357"/>
      <c r="AC139" s="449"/>
      <c r="AD139" s="378"/>
      <c r="AE139" s="384"/>
      <c r="AF139" s="365"/>
      <c r="AG139" s="365"/>
      <c r="AH139" s="365"/>
      <c r="AI139" s="365"/>
      <c r="AJ139" s="365"/>
      <c r="AK139" s="398"/>
      <c r="AL139" s="365"/>
      <c r="AM139" s="365"/>
      <c r="AN139" s="365"/>
      <c r="AO139" s="365"/>
      <c r="AP139" s="365"/>
      <c r="AQ139" s="365"/>
      <c r="AR139" s="365"/>
      <c r="AS139" s="365"/>
      <c r="AT139" s="270"/>
      <c r="AU139" s="270"/>
      <c r="AV139" s="270"/>
    </row>
    <row r="140" spans="1:52" s="273" customFormat="1" ht="15" customHeight="1" x14ac:dyDescent="0.2">
      <c r="A140" s="11"/>
      <c r="B140" s="11"/>
      <c r="C140" s="11"/>
      <c r="F140" s="11"/>
      <c r="G140" s="11"/>
      <c r="H140" s="11"/>
      <c r="I140" s="11"/>
      <c r="L140" s="11"/>
      <c r="M140" s="11"/>
      <c r="N140" s="11"/>
      <c r="O140" s="11"/>
      <c r="P140" s="441"/>
      <c r="Q140" s="438"/>
      <c r="R140" s="426"/>
      <c r="S140" s="440"/>
      <c r="T140" s="437"/>
      <c r="U140" s="437"/>
      <c r="V140" s="437"/>
      <c r="W140" s="436"/>
      <c r="X140" s="350"/>
      <c r="Y140" s="350"/>
      <c r="Z140" s="357"/>
      <c r="AC140" s="387"/>
      <c r="AD140" s="387"/>
      <c r="AE140" s="387"/>
      <c r="AF140" s="365"/>
      <c r="AG140" s="365"/>
      <c r="AH140" s="365"/>
      <c r="AI140" s="398"/>
      <c r="AJ140" s="398"/>
      <c r="AK140" s="401"/>
      <c r="AL140" s="365"/>
      <c r="AM140" s="365"/>
      <c r="AN140" s="365"/>
      <c r="AO140" s="365"/>
      <c r="AP140" s="365"/>
      <c r="AQ140" s="365"/>
      <c r="AR140" s="365"/>
      <c r="AS140" s="365"/>
      <c r="AT140" s="270"/>
      <c r="AU140" s="270"/>
      <c r="AV140" s="270"/>
    </row>
    <row r="141" spans="1:52" s="272" customFormat="1" ht="15" customHeight="1" x14ac:dyDescent="0.2">
      <c r="A141" s="11"/>
      <c r="B141" s="11"/>
      <c r="C141" s="11"/>
      <c r="F141" s="11"/>
      <c r="G141" s="11"/>
      <c r="H141" s="11"/>
      <c r="I141" s="11"/>
      <c r="L141" s="11"/>
      <c r="M141" s="11"/>
      <c r="N141" s="11"/>
      <c r="O141" s="11"/>
      <c r="P141" s="441"/>
      <c r="Q141" s="438"/>
      <c r="R141" s="426"/>
      <c r="S141" s="440"/>
      <c r="T141" s="399"/>
      <c r="U141" s="399"/>
      <c r="V141" s="399"/>
      <c r="W141" s="426"/>
      <c r="X141" s="350"/>
      <c r="Y141" s="350"/>
      <c r="Z141" s="350"/>
      <c r="AC141" s="403"/>
      <c r="AD141" s="387"/>
      <c r="AE141" s="387"/>
      <c r="AF141" s="365"/>
      <c r="AG141" s="365"/>
      <c r="AH141" s="365"/>
      <c r="AI141" s="401"/>
      <c r="AJ141" s="401"/>
      <c r="AK141" s="404"/>
      <c r="AL141" s="365"/>
      <c r="AM141" s="365"/>
      <c r="AN141" s="365"/>
      <c r="AO141" s="365"/>
      <c r="AP141" s="365"/>
      <c r="AQ141" s="365"/>
      <c r="AR141" s="365"/>
      <c r="AS141" s="365"/>
      <c r="AT141" s="270"/>
      <c r="AU141" s="270"/>
      <c r="AV141" s="270"/>
    </row>
    <row r="142" spans="1:52" s="272" customFormat="1" ht="15" customHeight="1" x14ac:dyDescent="0.2">
      <c r="A142" s="11"/>
      <c r="B142" s="11"/>
      <c r="C142" s="11"/>
      <c r="F142" s="11"/>
      <c r="G142" s="11"/>
      <c r="H142" s="11"/>
      <c r="I142" s="11"/>
      <c r="L142" s="11"/>
      <c r="M142" s="11"/>
      <c r="N142" s="11"/>
      <c r="O142" s="11"/>
      <c r="P142" s="441"/>
      <c r="Q142" s="438"/>
      <c r="R142" s="426"/>
      <c r="S142" s="440"/>
      <c r="T142" s="399"/>
      <c r="U142" s="399"/>
      <c r="V142" s="399"/>
      <c r="W142" s="426"/>
      <c r="X142" s="350"/>
      <c r="Y142" s="350"/>
      <c r="Z142" s="350"/>
      <c r="AC142" s="400"/>
      <c r="AD142" s="400"/>
      <c r="AE142" s="400"/>
      <c r="AF142" s="398"/>
      <c r="AG142" s="398"/>
      <c r="AH142" s="398"/>
      <c r="AI142" s="404"/>
      <c r="AJ142" s="404"/>
      <c r="AK142" s="406"/>
      <c r="AL142" s="365"/>
      <c r="AM142" s="365"/>
      <c r="AN142" s="365"/>
      <c r="AO142" s="365"/>
      <c r="AP142" s="365"/>
      <c r="AQ142" s="365"/>
      <c r="AR142" s="365"/>
      <c r="AS142" s="365"/>
      <c r="AT142" s="270"/>
      <c r="AU142" s="270"/>
      <c r="AV142" s="270"/>
    </row>
    <row r="143" spans="1:52" ht="15" customHeight="1" x14ac:dyDescent="0.2">
      <c r="P143" s="442"/>
      <c r="Q143" s="438"/>
      <c r="R143" s="426"/>
      <c r="S143" s="440"/>
      <c r="T143" s="295"/>
      <c r="U143" s="295"/>
      <c r="V143" s="295"/>
      <c r="W143" s="426"/>
      <c r="X143" s="350"/>
      <c r="Y143" s="350"/>
      <c r="Z143" s="350"/>
      <c r="AC143" s="407"/>
      <c r="AD143" s="407"/>
      <c r="AE143" s="407"/>
      <c r="AF143" s="401"/>
      <c r="AG143" s="401"/>
      <c r="AH143" s="401"/>
      <c r="AI143" s="410"/>
      <c r="AJ143" s="410"/>
      <c r="AK143" s="408"/>
      <c r="AL143" s="365"/>
      <c r="AM143" s="365"/>
      <c r="AN143" s="365"/>
      <c r="AO143" s="365"/>
      <c r="AP143" s="365"/>
      <c r="AQ143" s="365"/>
      <c r="AR143" s="365"/>
      <c r="AS143" s="365"/>
      <c r="AT143" s="270"/>
      <c r="AU143" s="270"/>
      <c r="AV143" s="270"/>
    </row>
    <row r="144" spans="1:52" ht="15" customHeight="1" x14ac:dyDescent="0.2">
      <c r="P144" s="442"/>
      <c r="Q144" s="438"/>
      <c r="R144" s="426"/>
      <c r="S144" s="350"/>
      <c r="T144" s="295"/>
      <c r="U144" s="295"/>
      <c r="V144" s="295"/>
      <c r="W144" s="426"/>
      <c r="X144" s="350"/>
      <c r="Y144" s="350"/>
      <c r="Z144" s="350"/>
      <c r="AC144" s="407"/>
      <c r="AD144" s="407"/>
      <c r="AE144" s="407"/>
      <c r="AF144" s="409"/>
      <c r="AG144" s="410"/>
      <c r="AH144" s="410"/>
      <c r="AI144" s="410"/>
      <c r="AJ144" s="410"/>
      <c r="AK144" s="411"/>
      <c r="AL144" s="365"/>
      <c r="AM144" s="365"/>
      <c r="AN144" s="365"/>
      <c r="AO144" s="365"/>
      <c r="AP144" s="365"/>
      <c r="AQ144" s="365"/>
      <c r="AR144" s="365"/>
      <c r="AS144" s="365"/>
      <c r="AT144" s="270"/>
      <c r="AU144" s="270"/>
      <c r="AV144" s="270"/>
    </row>
    <row r="145" spans="16:48" ht="15" customHeight="1" x14ac:dyDescent="0.2">
      <c r="P145" s="347"/>
      <c r="Q145" s="438"/>
      <c r="R145" s="350"/>
      <c r="S145" s="350"/>
      <c r="T145" s="295"/>
      <c r="U145" s="295"/>
      <c r="V145" s="295"/>
      <c r="W145" s="443"/>
      <c r="X145" s="443"/>
      <c r="Y145" s="443"/>
      <c r="Z145" s="350"/>
      <c r="AC145" s="398"/>
      <c r="AD145" s="398"/>
      <c r="AE145" s="398"/>
      <c r="AF145" s="413"/>
      <c r="AG145" s="410"/>
      <c r="AH145" s="410"/>
      <c r="AI145" s="410"/>
      <c r="AJ145" s="410"/>
      <c r="AK145" s="406"/>
      <c r="AL145" s="365"/>
      <c r="AM145" s="365"/>
      <c r="AN145" s="365"/>
      <c r="AO145" s="365"/>
      <c r="AP145" s="365"/>
      <c r="AQ145" s="365"/>
      <c r="AR145" s="365"/>
      <c r="AS145" s="365"/>
      <c r="AT145" s="270"/>
      <c r="AU145" s="270"/>
      <c r="AV145" s="270"/>
    </row>
    <row r="146" spans="16:48" ht="15" customHeight="1" x14ac:dyDescent="0.2">
      <c r="P146" s="441"/>
      <c r="Q146" s="438"/>
      <c r="R146" s="438"/>
      <c r="S146" s="350"/>
      <c r="T146" s="295"/>
      <c r="U146" s="295"/>
      <c r="V146" s="295"/>
      <c r="W146" s="443"/>
      <c r="X146" s="443"/>
      <c r="Y146" s="443"/>
      <c r="Z146" s="444"/>
      <c r="AC146" s="401"/>
      <c r="AD146" s="401"/>
      <c r="AE146" s="401"/>
      <c r="AF146" s="414"/>
      <c r="AG146" s="410"/>
      <c r="AH146" s="410"/>
      <c r="AI146" s="410"/>
      <c r="AJ146" s="410"/>
      <c r="AK146" s="406"/>
      <c r="AL146" s="365"/>
      <c r="AM146" s="365"/>
      <c r="AN146" s="365"/>
      <c r="AO146" s="365"/>
      <c r="AP146" s="365"/>
      <c r="AQ146" s="365"/>
      <c r="AR146" s="365"/>
      <c r="AS146" s="365"/>
      <c r="AT146" s="270"/>
      <c r="AU146" s="270"/>
      <c r="AV146" s="270"/>
    </row>
    <row r="147" spans="16:48" ht="15" customHeight="1" x14ac:dyDescent="0.2">
      <c r="P147" s="347"/>
      <c r="Q147" s="350"/>
      <c r="R147" s="350"/>
      <c r="S147" s="350"/>
      <c r="T147" s="295"/>
      <c r="U147" s="295"/>
      <c r="V147" s="295"/>
      <c r="W147" s="443"/>
      <c r="X147" s="443"/>
      <c r="Y147" s="443"/>
      <c r="Z147" s="350"/>
      <c r="AC147" s="409"/>
      <c r="AD147" s="401"/>
      <c r="AE147" s="401"/>
      <c r="AF147" s="413"/>
      <c r="AG147" s="410"/>
      <c r="AH147" s="410"/>
      <c r="AI147" s="410"/>
      <c r="AJ147" s="410"/>
      <c r="AK147" s="408"/>
      <c r="AL147" s="365"/>
      <c r="AM147" s="365"/>
      <c r="AN147" s="365"/>
      <c r="AO147" s="365"/>
      <c r="AP147" s="365"/>
      <c r="AQ147" s="365"/>
      <c r="AR147" s="365"/>
      <c r="AS147" s="365"/>
      <c r="AT147" s="270"/>
      <c r="AU147" s="270"/>
      <c r="AV147" s="270"/>
    </row>
    <row r="148" spans="16:48" ht="15" customHeight="1" x14ac:dyDescent="0.2">
      <c r="P148" s="295"/>
      <c r="Q148" s="295"/>
      <c r="R148" s="295"/>
      <c r="S148" s="350"/>
      <c r="T148" s="295"/>
      <c r="U148" s="295"/>
      <c r="V148" s="295"/>
      <c r="W148" s="445"/>
      <c r="X148" s="445"/>
      <c r="Y148" s="445"/>
      <c r="Z148" s="445"/>
      <c r="AC148" s="415"/>
      <c r="AD148" s="415"/>
      <c r="AE148" s="401"/>
      <c r="AF148" s="413"/>
      <c r="AG148" s="410"/>
      <c r="AH148" s="410"/>
      <c r="AI148" s="410"/>
      <c r="AJ148" s="410"/>
      <c r="AK148" s="416"/>
      <c r="AL148" s="365"/>
      <c r="AM148" s="365"/>
      <c r="AN148" s="365"/>
      <c r="AO148" s="365"/>
      <c r="AP148" s="365"/>
      <c r="AQ148" s="365"/>
      <c r="AR148" s="365"/>
      <c r="AS148" s="365"/>
      <c r="AT148" s="270"/>
      <c r="AU148" s="270"/>
      <c r="AV148" s="270"/>
    </row>
    <row r="149" spans="16:48" ht="15" customHeight="1" x14ac:dyDescent="0.2">
      <c r="P149" s="295"/>
      <c r="Q149" s="295"/>
      <c r="R149" s="295"/>
      <c r="S149" s="350"/>
      <c r="T149" s="295"/>
      <c r="U149" s="295"/>
      <c r="V149" s="295"/>
      <c r="W149" s="350"/>
      <c r="X149" s="350"/>
      <c r="Y149" s="350"/>
      <c r="Z149" s="350"/>
      <c r="AC149" s="417"/>
      <c r="AD149" s="417"/>
      <c r="AE149" s="401"/>
      <c r="AF149" s="413"/>
      <c r="AG149" s="410"/>
      <c r="AH149" s="410"/>
      <c r="AI149" s="418"/>
      <c r="AJ149" s="416"/>
      <c r="AK149" s="401"/>
      <c r="AL149" s="365"/>
      <c r="AM149" s="365"/>
      <c r="AN149" s="365"/>
      <c r="AO149" s="365"/>
      <c r="AP149" s="365"/>
      <c r="AQ149" s="365"/>
      <c r="AR149" s="365"/>
      <c r="AS149" s="365"/>
      <c r="AT149" s="270"/>
      <c r="AU149" s="270"/>
      <c r="AV149" s="270"/>
    </row>
    <row r="150" spans="16:48" ht="24" customHeight="1" x14ac:dyDescent="0.2">
      <c r="P150" s="295"/>
      <c r="Q150" s="295"/>
      <c r="R150" s="295"/>
      <c r="S150" s="350"/>
      <c r="T150" s="295"/>
      <c r="U150" s="295"/>
      <c r="V150" s="295"/>
      <c r="W150" s="350"/>
      <c r="X150" s="350"/>
      <c r="Y150" s="350"/>
      <c r="Z150" s="350"/>
      <c r="AC150" s="419"/>
      <c r="AD150" s="419"/>
      <c r="AE150" s="401"/>
      <c r="AF150" s="413"/>
      <c r="AG150" s="410"/>
      <c r="AH150" s="410"/>
      <c r="AI150" s="401"/>
      <c r="AJ150" s="401"/>
      <c r="AK150" s="401"/>
      <c r="AL150" s="365"/>
      <c r="AM150" s="365"/>
      <c r="AN150" s="365"/>
      <c r="AO150" s="365"/>
      <c r="AP150" s="365"/>
      <c r="AQ150" s="365"/>
      <c r="AR150" s="365"/>
      <c r="AS150" s="365"/>
      <c r="AT150" s="270"/>
      <c r="AU150" s="270"/>
      <c r="AV150" s="270"/>
    </row>
    <row r="151" spans="16:48" ht="21.95" customHeight="1" x14ac:dyDescent="0.2">
      <c r="P151" s="295"/>
      <c r="Q151" s="295"/>
      <c r="R151" s="295"/>
      <c r="S151" s="350"/>
      <c r="T151" s="295"/>
      <c r="U151" s="295"/>
      <c r="V151" s="295"/>
      <c r="W151" s="350"/>
      <c r="X151" s="350"/>
      <c r="Y151" s="350"/>
      <c r="Z151" s="350"/>
      <c r="AC151" s="420"/>
      <c r="AD151" s="420"/>
      <c r="AE151" s="401"/>
      <c r="AF151" s="413"/>
      <c r="AG151" s="410"/>
      <c r="AH151" s="410"/>
      <c r="AI151" s="401"/>
      <c r="AJ151" s="401"/>
      <c r="AK151" s="401"/>
      <c r="AL151" s="365"/>
      <c r="AM151" s="365"/>
      <c r="AN151" s="365"/>
      <c r="AO151" s="365"/>
      <c r="AP151" s="365"/>
      <c r="AQ151" s="365"/>
      <c r="AR151" s="365"/>
      <c r="AS151" s="365"/>
      <c r="AT151" s="270"/>
      <c r="AU151" s="270"/>
      <c r="AV151" s="270"/>
    </row>
    <row r="152" spans="16:48" ht="21" customHeight="1" x14ac:dyDescent="0.2">
      <c r="P152" s="295"/>
      <c r="Q152" s="295"/>
      <c r="R152" s="295"/>
      <c r="S152" s="350"/>
      <c r="T152" s="295"/>
      <c r="U152" s="295"/>
      <c r="V152" s="295"/>
      <c r="W152" s="350"/>
      <c r="X152" s="350"/>
      <c r="Y152" s="350"/>
      <c r="Z152" s="350"/>
      <c r="AC152" s="421"/>
      <c r="AD152" s="421"/>
      <c r="AE152" s="401"/>
      <c r="AF152" s="413"/>
      <c r="AG152" s="410"/>
      <c r="AH152" s="410"/>
      <c r="AI152" s="401"/>
      <c r="AJ152" s="401"/>
      <c r="AK152" s="401"/>
      <c r="AL152" s="365"/>
      <c r="AM152" s="365"/>
      <c r="AN152" s="365"/>
      <c r="AO152" s="365"/>
      <c r="AP152" s="365"/>
      <c r="AQ152" s="365"/>
      <c r="AR152" s="365"/>
      <c r="AS152" s="365"/>
      <c r="AT152" s="270"/>
      <c r="AU152" s="270"/>
      <c r="AV152" s="270"/>
    </row>
    <row r="153" spans="16:48" ht="15.75" customHeight="1" x14ac:dyDescent="0.2">
      <c r="P153" s="295"/>
      <c r="Q153" s="295"/>
      <c r="R153" s="295"/>
      <c r="S153" s="350"/>
      <c r="T153" s="295"/>
      <c r="U153" s="295"/>
      <c r="V153" s="295"/>
      <c r="W153" s="350"/>
      <c r="X153" s="350"/>
      <c r="Y153" s="350"/>
      <c r="Z153" s="350"/>
      <c r="AC153" s="421"/>
      <c r="AD153" s="421"/>
      <c r="AE153" s="401"/>
      <c r="AF153" s="413"/>
      <c r="AG153" s="410"/>
      <c r="AH153" s="410"/>
      <c r="AI153" s="401"/>
      <c r="AJ153" s="401"/>
      <c r="AK153" s="401"/>
      <c r="AL153" s="422"/>
      <c r="AM153" s="422"/>
      <c r="AN153" s="422"/>
      <c r="AO153" s="422"/>
      <c r="AP153" s="365"/>
      <c r="AQ153" s="365"/>
      <c r="AR153" s="365"/>
      <c r="AS153" s="365"/>
      <c r="AT153" s="270"/>
      <c r="AU153" s="270"/>
      <c r="AV153" s="270"/>
    </row>
    <row r="154" spans="16:48" ht="12.75" customHeight="1" x14ac:dyDescent="0.2">
      <c r="P154" s="295"/>
      <c r="Q154" s="295"/>
      <c r="R154" s="295"/>
      <c r="S154" s="350"/>
      <c r="T154" s="295"/>
      <c r="U154" s="295"/>
      <c r="V154" s="295"/>
      <c r="W154" s="350"/>
      <c r="X154" s="350"/>
      <c r="Y154" s="350"/>
      <c r="Z154" s="350"/>
      <c r="AC154" s="423"/>
      <c r="AD154" s="423"/>
      <c r="AE154" s="401"/>
      <c r="AF154" s="413"/>
      <c r="AG154" s="410"/>
      <c r="AH154" s="410"/>
      <c r="AI154" s="401"/>
      <c r="AJ154" s="401"/>
      <c r="AK154" s="401"/>
      <c r="AL154" s="424"/>
      <c r="AM154" s="424"/>
      <c r="AN154" s="424"/>
      <c r="AO154" s="424"/>
      <c r="AP154" s="365"/>
      <c r="AQ154" s="365"/>
      <c r="AR154" s="365"/>
      <c r="AS154" s="365"/>
      <c r="AT154" s="270"/>
      <c r="AU154" s="270"/>
      <c r="AV154" s="270"/>
    </row>
    <row r="155" spans="16:48" ht="18.75" customHeight="1" x14ac:dyDescent="0.2">
      <c r="P155" s="390"/>
      <c r="Q155" s="351"/>
      <c r="R155" s="350"/>
      <c r="S155" s="350"/>
      <c r="T155" s="295"/>
      <c r="U155" s="295"/>
      <c r="V155" s="295"/>
      <c r="W155" s="350"/>
      <c r="X155" s="350"/>
      <c r="Y155" s="350"/>
      <c r="Z155" s="350"/>
      <c r="AA155" s="423"/>
      <c r="AB155" s="423"/>
      <c r="AC155" s="423"/>
      <c r="AD155" s="423"/>
      <c r="AE155" s="401"/>
      <c r="AF155" s="413"/>
      <c r="AG155" s="410"/>
      <c r="AH155" s="410"/>
      <c r="AI155" s="401"/>
      <c r="AJ155" s="401"/>
      <c r="AK155" s="401"/>
      <c r="AL155" s="424"/>
      <c r="AM155" s="424"/>
      <c r="AN155" s="424"/>
      <c r="AO155" s="424"/>
      <c r="AP155" s="365"/>
      <c r="AQ155" s="365"/>
      <c r="AR155" s="365"/>
      <c r="AS155" s="365"/>
      <c r="AT155" s="270"/>
      <c r="AU155" s="270"/>
      <c r="AV155" s="270"/>
    </row>
    <row r="156" spans="16:48" ht="29.25" customHeight="1" x14ac:dyDescent="0.2">
      <c r="P156" s="295"/>
      <c r="Q156" s="295"/>
      <c r="R156" s="350"/>
      <c r="S156" s="350"/>
      <c r="T156" s="295"/>
      <c r="U156" s="295"/>
      <c r="V156" s="295"/>
      <c r="W156" s="350"/>
      <c r="X156" s="350"/>
      <c r="Y156" s="350"/>
      <c r="Z156" s="350"/>
      <c r="AA156" s="350"/>
      <c r="AB156" s="350"/>
      <c r="AC156" s="350"/>
      <c r="AD156" s="350"/>
      <c r="AE156" s="350"/>
      <c r="AF156" s="350"/>
      <c r="AG156" s="350"/>
      <c r="AH156" s="350"/>
      <c r="AI156" s="350"/>
      <c r="AJ156" s="350"/>
      <c r="AK156" s="350"/>
      <c r="AL156" s="295"/>
      <c r="AM156" s="295"/>
      <c r="AN156" s="295"/>
      <c r="AO156" s="295"/>
      <c r="AP156" s="295"/>
      <c r="AQ156" s="295"/>
      <c r="AR156" s="295"/>
      <c r="AS156" s="295"/>
    </row>
    <row r="157" spans="16:48" ht="27.95" customHeight="1" x14ac:dyDescent="0.2">
      <c r="P157" s="295"/>
      <c r="Q157" s="295"/>
      <c r="R157" s="350"/>
      <c r="S157" s="350"/>
      <c r="T157" s="295"/>
      <c r="U157" s="295"/>
      <c r="V157" s="295"/>
      <c r="W157" s="350"/>
      <c r="X157" s="350"/>
      <c r="Y157" s="350"/>
      <c r="Z157" s="350"/>
      <c r="AA157" s="350"/>
      <c r="AB157" s="350"/>
      <c r="AC157" s="350"/>
      <c r="AD157" s="350"/>
      <c r="AE157" s="350"/>
      <c r="AF157" s="350"/>
      <c r="AG157" s="350"/>
      <c r="AH157" s="350"/>
      <c r="AI157" s="350"/>
      <c r="AJ157" s="350"/>
      <c r="AK157" s="350"/>
      <c r="AL157" s="295"/>
      <c r="AM157" s="295"/>
      <c r="AN157" s="295"/>
      <c r="AO157" s="295"/>
      <c r="AP157" s="295"/>
      <c r="AQ157" s="295"/>
      <c r="AR157" s="295"/>
      <c r="AS157" s="295"/>
    </row>
    <row r="158" spans="16:48" ht="27.95" customHeight="1" x14ac:dyDescent="0.2">
      <c r="R158" s="265"/>
      <c r="S158" s="265"/>
      <c r="W158" s="265"/>
      <c r="X158" s="265"/>
      <c r="Y158" s="265"/>
      <c r="Z158" s="265"/>
      <c r="AA158" s="265"/>
      <c r="AB158" s="265"/>
      <c r="AC158" s="265"/>
      <c r="AD158" s="265"/>
      <c r="AE158" s="265"/>
      <c r="AF158" s="265"/>
      <c r="AG158" s="265"/>
      <c r="AH158" s="265"/>
      <c r="AI158" s="265"/>
      <c r="AJ158" s="265"/>
      <c r="AK158" s="265"/>
    </row>
    <row r="159" spans="16:48" ht="12.95" customHeight="1" x14ac:dyDescent="0.2">
      <c r="R159" s="265"/>
      <c r="S159" s="265"/>
      <c r="W159" s="265"/>
      <c r="X159" s="265"/>
      <c r="Y159" s="265"/>
      <c r="Z159" s="265"/>
      <c r="AA159" s="265"/>
      <c r="AB159" s="265"/>
      <c r="AC159" s="265"/>
      <c r="AD159" s="265"/>
      <c r="AE159" s="265"/>
      <c r="AF159" s="265"/>
      <c r="AG159" s="265"/>
      <c r="AH159" s="265"/>
      <c r="AI159" s="265"/>
      <c r="AJ159" s="265"/>
      <c r="AK159" s="265"/>
    </row>
    <row r="160" spans="16:48" ht="12" customHeight="1" x14ac:dyDescent="0.2">
      <c r="R160" s="265"/>
      <c r="S160" s="265"/>
      <c r="W160" s="265"/>
      <c r="X160" s="265"/>
      <c r="Y160" s="265"/>
      <c r="Z160" s="265"/>
      <c r="AA160" s="265"/>
      <c r="AB160" s="265"/>
      <c r="AC160" s="265"/>
      <c r="AD160" s="265"/>
      <c r="AE160" s="265"/>
      <c r="AF160" s="265"/>
      <c r="AG160" s="265"/>
      <c r="AH160" s="265"/>
      <c r="AI160" s="265"/>
      <c r="AJ160" s="265"/>
      <c r="AK160" s="265"/>
    </row>
    <row r="161" spans="16:52" x14ac:dyDescent="0.2">
      <c r="R161" s="265"/>
      <c r="S161" s="265"/>
      <c r="W161" s="265"/>
      <c r="X161" s="265"/>
      <c r="Y161" s="265"/>
      <c r="Z161" s="265"/>
      <c r="AA161" s="265"/>
      <c r="AB161" s="265"/>
      <c r="AC161" s="265"/>
      <c r="AD161" s="265"/>
      <c r="AE161" s="265"/>
      <c r="AF161" s="265"/>
      <c r="AG161" s="265"/>
      <c r="AH161" s="265"/>
      <c r="AI161" s="265"/>
      <c r="AJ161" s="265"/>
      <c r="AK161" s="265"/>
    </row>
    <row r="162" spans="16:52" x14ac:dyDescent="0.2">
      <c r="P162" s="265"/>
      <c r="Q162" s="265"/>
      <c r="R162" s="265"/>
      <c r="S162" s="265"/>
      <c r="W162" s="265"/>
      <c r="X162" s="265"/>
      <c r="Y162" s="265"/>
      <c r="Z162" s="265"/>
      <c r="AA162" s="265"/>
      <c r="AB162" s="265"/>
      <c r="AC162" s="265"/>
      <c r="AD162" s="265"/>
      <c r="AE162" s="265"/>
      <c r="AF162" s="265"/>
      <c r="AG162" s="265"/>
      <c r="AH162" s="265"/>
      <c r="AI162" s="265"/>
      <c r="AJ162" s="265"/>
      <c r="AK162" s="265"/>
      <c r="AL162" s="265"/>
      <c r="AM162" s="265"/>
      <c r="AN162" s="265"/>
      <c r="AO162" s="265"/>
      <c r="AP162" s="265"/>
      <c r="AQ162" s="265"/>
      <c r="AR162" s="265"/>
      <c r="AS162" s="265"/>
      <c r="AT162" s="265"/>
      <c r="AU162" s="265"/>
      <c r="AV162" s="265"/>
      <c r="AW162" s="265"/>
      <c r="AX162" s="265"/>
      <c r="AY162" s="265"/>
      <c r="AZ162" s="265"/>
    </row>
    <row r="163" spans="16:52" x14ac:dyDescent="0.2">
      <c r="P163" s="265"/>
      <c r="Q163" s="265"/>
      <c r="R163" s="265"/>
      <c r="S163" s="265"/>
      <c r="W163" s="265"/>
      <c r="X163" s="265"/>
      <c r="Y163" s="265"/>
      <c r="Z163" s="265"/>
      <c r="AA163" s="265"/>
      <c r="AB163" s="265"/>
      <c r="AC163" s="265"/>
      <c r="AD163" s="265"/>
      <c r="AE163" s="265"/>
      <c r="AF163" s="265"/>
      <c r="AG163" s="265"/>
      <c r="AH163" s="265"/>
      <c r="AI163" s="265"/>
      <c r="AJ163" s="265"/>
      <c r="AK163" s="265"/>
      <c r="AL163" s="265"/>
      <c r="AM163" s="265"/>
      <c r="AN163" s="265"/>
      <c r="AO163" s="265"/>
      <c r="AP163" s="265"/>
      <c r="AQ163" s="265"/>
      <c r="AR163" s="265"/>
      <c r="AS163" s="265"/>
      <c r="AT163" s="265"/>
      <c r="AU163" s="265"/>
      <c r="AV163" s="265"/>
      <c r="AW163" s="265"/>
      <c r="AX163" s="265"/>
      <c r="AY163" s="265"/>
      <c r="AZ163" s="265"/>
    </row>
    <row r="164" spans="16:52" x14ac:dyDescent="0.2">
      <c r="P164" s="265"/>
      <c r="Q164" s="265"/>
      <c r="R164" s="265"/>
      <c r="S164" s="265"/>
      <c r="W164" s="265"/>
      <c r="X164" s="265"/>
      <c r="Y164" s="265"/>
      <c r="Z164" s="265"/>
      <c r="AA164" s="265"/>
      <c r="AB164" s="265"/>
      <c r="AC164" s="265"/>
      <c r="AD164" s="265"/>
      <c r="AE164" s="265"/>
      <c r="AF164" s="265"/>
      <c r="AG164" s="265"/>
      <c r="AH164" s="265"/>
      <c r="AI164" s="265"/>
      <c r="AJ164" s="265"/>
      <c r="AK164" s="265"/>
      <c r="AL164" s="265"/>
      <c r="AM164" s="265"/>
      <c r="AN164" s="265"/>
      <c r="AO164" s="265"/>
      <c r="AP164" s="265"/>
      <c r="AQ164" s="265"/>
      <c r="AR164" s="265"/>
      <c r="AS164" s="265"/>
      <c r="AT164" s="265"/>
      <c r="AU164" s="265"/>
      <c r="AV164" s="265"/>
      <c r="AW164" s="265"/>
      <c r="AX164" s="265"/>
      <c r="AY164" s="265"/>
      <c r="AZ164" s="265"/>
    </row>
    <row r="165" spans="16:52" x14ac:dyDescent="0.2">
      <c r="P165" s="265"/>
      <c r="Q165" s="265"/>
      <c r="R165" s="265"/>
      <c r="S165" s="265"/>
      <c r="W165" s="265"/>
      <c r="X165" s="265"/>
      <c r="Y165" s="265"/>
      <c r="Z165" s="265"/>
      <c r="AA165" s="265"/>
      <c r="AB165" s="265"/>
      <c r="AC165" s="265"/>
      <c r="AD165" s="265"/>
      <c r="AE165" s="265"/>
      <c r="AF165" s="265"/>
      <c r="AG165" s="265"/>
      <c r="AH165" s="265"/>
      <c r="AI165" s="265"/>
      <c r="AJ165" s="265"/>
      <c r="AK165" s="265"/>
      <c r="AL165" s="265"/>
      <c r="AM165" s="265"/>
      <c r="AN165" s="265"/>
      <c r="AO165" s="265"/>
      <c r="AP165" s="265"/>
      <c r="AQ165" s="265"/>
      <c r="AR165" s="265"/>
      <c r="AS165" s="265"/>
      <c r="AT165" s="265"/>
      <c r="AU165" s="265"/>
      <c r="AV165" s="265"/>
      <c r="AW165" s="265"/>
      <c r="AX165" s="265"/>
      <c r="AY165" s="265"/>
      <c r="AZ165" s="265"/>
    </row>
    <row r="166" spans="16:52" x14ac:dyDescent="0.2">
      <c r="P166" s="265"/>
      <c r="Q166" s="265"/>
      <c r="R166" s="265"/>
      <c r="S166" s="265"/>
      <c r="W166" s="265"/>
      <c r="X166" s="265"/>
      <c r="Y166" s="265"/>
      <c r="Z166" s="265"/>
      <c r="AA166" s="265"/>
      <c r="AB166" s="265"/>
      <c r="AC166" s="265"/>
      <c r="AD166" s="265"/>
      <c r="AE166" s="265"/>
      <c r="AF166" s="265"/>
      <c r="AG166" s="265"/>
      <c r="AH166" s="265"/>
      <c r="AI166" s="265"/>
      <c r="AJ166" s="265"/>
      <c r="AK166" s="265"/>
      <c r="AL166" s="265"/>
      <c r="AM166" s="265"/>
      <c r="AN166" s="265"/>
      <c r="AO166" s="265"/>
      <c r="AP166" s="265"/>
      <c r="AQ166" s="265"/>
      <c r="AR166" s="265"/>
      <c r="AS166" s="265"/>
      <c r="AT166" s="265"/>
      <c r="AU166" s="265"/>
      <c r="AV166" s="265"/>
      <c r="AW166" s="265"/>
      <c r="AX166" s="265"/>
      <c r="AY166" s="265"/>
      <c r="AZ166" s="265"/>
    </row>
    <row r="167" spans="16:52" x14ac:dyDescent="0.2">
      <c r="P167" s="265"/>
      <c r="Q167" s="265"/>
      <c r="R167" s="265"/>
      <c r="S167" s="265"/>
      <c r="W167" s="265"/>
      <c r="X167" s="265"/>
      <c r="Y167" s="265"/>
      <c r="Z167" s="265"/>
      <c r="AA167" s="265"/>
      <c r="AB167" s="265"/>
      <c r="AC167" s="265"/>
      <c r="AD167" s="265"/>
      <c r="AE167" s="265"/>
      <c r="AF167" s="265"/>
      <c r="AG167" s="265"/>
      <c r="AH167" s="265"/>
      <c r="AI167" s="265"/>
      <c r="AJ167" s="265"/>
      <c r="AK167" s="265"/>
      <c r="AL167" s="265"/>
      <c r="AM167" s="265"/>
      <c r="AN167" s="265"/>
      <c r="AO167" s="265"/>
      <c r="AP167" s="265"/>
      <c r="AQ167" s="265"/>
      <c r="AR167" s="265"/>
      <c r="AS167" s="265"/>
      <c r="AT167" s="265"/>
      <c r="AU167" s="265"/>
      <c r="AV167" s="265"/>
      <c r="AW167" s="265"/>
      <c r="AX167" s="265"/>
      <c r="AY167" s="265"/>
      <c r="AZ167" s="265"/>
    </row>
    <row r="168" spans="16:52" x14ac:dyDescent="0.2">
      <c r="P168" s="265"/>
      <c r="Q168" s="265"/>
      <c r="R168" s="265"/>
      <c r="S168" s="265"/>
      <c r="W168" s="265"/>
      <c r="X168" s="265"/>
      <c r="Y168" s="265"/>
      <c r="Z168" s="265"/>
      <c r="AA168" s="265"/>
      <c r="AB168" s="265"/>
      <c r="AC168" s="265"/>
      <c r="AD168" s="265"/>
      <c r="AE168" s="265"/>
      <c r="AF168" s="265"/>
      <c r="AG168" s="265"/>
      <c r="AH168" s="265"/>
      <c r="AI168" s="265"/>
      <c r="AJ168" s="265"/>
      <c r="AK168" s="265"/>
      <c r="AL168" s="265"/>
      <c r="AM168" s="265"/>
      <c r="AN168" s="265"/>
      <c r="AO168" s="265"/>
      <c r="AP168" s="265"/>
      <c r="AQ168" s="265"/>
      <c r="AR168" s="265"/>
      <c r="AS168" s="265"/>
      <c r="AT168" s="265"/>
      <c r="AU168" s="265"/>
      <c r="AV168" s="265"/>
      <c r="AW168" s="265"/>
      <c r="AX168" s="265"/>
      <c r="AY168" s="265"/>
      <c r="AZ168" s="265"/>
    </row>
    <row r="169" spans="16:52" x14ac:dyDescent="0.2">
      <c r="P169" s="265"/>
      <c r="Q169" s="265"/>
      <c r="R169" s="265"/>
      <c r="S169" s="265"/>
      <c r="W169" s="265"/>
      <c r="X169" s="265"/>
      <c r="Y169" s="265"/>
      <c r="Z169" s="265"/>
      <c r="AA169" s="265"/>
      <c r="AB169" s="265"/>
      <c r="AC169" s="265"/>
      <c r="AD169" s="265"/>
      <c r="AE169" s="265"/>
      <c r="AF169" s="265"/>
      <c r="AG169" s="265"/>
      <c r="AH169" s="265"/>
      <c r="AI169" s="265"/>
      <c r="AJ169" s="265"/>
      <c r="AK169" s="265"/>
      <c r="AL169" s="265"/>
      <c r="AM169" s="265"/>
      <c r="AN169" s="265"/>
      <c r="AO169" s="265"/>
      <c r="AP169" s="265"/>
      <c r="AQ169" s="265"/>
      <c r="AR169" s="265"/>
      <c r="AS169" s="265"/>
      <c r="AT169" s="265"/>
      <c r="AU169" s="265"/>
      <c r="AV169" s="265"/>
      <c r="AW169" s="265"/>
      <c r="AX169" s="265"/>
      <c r="AY169" s="265"/>
      <c r="AZ169" s="265"/>
    </row>
    <row r="170" spans="16:52" x14ac:dyDescent="0.2">
      <c r="P170" s="265"/>
      <c r="Q170" s="265"/>
      <c r="R170" s="265"/>
      <c r="S170" s="265"/>
      <c r="W170" s="265"/>
      <c r="X170" s="265"/>
      <c r="Y170" s="265"/>
      <c r="Z170" s="265"/>
      <c r="AA170" s="265"/>
      <c r="AB170" s="265"/>
      <c r="AC170" s="265"/>
      <c r="AD170" s="265"/>
      <c r="AE170" s="265"/>
      <c r="AF170" s="265"/>
      <c r="AG170" s="265"/>
      <c r="AH170" s="265"/>
      <c r="AI170" s="265"/>
      <c r="AJ170" s="265"/>
      <c r="AK170" s="265"/>
      <c r="AL170" s="265"/>
      <c r="AM170" s="265"/>
      <c r="AN170" s="265"/>
      <c r="AO170" s="265"/>
      <c r="AP170" s="265"/>
      <c r="AQ170" s="265"/>
      <c r="AR170" s="265"/>
      <c r="AS170" s="265"/>
      <c r="AT170" s="265"/>
      <c r="AU170" s="265"/>
      <c r="AV170" s="265"/>
      <c r="AW170" s="265"/>
      <c r="AX170" s="265"/>
      <c r="AY170" s="265"/>
      <c r="AZ170" s="265"/>
    </row>
    <row r="171" spans="16:52" x14ac:dyDescent="0.2">
      <c r="P171" s="265"/>
      <c r="Q171" s="265"/>
      <c r="R171" s="265"/>
      <c r="S171" s="265"/>
      <c r="W171" s="265"/>
      <c r="X171" s="265"/>
      <c r="Y171" s="265"/>
      <c r="Z171" s="265"/>
      <c r="AA171" s="265"/>
      <c r="AB171" s="265"/>
      <c r="AC171" s="265"/>
      <c r="AD171" s="265"/>
      <c r="AE171" s="265"/>
      <c r="AF171" s="265"/>
      <c r="AG171" s="265"/>
      <c r="AH171" s="265"/>
      <c r="AI171" s="265"/>
      <c r="AJ171" s="265"/>
      <c r="AK171" s="265"/>
      <c r="AL171" s="265"/>
      <c r="AM171" s="265"/>
      <c r="AN171" s="265"/>
      <c r="AO171" s="265"/>
      <c r="AP171" s="265"/>
      <c r="AQ171" s="265"/>
      <c r="AR171" s="265"/>
      <c r="AS171" s="265"/>
      <c r="AT171" s="265"/>
      <c r="AU171" s="265"/>
      <c r="AV171" s="265"/>
      <c r="AW171" s="265"/>
      <c r="AX171" s="265"/>
      <c r="AY171" s="265"/>
      <c r="AZ171" s="265"/>
    </row>
    <row r="172" spans="16:52" x14ac:dyDescent="0.2">
      <c r="P172" s="265"/>
      <c r="Q172" s="265"/>
      <c r="R172" s="265"/>
      <c r="S172" s="265"/>
      <c r="W172" s="265"/>
      <c r="X172" s="265"/>
      <c r="Y172" s="265"/>
      <c r="Z172" s="265"/>
      <c r="AA172" s="265"/>
      <c r="AB172" s="265"/>
      <c r="AC172" s="265"/>
      <c r="AD172" s="265"/>
      <c r="AE172" s="265"/>
      <c r="AF172" s="265"/>
      <c r="AG172" s="265"/>
      <c r="AH172" s="265"/>
      <c r="AI172" s="265"/>
      <c r="AJ172" s="265"/>
      <c r="AK172" s="265"/>
      <c r="AL172" s="265"/>
      <c r="AM172" s="265"/>
      <c r="AN172" s="265"/>
      <c r="AO172" s="265"/>
      <c r="AP172" s="265"/>
      <c r="AQ172" s="265"/>
      <c r="AR172" s="265"/>
      <c r="AS172" s="265"/>
      <c r="AT172" s="265"/>
      <c r="AU172" s="265"/>
      <c r="AV172" s="265"/>
      <c r="AW172" s="265"/>
      <c r="AX172" s="265"/>
      <c r="AY172" s="265"/>
      <c r="AZ172" s="265"/>
    </row>
    <row r="173" spans="16:52" x14ac:dyDescent="0.2">
      <c r="P173" s="265"/>
      <c r="Q173" s="265"/>
      <c r="R173" s="265"/>
      <c r="S173" s="265"/>
      <c r="W173" s="265"/>
      <c r="X173" s="265"/>
      <c r="Y173" s="265"/>
      <c r="Z173" s="265"/>
      <c r="AA173" s="265"/>
      <c r="AB173" s="265"/>
      <c r="AC173" s="265"/>
      <c r="AD173" s="265"/>
      <c r="AE173" s="265"/>
      <c r="AF173" s="265"/>
      <c r="AG173" s="265"/>
      <c r="AH173" s="265"/>
      <c r="AI173" s="265"/>
      <c r="AJ173" s="265"/>
      <c r="AK173" s="265"/>
      <c r="AL173" s="265"/>
      <c r="AM173" s="265"/>
      <c r="AN173" s="265"/>
      <c r="AO173" s="265"/>
      <c r="AP173" s="265"/>
      <c r="AQ173" s="265"/>
      <c r="AR173" s="265"/>
      <c r="AS173" s="265"/>
      <c r="AT173" s="265"/>
      <c r="AU173" s="265"/>
      <c r="AV173" s="265"/>
      <c r="AW173" s="265"/>
      <c r="AX173" s="265"/>
      <c r="AY173" s="265"/>
      <c r="AZ173" s="265"/>
    </row>
    <row r="174" spans="16:52" x14ac:dyDescent="0.2">
      <c r="P174" s="265"/>
      <c r="Q174" s="265"/>
      <c r="R174" s="265"/>
      <c r="S174" s="265"/>
      <c r="W174" s="265"/>
      <c r="X174" s="265"/>
      <c r="Y174" s="265"/>
      <c r="Z174" s="265"/>
      <c r="AA174" s="265"/>
      <c r="AB174" s="265"/>
      <c r="AC174" s="265"/>
      <c r="AD174" s="265"/>
      <c r="AE174" s="265"/>
      <c r="AF174" s="265"/>
      <c r="AG174" s="265"/>
      <c r="AH174" s="265"/>
      <c r="AI174" s="265"/>
      <c r="AJ174" s="265"/>
      <c r="AK174" s="265"/>
      <c r="AL174" s="265"/>
      <c r="AM174" s="265"/>
      <c r="AN174" s="265"/>
      <c r="AO174" s="265"/>
      <c r="AP174" s="265"/>
      <c r="AQ174" s="265"/>
      <c r="AR174" s="265"/>
      <c r="AS174" s="265"/>
      <c r="AT174" s="265"/>
      <c r="AU174" s="265"/>
      <c r="AV174" s="265"/>
      <c r="AW174" s="265"/>
      <c r="AX174" s="265"/>
      <c r="AY174" s="265"/>
      <c r="AZ174" s="265"/>
    </row>
    <row r="175" spans="16:52" x14ac:dyDescent="0.2">
      <c r="P175" s="265"/>
      <c r="Q175" s="265"/>
      <c r="R175" s="265"/>
      <c r="S175" s="265"/>
      <c r="W175" s="265"/>
      <c r="X175" s="265"/>
      <c r="Y175" s="265"/>
      <c r="Z175" s="265"/>
      <c r="AA175" s="265"/>
      <c r="AB175" s="265"/>
      <c r="AC175" s="265"/>
      <c r="AD175" s="265"/>
      <c r="AE175" s="265"/>
      <c r="AF175" s="265"/>
      <c r="AG175" s="265"/>
      <c r="AH175" s="265"/>
      <c r="AI175" s="265"/>
      <c r="AJ175" s="265"/>
      <c r="AK175" s="265"/>
      <c r="AL175" s="265"/>
      <c r="AM175" s="265"/>
      <c r="AN175" s="265"/>
      <c r="AO175" s="265"/>
      <c r="AP175" s="265"/>
      <c r="AQ175" s="265"/>
      <c r="AR175" s="265"/>
      <c r="AS175" s="265"/>
      <c r="AT175" s="265"/>
      <c r="AU175" s="265"/>
      <c r="AV175" s="265"/>
      <c r="AW175" s="265"/>
      <c r="AX175" s="265"/>
      <c r="AY175" s="265"/>
      <c r="AZ175" s="265"/>
    </row>
    <row r="176" spans="16:52" x14ac:dyDescent="0.2">
      <c r="P176" s="265"/>
      <c r="Q176" s="265"/>
      <c r="R176" s="265"/>
      <c r="S176" s="265"/>
      <c r="W176" s="265"/>
      <c r="X176" s="265"/>
      <c r="Y176" s="265"/>
      <c r="Z176" s="265"/>
      <c r="AA176" s="265"/>
      <c r="AB176" s="265"/>
      <c r="AC176" s="265"/>
      <c r="AD176" s="265"/>
      <c r="AE176" s="265"/>
      <c r="AF176" s="265"/>
      <c r="AG176" s="265"/>
      <c r="AH176" s="265"/>
      <c r="AI176" s="265"/>
      <c r="AJ176" s="265"/>
      <c r="AK176" s="265"/>
      <c r="AL176" s="265"/>
      <c r="AM176" s="265"/>
      <c r="AN176" s="265"/>
      <c r="AO176" s="265"/>
      <c r="AP176" s="265"/>
      <c r="AQ176" s="265"/>
      <c r="AR176" s="265"/>
      <c r="AS176" s="265"/>
      <c r="AT176" s="265"/>
      <c r="AU176" s="265"/>
      <c r="AV176" s="265"/>
      <c r="AW176" s="265"/>
      <c r="AX176" s="265"/>
      <c r="AY176" s="265"/>
      <c r="AZ176" s="265"/>
    </row>
    <row r="177" spans="16:52" x14ac:dyDescent="0.2">
      <c r="P177" s="265"/>
      <c r="Q177" s="265"/>
      <c r="R177" s="265"/>
      <c r="S177" s="265"/>
      <c r="W177" s="265"/>
      <c r="X177" s="265"/>
      <c r="Y177" s="265"/>
      <c r="Z177" s="265"/>
      <c r="AA177" s="265"/>
      <c r="AB177" s="265"/>
      <c r="AC177" s="265"/>
      <c r="AD177" s="265"/>
      <c r="AE177" s="265"/>
      <c r="AF177" s="265"/>
      <c r="AG177" s="265"/>
      <c r="AH177" s="265"/>
      <c r="AI177" s="265"/>
      <c r="AJ177" s="265"/>
      <c r="AK177" s="265"/>
      <c r="AL177" s="265"/>
      <c r="AM177" s="265"/>
      <c r="AN177" s="265"/>
      <c r="AO177" s="265"/>
      <c r="AP177" s="265"/>
      <c r="AQ177" s="265"/>
      <c r="AR177" s="265"/>
      <c r="AS177" s="265"/>
      <c r="AT177" s="265"/>
      <c r="AU177" s="265"/>
      <c r="AV177" s="265"/>
      <c r="AW177" s="265"/>
      <c r="AX177" s="265"/>
      <c r="AY177" s="265"/>
      <c r="AZ177" s="265"/>
    </row>
    <row r="178" spans="16:52" x14ac:dyDescent="0.2">
      <c r="P178" s="265"/>
      <c r="Q178" s="265"/>
      <c r="R178" s="265"/>
      <c r="S178" s="265"/>
      <c r="W178" s="265"/>
      <c r="X178" s="265"/>
      <c r="Y178" s="265"/>
      <c r="Z178" s="265"/>
      <c r="AA178" s="265"/>
      <c r="AB178" s="265"/>
      <c r="AC178" s="265"/>
      <c r="AD178" s="265"/>
      <c r="AE178" s="265"/>
      <c r="AF178" s="265"/>
      <c r="AG178" s="265"/>
      <c r="AH178" s="265"/>
      <c r="AI178" s="265"/>
      <c r="AJ178" s="265"/>
      <c r="AK178" s="265"/>
      <c r="AL178" s="265"/>
      <c r="AM178" s="265"/>
      <c r="AN178" s="265"/>
      <c r="AO178" s="265"/>
      <c r="AP178" s="265"/>
      <c r="AQ178" s="265"/>
      <c r="AR178" s="265"/>
      <c r="AS178" s="265"/>
      <c r="AT178" s="265"/>
      <c r="AU178" s="265"/>
      <c r="AV178" s="265"/>
      <c r="AW178" s="265"/>
      <c r="AX178" s="265"/>
      <c r="AY178" s="265"/>
      <c r="AZ178" s="265"/>
    </row>
    <row r="179" spans="16:52" x14ac:dyDescent="0.2">
      <c r="P179" s="265"/>
      <c r="Q179" s="265"/>
      <c r="R179" s="265"/>
      <c r="S179" s="265"/>
      <c r="W179" s="265"/>
      <c r="X179" s="265"/>
      <c r="Y179" s="265"/>
      <c r="Z179" s="265"/>
      <c r="AA179" s="265"/>
      <c r="AB179" s="265"/>
      <c r="AC179" s="265"/>
      <c r="AD179" s="265"/>
      <c r="AE179" s="265"/>
      <c r="AF179" s="265"/>
      <c r="AG179" s="265"/>
      <c r="AH179" s="265"/>
      <c r="AI179" s="265"/>
      <c r="AJ179" s="265"/>
      <c r="AK179" s="265"/>
      <c r="AL179" s="265"/>
      <c r="AM179" s="265"/>
      <c r="AN179" s="265"/>
      <c r="AO179" s="265"/>
      <c r="AP179" s="265"/>
      <c r="AQ179" s="265"/>
      <c r="AR179" s="265"/>
      <c r="AS179" s="265"/>
      <c r="AT179" s="265"/>
      <c r="AU179" s="265"/>
      <c r="AV179" s="265"/>
      <c r="AW179" s="265"/>
      <c r="AX179" s="265"/>
      <c r="AY179" s="265"/>
      <c r="AZ179" s="265"/>
    </row>
    <row r="180" spans="16:52" x14ac:dyDescent="0.2">
      <c r="P180" s="265"/>
      <c r="Q180" s="265"/>
      <c r="R180" s="265"/>
      <c r="S180" s="265"/>
      <c r="W180" s="265"/>
      <c r="X180" s="265"/>
      <c r="Y180" s="265"/>
      <c r="Z180" s="265"/>
      <c r="AA180" s="265"/>
      <c r="AB180" s="265"/>
      <c r="AC180" s="265"/>
      <c r="AD180" s="265"/>
      <c r="AE180" s="265"/>
      <c r="AF180" s="265"/>
      <c r="AG180" s="265"/>
      <c r="AH180" s="265"/>
      <c r="AI180" s="265"/>
      <c r="AJ180" s="265"/>
      <c r="AK180" s="265"/>
      <c r="AL180" s="265"/>
      <c r="AM180" s="265"/>
      <c r="AN180" s="265"/>
      <c r="AO180" s="265"/>
      <c r="AP180" s="265"/>
      <c r="AQ180" s="265"/>
      <c r="AR180" s="265"/>
      <c r="AS180" s="265"/>
      <c r="AT180" s="265"/>
      <c r="AU180" s="265"/>
      <c r="AV180" s="265"/>
      <c r="AW180" s="265"/>
      <c r="AX180" s="265"/>
      <c r="AY180" s="265"/>
      <c r="AZ180" s="265"/>
    </row>
    <row r="181" spans="16:52" x14ac:dyDescent="0.2">
      <c r="P181" s="265"/>
      <c r="Q181" s="265"/>
      <c r="R181" s="265"/>
      <c r="S181" s="265"/>
      <c r="W181" s="265"/>
      <c r="X181" s="265"/>
      <c r="Y181" s="265"/>
      <c r="Z181" s="265"/>
      <c r="AA181" s="265"/>
      <c r="AB181" s="265"/>
      <c r="AC181" s="265"/>
      <c r="AD181" s="265"/>
      <c r="AE181" s="265"/>
      <c r="AF181" s="265"/>
      <c r="AG181" s="265"/>
      <c r="AH181" s="265"/>
      <c r="AI181" s="265"/>
      <c r="AJ181" s="265"/>
      <c r="AK181" s="265"/>
      <c r="AL181" s="265"/>
      <c r="AM181" s="265"/>
      <c r="AN181" s="265"/>
      <c r="AO181" s="265"/>
      <c r="AP181" s="265"/>
      <c r="AQ181" s="265"/>
      <c r="AR181" s="265"/>
      <c r="AS181" s="265"/>
      <c r="AT181" s="265"/>
      <c r="AU181" s="265"/>
      <c r="AV181" s="265"/>
      <c r="AW181" s="265"/>
      <c r="AX181" s="265"/>
      <c r="AY181" s="265"/>
      <c r="AZ181" s="265"/>
    </row>
    <row r="182" spans="16:52" x14ac:dyDescent="0.2">
      <c r="P182" s="265"/>
      <c r="Q182" s="265"/>
      <c r="R182" s="265"/>
      <c r="S182" s="265"/>
      <c r="W182" s="265"/>
      <c r="X182" s="265"/>
      <c r="Y182" s="265"/>
      <c r="Z182" s="265"/>
      <c r="AA182" s="265"/>
      <c r="AB182" s="265"/>
      <c r="AC182" s="265"/>
      <c r="AD182" s="265"/>
      <c r="AE182" s="265"/>
      <c r="AF182" s="265"/>
      <c r="AG182" s="265"/>
      <c r="AH182" s="265"/>
      <c r="AI182" s="265"/>
      <c r="AJ182" s="265"/>
      <c r="AK182" s="265"/>
      <c r="AL182" s="265"/>
      <c r="AM182" s="265"/>
      <c r="AN182" s="265"/>
      <c r="AO182" s="265"/>
      <c r="AP182" s="265"/>
      <c r="AQ182" s="265"/>
      <c r="AR182" s="265"/>
      <c r="AS182" s="265"/>
      <c r="AT182" s="265"/>
      <c r="AU182" s="265"/>
      <c r="AV182" s="265"/>
      <c r="AW182" s="265"/>
      <c r="AX182" s="265"/>
      <c r="AY182" s="265"/>
      <c r="AZ182" s="265"/>
    </row>
    <row r="183" spans="16:52" x14ac:dyDescent="0.2">
      <c r="P183" s="265"/>
      <c r="Q183" s="265"/>
      <c r="R183" s="265"/>
      <c r="S183" s="265"/>
      <c r="W183" s="265"/>
      <c r="X183" s="265"/>
      <c r="Y183" s="265"/>
      <c r="Z183" s="265"/>
      <c r="AA183" s="265"/>
      <c r="AB183" s="265"/>
      <c r="AC183" s="265"/>
      <c r="AD183" s="265"/>
      <c r="AE183" s="265"/>
      <c r="AF183" s="265"/>
      <c r="AG183" s="265"/>
      <c r="AH183" s="265"/>
      <c r="AI183" s="265"/>
      <c r="AJ183" s="265"/>
      <c r="AK183" s="265"/>
      <c r="AL183" s="265"/>
      <c r="AM183" s="265"/>
      <c r="AN183" s="265"/>
      <c r="AO183" s="265"/>
      <c r="AP183" s="265"/>
      <c r="AQ183" s="265"/>
      <c r="AR183" s="265"/>
      <c r="AS183" s="265"/>
      <c r="AT183" s="265"/>
      <c r="AU183" s="265"/>
      <c r="AV183" s="265"/>
      <c r="AW183" s="265"/>
      <c r="AX183" s="265"/>
      <c r="AY183" s="265"/>
      <c r="AZ183" s="265"/>
    </row>
    <row r="184" spans="16:52" x14ac:dyDescent="0.2">
      <c r="P184" s="265"/>
      <c r="Q184" s="265"/>
      <c r="R184" s="265"/>
      <c r="S184" s="265"/>
      <c r="W184" s="265"/>
      <c r="X184" s="265"/>
      <c r="Y184" s="265"/>
      <c r="Z184" s="265"/>
      <c r="AA184" s="265"/>
      <c r="AB184" s="265"/>
      <c r="AC184" s="265"/>
      <c r="AD184" s="265"/>
      <c r="AE184" s="265"/>
      <c r="AF184" s="265"/>
      <c r="AG184" s="265"/>
      <c r="AH184" s="265"/>
      <c r="AI184" s="265"/>
      <c r="AJ184" s="265"/>
      <c r="AK184" s="265"/>
      <c r="AL184" s="265"/>
      <c r="AM184" s="265"/>
      <c r="AN184" s="265"/>
      <c r="AO184" s="265"/>
      <c r="AP184" s="265"/>
      <c r="AQ184" s="265"/>
      <c r="AR184" s="265"/>
      <c r="AS184" s="265"/>
      <c r="AT184" s="265"/>
      <c r="AU184" s="265"/>
      <c r="AV184" s="265"/>
      <c r="AW184" s="265"/>
      <c r="AX184" s="265"/>
      <c r="AY184" s="265"/>
      <c r="AZ184" s="265"/>
    </row>
  </sheetData>
  <sheetProtection formatCells="0" formatColumns="0" formatRows="0"/>
  <protectedRanges>
    <protectedRange sqref="M2:N3" name="Rango1_1_1"/>
    <protectedRange sqref="M4:N4" name="Rango1_1_1_1"/>
  </protectedRanges>
  <mergeCells count="142">
    <mergeCell ref="A51:C51"/>
    <mergeCell ref="A52:C52"/>
    <mergeCell ref="A53:C53"/>
    <mergeCell ref="A54:C54"/>
    <mergeCell ref="A55:C55"/>
    <mergeCell ref="A45:O45"/>
    <mergeCell ref="A46:O46"/>
    <mergeCell ref="A47:O47"/>
    <mergeCell ref="A48:C48"/>
    <mergeCell ref="H48:I48"/>
    <mergeCell ref="J48:K48"/>
    <mergeCell ref="L48:M48"/>
    <mergeCell ref="N48:O48"/>
    <mergeCell ref="R121:S121"/>
    <mergeCell ref="P116:Q116"/>
    <mergeCell ref="R116:S116"/>
    <mergeCell ref="A62:C62"/>
    <mergeCell ref="A63:C63"/>
    <mergeCell ref="A64:C64"/>
    <mergeCell ref="A65:C65"/>
    <mergeCell ref="A66:C66"/>
    <mergeCell ref="A56:C56"/>
    <mergeCell ref="A57:C57"/>
    <mergeCell ref="A58:C58"/>
    <mergeCell ref="A59:C59"/>
    <mergeCell ref="A60:C60"/>
    <mergeCell ref="A61:C61"/>
    <mergeCell ref="S69:S71"/>
    <mergeCell ref="S72:S74"/>
    <mergeCell ref="S75:S77"/>
    <mergeCell ref="S80:S82"/>
    <mergeCell ref="R117:S117"/>
    <mergeCell ref="P119:Q120"/>
    <mergeCell ref="R119:S120"/>
    <mergeCell ref="N26:O26"/>
    <mergeCell ref="I42:O42"/>
    <mergeCell ref="I43:O43"/>
    <mergeCell ref="I44:O44"/>
    <mergeCell ref="A41:H41"/>
    <mergeCell ref="A42:H42"/>
    <mergeCell ref="A43:H43"/>
    <mergeCell ref="A49:G50"/>
    <mergeCell ref="A44:H44"/>
    <mergeCell ref="A30:G30"/>
    <mergeCell ref="H30:I30"/>
    <mergeCell ref="N30:O30"/>
    <mergeCell ref="A31:G31"/>
    <mergeCell ref="H31:I31"/>
    <mergeCell ref="N31:O31"/>
    <mergeCell ref="A38:B38"/>
    <mergeCell ref="C38:O38"/>
    <mergeCell ref="A40:O40"/>
    <mergeCell ref="I41:O41"/>
    <mergeCell ref="N35:O35"/>
    <mergeCell ref="B36:C36"/>
    <mergeCell ref="F36:G36"/>
    <mergeCell ref="I36:L36"/>
    <mergeCell ref="N36:O36"/>
    <mergeCell ref="H21:I21"/>
    <mergeCell ref="N17:O17"/>
    <mergeCell ref="A22:G22"/>
    <mergeCell ref="H22:I22"/>
    <mergeCell ref="N22:O22"/>
    <mergeCell ref="H20:I20"/>
    <mergeCell ref="A16:G16"/>
    <mergeCell ref="H16:I16"/>
    <mergeCell ref="A17:G17"/>
    <mergeCell ref="H17:I17"/>
    <mergeCell ref="A19:G19"/>
    <mergeCell ref="H19:I19"/>
    <mergeCell ref="AA1:AB1"/>
    <mergeCell ref="AD1:AV1"/>
    <mergeCell ref="A32:G32"/>
    <mergeCell ref="H32:I32"/>
    <mergeCell ref="N32:O32"/>
    <mergeCell ref="A33:G33"/>
    <mergeCell ref="H33:I33"/>
    <mergeCell ref="N33:O33"/>
    <mergeCell ref="Q21:R21"/>
    <mergeCell ref="K11:L11"/>
    <mergeCell ref="M11:O11"/>
    <mergeCell ref="M6:O6"/>
    <mergeCell ref="M7:O7"/>
    <mergeCell ref="M8:O8"/>
    <mergeCell ref="A1:C5"/>
    <mergeCell ref="D1:O1"/>
    <mergeCell ref="D2:O3"/>
    <mergeCell ref="D4:L4"/>
    <mergeCell ref="M4:O4"/>
    <mergeCell ref="D5:O5"/>
    <mergeCell ref="A27:G28"/>
    <mergeCell ref="H27:I27"/>
    <mergeCell ref="N27:O28"/>
    <mergeCell ref="H28:I28"/>
    <mergeCell ref="Q2:Y2"/>
    <mergeCell ref="Q27:W27"/>
    <mergeCell ref="A18:G18"/>
    <mergeCell ref="H18:I18"/>
    <mergeCell ref="N18:O18"/>
    <mergeCell ref="B37:C37"/>
    <mergeCell ref="F37:G37"/>
    <mergeCell ref="N37:O37"/>
    <mergeCell ref="A34:O34"/>
    <mergeCell ref="B35:C35"/>
    <mergeCell ref="F35:G35"/>
    <mergeCell ref="I35:M35"/>
    <mergeCell ref="M9:O9"/>
    <mergeCell ref="M10:O10"/>
    <mergeCell ref="M12:O12"/>
    <mergeCell ref="A13:O13"/>
    <mergeCell ref="P13:P14"/>
    <mergeCell ref="A14:G14"/>
    <mergeCell ref="H14:I14"/>
    <mergeCell ref="A20:G20"/>
    <mergeCell ref="A29:G29"/>
    <mergeCell ref="H29:I29"/>
    <mergeCell ref="N29:O29"/>
    <mergeCell ref="A25:G25"/>
    <mergeCell ref="E6:J6"/>
    <mergeCell ref="E7:J7"/>
    <mergeCell ref="E10:J10"/>
    <mergeCell ref="E11:J11"/>
    <mergeCell ref="A9:D9"/>
    <mergeCell ref="A8:D8"/>
    <mergeCell ref="E9:J9"/>
    <mergeCell ref="E8:J8"/>
    <mergeCell ref="Q38:V38"/>
    <mergeCell ref="Q37:T37"/>
    <mergeCell ref="H25:I25"/>
    <mergeCell ref="N25:O25"/>
    <mergeCell ref="A26:G26"/>
    <mergeCell ref="H26:I26"/>
    <mergeCell ref="A15:G15"/>
    <mergeCell ref="H15:I15"/>
    <mergeCell ref="D12:J12"/>
    <mergeCell ref="A23:G23"/>
    <mergeCell ref="H23:I23"/>
    <mergeCell ref="N23:O23"/>
    <mergeCell ref="A24:G24"/>
    <mergeCell ref="H24:I24"/>
    <mergeCell ref="N24:O24"/>
    <mergeCell ref="A21:G21"/>
  </mergeCells>
  <printOptions horizontalCentered="1"/>
  <pageMargins left="0.59055118110236227" right="0.19685039370078741" top="0" bottom="0" header="0" footer="3.937007874015748E-2"/>
  <pageSetup paperSize="9" pageOrder="overThenDown" orientation="portrait" r:id="rId1"/>
  <headerFooter scaleWithDoc="0">
    <oddFooter xml:space="preserve">&amp;L&amp;6Calle 26 No. 57-41 Torre 8 Piso 8 CEMSA - CP: 1113111            
Pbx: 3779555  - Información: Línea 195     
www.umv.gov.co111311&amp;C&amp;6Página 1  de 1
</oddFooter>
  </headerFooter>
  <ignoredErrors>
    <ignoredError sqref="J15:M15 M6:O9 J19:M19 M11:O11 N10:O10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firmas!$A$36:$A$39</xm:f>
          </x14:formula1>
          <xm:sqref>I43:O43</xm:sqref>
        </x14:dataValidation>
        <x14:dataValidation type="list" allowBlank="1" showInputMessage="1" showErrorMessage="1">
          <x14:formula1>
            <xm:f>firmas!$A$31:$A$33</xm:f>
          </x14:formula1>
          <xm:sqref>A43:H43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56"/>
  <sheetViews>
    <sheetView showGridLines="0" tabSelected="1" view="pageBreakPreview" zoomScaleNormal="100" zoomScaleSheetLayoutView="100" workbookViewId="0">
      <selection activeCell="E4" sqref="E4:U4"/>
    </sheetView>
  </sheetViews>
  <sheetFormatPr baseColWidth="10" defaultColWidth="8.42578125" defaultRowHeight="12.75" x14ac:dyDescent="0.2"/>
  <cols>
    <col min="1" max="1" width="3.5703125" style="112" customWidth="1"/>
    <col min="2" max="2" width="3.7109375" style="112" customWidth="1"/>
    <col min="3" max="3" width="3.28515625" style="112" customWidth="1"/>
    <col min="4" max="4" width="4.5703125" style="112" customWidth="1"/>
    <col min="5" max="8" width="3.28515625" style="112" customWidth="1"/>
    <col min="9" max="9" width="2.85546875" style="112" customWidth="1"/>
    <col min="10" max="10" width="3.42578125" style="112" customWidth="1"/>
    <col min="11" max="11" width="4.140625" style="112" customWidth="1"/>
    <col min="12" max="12" width="2.5703125" style="112" customWidth="1"/>
    <col min="13" max="24" width="3.28515625" style="112" customWidth="1"/>
    <col min="25" max="25" width="4.7109375" style="112" customWidth="1"/>
    <col min="26" max="26" width="2.28515625" style="112" customWidth="1"/>
    <col min="27" max="28" width="3.28515625" style="112" customWidth="1"/>
    <col min="29" max="29" width="3.5703125" style="112" customWidth="1"/>
    <col min="30" max="30" width="7.140625" style="112" hidden="1" customWidth="1"/>
    <col min="31" max="41" width="5.140625" style="112" hidden="1" customWidth="1"/>
    <col min="42" max="16384" width="8.42578125" style="112"/>
  </cols>
  <sheetData>
    <row r="1" spans="1:41" s="108" customFormat="1" ht="15" customHeight="1" x14ac:dyDescent="0.2">
      <c r="A1" s="1678"/>
      <c r="B1" s="1679"/>
      <c r="C1" s="1679"/>
      <c r="D1" s="1680"/>
      <c r="E1" s="1690" t="s">
        <v>402</v>
      </c>
      <c r="F1" s="1691"/>
      <c r="G1" s="1691"/>
      <c r="H1" s="1691"/>
      <c r="I1" s="1691"/>
      <c r="J1" s="1691"/>
      <c r="K1" s="1691"/>
      <c r="L1" s="1691"/>
      <c r="M1" s="1691"/>
      <c r="N1" s="1691"/>
      <c r="O1" s="1691"/>
      <c r="P1" s="1691"/>
      <c r="Q1" s="1691"/>
      <c r="R1" s="1691"/>
      <c r="S1" s="1691"/>
      <c r="T1" s="1691"/>
      <c r="U1" s="1691"/>
      <c r="V1" s="1691"/>
      <c r="W1" s="1691"/>
      <c r="X1" s="1691"/>
      <c r="Y1" s="1691"/>
      <c r="Z1" s="1691"/>
      <c r="AA1" s="1691"/>
      <c r="AB1" s="1691"/>
      <c r="AC1" s="1692"/>
    </row>
    <row r="2" spans="1:41" s="108" customFormat="1" ht="15" customHeight="1" x14ac:dyDescent="0.2">
      <c r="A2" s="1681"/>
      <c r="B2" s="1682"/>
      <c r="C2" s="1682"/>
      <c r="D2" s="1683"/>
      <c r="E2" s="1693"/>
      <c r="F2" s="1694"/>
      <c r="G2" s="1694"/>
      <c r="H2" s="1694"/>
      <c r="I2" s="1694"/>
      <c r="J2" s="1694"/>
      <c r="K2" s="1694"/>
      <c r="L2" s="1694"/>
      <c r="M2" s="1694"/>
      <c r="N2" s="1694"/>
      <c r="O2" s="1694"/>
      <c r="P2" s="1694"/>
      <c r="Q2" s="1694"/>
      <c r="R2" s="1694"/>
      <c r="S2" s="1694"/>
      <c r="T2" s="1694"/>
      <c r="U2" s="1694"/>
      <c r="V2" s="1694"/>
      <c r="W2" s="1694"/>
      <c r="X2" s="1694"/>
      <c r="Y2" s="1694"/>
      <c r="Z2" s="1694"/>
      <c r="AA2" s="1694"/>
      <c r="AB2" s="1694"/>
      <c r="AC2" s="1695"/>
    </row>
    <row r="3" spans="1:41" s="108" customFormat="1" ht="15" customHeight="1" x14ac:dyDescent="0.2">
      <c r="A3" s="1681"/>
      <c r="B3" s="1682"/>
      <c r="C3" s="1682"/>
      <c r="D3" s="1683"/>
      <c r="E3" s="1696"/>
      <c r="F3" s="1697"/>
      <c r="G3" s="1697"/>
      <c r="H3" s="1697"/>
      <c r="I3" s="1697"/>
      <c r="J3" s="1697"/>
      <c r="K3" s="1697"/>
      <c r="L3" s="1697"/>
      <c r="M3" s="1697"/>
      <c r="N3" s="1697"/>
      <c r="O3" s="1697"/>
      <c r="P3" s="1697"/>
      <c r="Q3" s="1697"/>
      <c r="R3" s="1697"/>
      <c r="S3" s="1697"/>
      <c r="T3" s="1697"/>
      <c r="U3" s="1697"/>
      <c r="V3" s="1697"/>
      <c r="W3" s="1697"/>
      <c r="X3" s="1697"/>
      <c r="Y3" s="1697"/>
      <c r="Z3" s="1697"/>
      <c r="AA3" s="1697"/>
      <c r="AB3" s="1697"/>
      <c r="AC3" s="1698"/>
    </row>
    <row r="4" spans="1:41" s="108" customFormat="1" ht="15" customHeight="1" x14ac:dyDescent="0.2">
      <c r="A4" s="1681"/>
      <c r="B4" s="1682"/>
      <c r="C4" s="1682"/>
      <c r="D4" s="1683"/>
      <c r="E4" s="1684" t="s">
        <v>198</v>
      </c>
      <c r="F4" s="1685"/>
      <c r="G4" s="1685"/>
      <c r="H4" s="1685"/>
      <c r="I4" s="1685"/>
      <c r="J4" s="1685"/>
      <c r="K4" s="1685"/>
      <c r="L4" s="1685"/>
      <c r="M4" s="1685"/>
      <c r="N4" s="1685"/>
      <c r="O4" s="1685"/>
      <c r="P4" s="1685"/>
      <c r="Q4" s="1685"/>
      <c r="R4" s="1685"/>
      <c r="S4" s="1685"/>
      <c r="T4" s="1685"/>
      <c r="U4" s="1686"/>
      <c r="V4" s="1684" t="s">
        <v>413</v>
      </c>
      <c r="W4" s="1685"/>
      <c r="X4" s="1685"/>
      <c r="Y4" s="1685"/>
      <c r="Z4" s="1685"/>
      <c r="AA4" s="1685"/>
      <c r="AB4" s="1685"/>
      <c r="AC4" s="1686"/>
    </row>
    <row r="5" spans="1:41" s="108" customFormat="1" ht="15" customHeight="1" x14ac:dyDescent="0.2">
      <c r="A5" s="1681"/>
      <c r="B5" s="1682"/>
      <c r="C5" s="1682"/>
      <c r="D5" s="1683"/>
      <c r="E5" s="1687" t="s">
        <v>414</v>
      </c>
      <c r="F5" s="1688"/>
      <c r="G5" s="1688"/>
      <c r="H5" s="1688"/>
      <c r="I5" s="1688"/>
      <c r="J5" s="1688"/>
      <c r="K5" s="1688"/>
      <c r="L5" s="1688"/>
      <c r="M5" s="1688"/>
      <c r="N5" s="1688"/>
      <c r="O5" s="1688"/>
      <c r="P5" s="1688"/>
      <c r="Q5" s="1688"/>
      <c r="R5" s="1688"/>
      <c r="S5" s="1688"/>
      <c r="T5" s="1688"/>
      <c r="U5" s="1688"/>
      <c r="V5" s="1688"/>
      <c r="W5" s="1688"/>
      <c r="X5" s="1688"/>
      <c r="Y5" s="1688"/>
      <c r="Z5" s="1688"/>
      <c r="AA5" s="1688"/>
      <c r="AB5" s="1688"/>
      <c r="AC5" s="1689"/>
      <c r="AD5" s="967" t="s">
        <v>403</v>
      </c>
    </row>
    <row r="6" spans="1:41" s="108" customFormat="1" ht="12.75" customHeight="1" x14ac:dyDescent="0.2">
      <c r="A6" s="963"/>
      <c r="B6" s="964"/>
      <c r="C6" s="964"/>
      <c r="D6" s="964"/>
      <c r="E6" s="964"/>
      <c r="F6" s="964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64"/>
      <c r="T6" s="964"/>
      <c r="U6" s="964"/>
      <c r="V6" s="964"/>
      <c r="W6" s="964"/>
      <c r="X6" s="958"/>
      <c r="Y6" s="958"/>
      <c r="Z6" s="958"/>
      <c r="AA6" s="958"/>
      <c r="AB6" s="958"/>
      <c r="AC6" s="973"/>
      <c r="AD6" s="968" t="s">
        <v>404</v>
      </c>
      <c r="AE6" s="109"/>
      <c r="AF6" s="109"/>
      <c r="AG6" s="109"/>
      <c r="AH6" s="109"/>
      <c r="AI6" s="109"/>
      <c r="AJ6" s="109"/>
      <c r="AK6" s="109"/>
    </row>
    <row r="7" spans="1:41" s="111" customFormat="1" ht="15" customHeight="1" x14ac:dyDescent="0.2">
      <c r="A7" s="961"/>
      <c r="B7" s="962"/>
      <c r="C7" s="962"/>
      <c r="D7" s="962"/>
      <c r="E7" s="962"/>
      <c r="F7" s="962"/>
      <c r="G7" s="974"/>
      <c r="H7" s="974"/>
      <c r="I7" s="974"/>
      <c r="J7" s="974"/>
      <c r="K7" s="974"/>
      <c r="L7" s="974"/>
      <c r="M7" s="974"/>
      <c r="N7" s="974"/>
      <c r="O7" s="974"/>
      <c r="P7" s="974"/>
      <c r="Q7" s="974"/>
      <c r="R7" s="974"/>
      <c r="S7" s="1699" t="s">
        <v>59</v>
      </c>
      <c r="T7" s="1699"/>
      <c r="U7" s="1699"/>
      <c r="V7" s="1700"/>
      <c r="W7" s="1700"/>
      <c r="X7" s="1700"/>
      <c r="Y7" s="1700"/>
      <c r="Z7" s="1700"/>
      <c r="AA7" s="1700"/>
      <c r="AB7" s="977"/>
      <c r="AC7" s="976"/>
      <c r="AD7" s="969">
        <v>0</v>
      </c>
      <c r="AE7" s="110"/>
      <c r="AF7" s="110"/>
      <c r="AG7" s="110"/>
      <c r="AH7" s="110"/>
      <c r="AI7" s="110"/>
      <c r="AJ7" s="110"/>
      <c r="AK7" s="110"/>
    </row>
    <row r="8" spans="1:41" s="111" customFormat="1" ht="15" customHeight="1" x14ac:dyDescent="0.2">
      <c r="A8" s="961"/>
      <c r="B8" s="962"/>
      <c r="C8" s="962"/>
      <c r="D8" s="962"/>
      <c r="E8" s="962"/>
      <c r="F8" s="962"/>
      <c r="G8" s="974"/>
      <c r="H8" s="974"/>
      <c r="I8" s="974"/>
      <c r="J8" s="974"/>
      <c r="K8" s="974"/>
      <c r="L8" s="974"/>
      <c r="M8" s="974"/>
      <c r="N8" s="974"/>
      <c r="O8" s="974"/>
      <c r="P8" s="974"/>
      <c r="Q8" s="974"/>
      <c r="R8" s="974"/>
      <c r="S8" s="978"/>
      <c r="T8" s="978"/>
      <c r="U8" s="979"/>
      <c r="V8" s="1701" t="str">
        <f>IF(V7="",AD10,CONCATENATE(AD6," ",AD7," ",AD8," ", AD9))</f>
        <v>Pagina xx de xx</v>
      </c>
      <c r="W8" s="1701"/>
      <c r="X8" s="1701"/>
      <c r="Y8" s="1701"/>
      <c r="Z8" s="1701"/>
      <c r="AA8" s="1701"/>
      <c r="AB8" s="980"/>
      <c r="AC8" s="976"/>
      <c r="AD8" s="970" t="s">
        <v>405</v>
      </c>
      <c r="AE8" s="110"/>
      <c r="AF8" s="110"/>
      <c r="AG8" s="110"/>
      <c r="AH8" s="110"/>
      <c r="AI8" s="110"/>
      <c r="AJ8" s="110"/>
      <c r="AK8" s="110"/>
    </row>
    <row r="9" spans="1:41" s="111" customFormat="1" ht="9.75" customHeight="1" x14ac:dyDescent="0.2">
      <c r="A9" s="960"/>
      <c r="B9" s="959"/>
      <c r="C9" s="959"/>
      <c r="D9" s="959"/>
      <c r="E9" s="959"/>
      <c r="F9" s="959"/>
      <c r="G9" s="974"/>
      <c r="H9" s="974"/>
      <c r="I9" s="974"/>
      <c r="J9" s="974"/>
      <c r="K9" s="974"/>
      <c r="L9" s="974"/>
      <c r="M9" s="974"/>
      <c r="N9" s="974"/>
      <c r="O9" s="974"/>
      <c r="P9" s="974"/>
      <c r="Q9" s="974"/>
      <c r="R9" s="974"/>
      <c r="S9" s="959"/>
      <c r="T9" s="959"/>
      <c r="U9" s="959"/>
      <c r="V9" s="959"/>
      <c r="W9" s="959"/>
      <c r="X9" s="975"/>
      <c r="Y9" s="975"/>
      <c r="Z9" s="975"/>
      <c r="AA9" s="975"/>
      <c r="AB9" s="975"/>
      <c r="AC9" s="976"/>
      <c r="AD9" s="970">
        <f>IF(AC6=AJ6,AI7,"")</f>
        <v>0</v>
      </c>
      <c r="AE9" s="110"/>
      <c r="AF9" s="110"/>
      <c r="AG9" s="110"/>
      <c r="AH9" s="110"/>
      <c r="AI9" s="110"/>
      <c r="AJ9" s="110"/>
      <c r="AK9" s="110"/>
    </row>
    <row r="10" spans="1:41" s="111" customFormat="1" ht="15" customHeight="1" x14ac:dyDescent="0.2">
      <c r="A10" s="1671" t="s">
        <v>409</v>
      </c>
      <c r="B10" s="1672"/>
      <c r="C10" s="1672"/>
      <c r="D10" s="1672"/>
      <c r="E10" s="1672"/>
      <c r="F10" s="1672"/>
      <c r="G10" s="1672"/>
      <c r="H10" s="1672"/>
      <c r="I10" s="1672"/>
      <c r="J10" s="1672"/>
      <c r="K10" s="1673"/>
      <c r="L10" s="1674">
        <v>1</v>
      </c>
      <c r="M10" s="1675"/>
      <c r="N10" s="1675"/>
      <c r="O10" s="1675">
        <v>2</v>
      </c>
      <c r="P10" s="1675"/>
      <c r="Q10" s="1675"/>
      <c r="R10" s="1675">
        <v>3</v>
      </c>
      <c r="S10" s="1675"/>
      <c r="T10" s="1676"/>
      <c r="U10" s="1677">
        <v>4</v>
      </c>
      <c r="V10" s="1675"/>
      <c r="W10" s="1675"/>
      <c r="X10" s="1675">
        <v>5</v>
      </c>
      <c r="Y10" s="1675"/>
      <c r="Z10" s="1675"/>
      <c r="AA10" s="1675">
        <v>6</v>
      </c>
      <c r="AB10" s="1675"/>
      <c r="AC10" s="1704"/>
      <c r="AD10" s="971" t="s">
        <v>406</v>
      </c>
      <c r="AE10" s="110"/>
      <c r="AF10" s="110"/>
      <c r="AG10" s="110"/>
      <c r="AH10" s="110"/>
      <c r="AI10" s="110"/>
      <c r="AJ10" s="110"/>
      <c r="AK10" s="110"/>
    </row>
    <row r="11" spans="1:41" s="111" customFormat="1" ht="13.5" customHeight="1" x14ac:dyDescent="0.2">
      <c r="A11" s="898" t="s">
        <v>167</v>
      </c>
      <c r="B11" s="899"/>
      <c r="C11" s="899"/>
      <c r="D11" s="899"/>
      <c r="E11" s="899"/>
      <c r="F11" s="899"/>
      <c r="G11" s="899"/>
      <c r="H11" s="899"/>
      <c r="I11" s="899"/>
      <c r="J11" s="899"/>
      <c r="K11" s="912" t="s">
        <v>11</v>
      </c>
      <c r="L11" s="1626" t="str">
        <f>IF(AD13="","",AVERAGE(AD13:AE13))</f>
        <v/>
      </c>
      <c r="M11" s="1627"/>
      <c r="N11" s="1627"/>
      <c r="O11" s="1627" t="str">
        <f>IF(AF13="","",AVERAGE(AF13:AG13))</f>
        <v/>
      </c>
      <c r="P11" s="1627"/>
      <c r="Q11" s="1627"/>
      <c r="R11" s="1627" t="str">
        <f>IF(AH13="","",AVERAGE(AH13:AI13))</f>
        <v/>
      </c>
      <c r="S11" s="1627"/>
      <c r="T11" s="1628"/>
      <c r="U11" s="1607" t="str">
        <f>IF(AJ13="","",AVERAGE(AJ13:AK13))</f>
        <v/>
      </c>
      <c r="V11" s="1605"/>
      <c r="W11" s="1605"/>
      <c r="X11" s="1605" t="str">
        <f>IF(AL13="","",AVERAGE(AL13:AM13))</f>
        <v/>
      </c>
      <c r="Y11" s="1605"/>
      <c r="Z11" s="1605"/>
      <c r="AA11" s="1605" t="str">
        <f>IF(AN13="","",AVERAGE(AN13:AO13))</f>
        <v/>
      </c>
      <c r="AB11" s="1605"/>
      <c r="AC11" s="1625"/>
      <c r="AD11" s="1670">
        <v>1</v>
      </c>
      <c r="AE11" s="1663"/>
      <c r="AF11" s="1662">
        <v>2</v>
      </c>
      <c r="AG11" s="1663"/>
      <c r="AH11" s="1662">
        <v>3</v>
      </c>
      <c r="AI11" s="1663"/>
      <c r="AJ11" s="1662">
        <v>4</v>
      </c>
      <c r="AK11" s="1663"/>
      <c r="AL11" s="1662">
        <v>5</v>
      </c>
      <c r="AM11" s="1663"/>
      <c r="AN11" s="1662">
        <v>6</v>
      </c>
      <c r="AO11" s="1663"/>
    </row>
    <row r="12" spans="1:41" ht="13.5" customHeight="1" x14ac:dyDescent="0.2">
      <c r="A12" s="898" t="s">
        <v>388</v>
      </c>
      <c r="B12" s="899"/>
      <c r="C12" s="899"/>
      <c r="D12" s="899"/>
      <c r="E12" s="899"/>
      <c r="F12" s="899"/>
      <c r="G12" s="899"/>
      <c r="H12" s="899"/>
      <c r="I12" s="899"/>
      <c r="J12" s="899"/>
      <c r="K12" s="912" t="s">
        <v>11</v>
      </c>
      <c r="L12" s="1626" t="str">
        <f>+IF(AD15="","",AVERAGE(AD15:AE16))</f>
        <v/>
      </c>
      <c r="M12" s="1627"/>
      <c r="N12" s="1627"/>
      <c r="O12" s="1627" t="str">
        <f>+IF(AF15="","",AVERAGE(AF15:AG16))</f>
        <v/>
      </c>
      <c r="P12" s="1627"/>
      <c r="Q12" s="1627"/>
      <c r="R12" s="1627" t="str">
        <f>+IF(AH15="","",AVERAGE(AH15:AI16))</f>
        <v/>
      </c>
      <c r="S12" s="1627"/>
      <c r="T12" s="1628"/>
      <c r="U12" s="1607" t="str">
        <f>+IF(AJ15="","",AVERAGE(AJ15:AK16))</f>
        <v/>
      </c>
      <c r="V12" s="1605"/>
      <c r="W12" s="1605"/>
      <c r="X12" s="1605" t="str">
        <f>+IF(AL15="","",AVERAGE(AL15:AM16))</f>
        <v/>
      </c>
      <c r="Y12" s="1605"/>
      <c r="Z12" s="1605"/>
      <c r="AA12" s="1605" t="str">
        <f>+IF(AN15="","",AVERAGE(AN15:AO16))</f>
        <v/>
      </c>
      <c r="AB12" s="1605"/>
      <c r="AC12" s="1625"/>
      <c r="AD12" s="1664" t="s">
        <v>410</v>
      </c>
      <c r="AE12" s="1665"/>
      <c r="AF12" s="1665"/>
      <c r="AG12" s="1665"/>
      <c r="AH12" s="1665"/>
      <c r="AI12" s="1665"/>
      <c r="AJ12" s="1665"/>
      <c r="AK12" s="1665"/>
      <c r="AL12" s="1665"/>
      <c r="AM12" s="1665"/>
      <c r="AN12" s="1665"/>
      <c r="AO12" s="1666"/>
    </row>
    <row r="13" spans="1:41" ht="13.5" customHeight="1" x14ac:dyDescent="0.2">
      <c r="A13" s="898" t="s">
        <v>168</v>
      </c>
      <c r="B13" s="899"/>
      <c r="C13" s="899"/>
      <c r="D13" s="899"/>
      <c r="E13" s="899"/>
      <c r="F13" s="899"/>
      <c r="G13" s="899"/>
      <c r="H13" s="899"/>
      <c r="I13" s="899"/>
      <c r="J13" s="899"/>
      <c r="K13" s="912" t="s">
        <v>40</v>
      </c>
      <c r="L13" s="1623"/>
      <c r="M13" s="1621"/>
      <c r="N13" s="1621"/>
      <c r="O13" s="1621"/>
      <c r="P13" s="1621"/>
      <c r="Q13" s="1621"/>
      <c r="R13" s="1621"/>
      <c r="S13" s="1621"/>
      <c r="T13" s="1624"/>
      <c r="U13" s="1669"/>
      <c r="V13" s="1621"/>
      <c r="W13" s="1621"/>
      <c r="X13" s="1621"/>
      <c r="Y13" s="1621"/>
      <c r="Z13" s="1621"/>
      <c r="AA13" s="1621"/>
      <c r="AB13" s="1621"/>
      <c r="AC13" s="1622"/>
      <c r="AD13" s="116"/>
      <c r="AE13" s="117"/>
      <c r="AF13" s="118"/>
      <c r="AG13" s="117"/>
      <c r="AH13" s="118"/>
      <c r="AI13" s="117"/>
      <c r="AJ13" s="118"/>
      <c r="AK13" s="117"/>
      <c r="AL13" s="118"/>
      <c r="AM13" s="117"/>
      <c r="AN13" s="118"/>
      <c r="AO13" s="117"/>
    </row>
    <row r="14" spans="1:41" ht="13.5" customHeight="1" x14ac:dyDescent="0.2">
      <c r="A14" s="898" t="s">
        <v>169</v>
      </c>
      <c r="B14" s="899"/>
      <c r="C14" s="899"/>
      <c r="D14" s="899"/>
      <c r="E14" s="899"/>
      <c r="F14" s="899"/>
      <c r="G14" s="899"/>
      <c r="H14" s="899"/>
      <c r="I14" s="899"/>
      <c r="J14" s="899"/>
      <c r="K14" s="912" t="s">
        <v>40</v>
      </c>
      <c r="L14" s="1623"/>
      <c r="M14" s="1621"/>
      <c r="N14" s="1621"/>
      <c r="O14" s="1621"/>
      <c r="P14" s="1621"/>
      <c r="Q14" s="1621"/>
      <c r="R14" s="1621"/>
      <c r="S14" s="1621"/>
      <c r="T14" s="1624"/>
      <c r="U14" s="1669"/>
      <c r="V14" s="1621"/>
      <c r="W14" s="1621"/>
      <c r="X14" s="1621"/>
      <c r="Y14" s="1621"/>
      <c r="Z14" s="1621"/>
      <c r="AA14" s="1621"/>
      <c r="AB14" s="1621"/>
      <c r="AC14" s="1622"/>
      <c r="AD14" s="1595" t="s">
        <v>389</v>
      </c>
      <c r="AE14" s="1667"/>
      <c r="AF14" s="1667"/>
      <c r="AG14" s="1667"/>
      <c r="AH14" s="1667"/>
      <c r="AI14" s="1667"/>
      <c r="AJ14" s="1667"/>
      <c r="AK14" s="1667"/>
      <c r="AL14" s="1667"/>
      <c r="AM14" s="1667"/>
      <c r="AN14" s="1667"/>
      <c r="AO14" s="1668"/>
    </row>
    <row r="15" spans="1:41" ht="13.5" customHeight="1" x14ac:dyDescent="0.2">
      <c r="A15" s="898" t="s">
        <v>408</v>
      </c>
      <c r="B15" s="899"/>
      <c r="C15" s="899"/>
      <c r="D15" s="899"/>
      <c r="E15" s="899"/>
      <c r="F15" s="899"/>
      <c r="G15" s="899"/>
      <c r="H15" s="899"/>
      <c r="I15" s="899"/>
      <c r="J15" s="899"/>
      <c r="K15" s="912" t="s">
        <v>40</v>
      </c>
      <c r="L15" s="1623"/>
      <c r="M15" s="1621"/>
      <c r="N15" s="1621"/>
      <c r="O15" s="1621"/>
      <c r="P15" s="1621"/>
      <c r="Q15" s="1621"/>
      <c r="R15" s="1621"/>
      <c r="S15" s="1621"/>
      <c r="T15" s="1624"/>
      <c r="U15" s="1669"/>
      <c r="V15" s="1621"/>
      <c r="W15" s="1621"/>
      <c r="X15" s="1621"/>
      <c r="Y15" s="1621"/>
      <c r="Z15" s="1621"/>
      <c r="AA15" s="1621"/>
      <c r="AB15" s="1621"/>
      <c r="AC15" s="1622"/>
      <c r="AD15" s="113"/>
      <c r="AE15" s="114"/>
      <c r="AF15" s="115"/>
      <c r="AG15" s="114"/>
      <c r="AH15" s="115"/>
      <c r="AI15" s="114"/>
      <c r="AJ15" s="115"/>
      <c r="AK15" s="114"/>
      <c r="AL15" s="115"/>
      <c r="AM15" s="114"/>
      <c r="AN15" s="115"/>
      <c r="AO15" s="114"/>
    </row>
    <row r="16" spans="1:41" ht="13.5" customHeight="1" x14ac:dyDescent="0.2">
      <c r="A16" s="898" t="s">
        <v>170</v>
      </c>
      <c r="B16" s="899"/>
      <c r="C16" s="899"/>
      <c r="D16" s="899"/>
      <c r="E16" s="899"/>
      <c r="F16" s="899"/>
      <c r="G16" s="899"/>
      <c r="H16" s="899"/>
      <c r="I16" s="899"/>
      <c r="J16" s="899"/>
      <c r="K16" s="912" t="s">
        <v>390</v>
      </c>
      <c r="L16" s="1705" t="str">
        <f>+IF(L14="","",(L14-L15))</f>
        <v/>
      </c>
      <c r="M16" s="1706"/>
      <c r="N16" s="1706"/>
      <c r="O16" s="1706" t="str">
        <f>+IF(O14="","",(O14-O15))</f>
        <v/>
      </c>
      <c r="P16" s="1706"/>
      <c r="Q16" s="1706"/>
      <c r="R16" s="1706" t="str">
        <f>+IF(R14="","",(R14-R15))</f>
        <v/>
      </c>
      <c r="S16" s="1706"/>
      <c r="T16" s="1707"/>
      <c r="U16" s="1708" t="str">
        <f>+IF(U14="","",(U14-U15))</f>
        <v/>
      </c>
      <c r="V16" s="1706"/>
      <c r="W16" s="1706"/>
      <c r="X16" s="1706" t="str">
        <f>+IF(X14="","",(X14-X15))</f>
        <v/>
      </c>
      <c r="Y16" s="1706"/>
      <c r="Z16" s="1706"/>
      <c r="AA16" s="1706" t="str">
        <f>+IF(AA14="","",(AA14-AA15))</f>
        <v/>
      </c>
      <c r="AB16" s="1706"/>
      <c r="AC16" s="1709"/>
      <c r="AD16" s="116"/>
      <c r="AE16" s="117"/>
      <c r="AF16" s="118"/>
      <c r="AG16" s="117"/>
      <c r="AH16" s="118"/>
      <c r="AI16" s="117"/>
      <c r="AJ16" s="118"/>
      <c r="AK16" s="117"/>
      <c r="AL16" s="118"/>
      <c r="AM16" s="117"/>
      <c r="AN16" s="118"/>
      <c r="AO16" s="117"/>
    </row>
    <row r="17" spans="1:41" ht="13.5" customHeight="1" x14ac:dyDescent="0.2">
      <c r="A17" s="898" t="s">
        <v>171</v>
      </c>
      <c r="B17" s="899"/>
      <c r="C17" s="899"/>
      <c r="D17" s="899"/>
      <c r="E17" s="899"/>
      <c r="F17" s="899"/>
      <c r="G17" s="899"/>
      <c r="H17" s="899"/>
      <c r="I17" s="899"/>
      <c r="J17" s="899"/>
      <c r="K17" s="912"/>
      <c r="L17" s="1657" t="str">
        <f>IF(L13="","",L13/L16)</f>
        <v/>
      </c>
      <c r="M17" s="1658"/>
      <c r="N17" s="1658"/>
      <c r="O17" s="1658" t="str">
        <f>IF(O13="","",O13/O16)</f>
        <v/>
      </c>
      <c r="P17" s="1658"/>
      <c r="Q17" s="1658"/>
      <c r="R17" s="1658" t="str">
        <f>IF(R13="","",R13/R16)</f>
        <v/>
      </c>
      <c r="S17" s="1658"/>
      <c r="T17" s="1659"/>
      <c r="U17" s="1660" t="str">
        <f>IF(U13="","",U13/U16)</f>
        <v/>
      </c>
      <c r="V17" s="1658"/>
      <c r="W17" s="1658"/>
      <c r="X17" s="1658" t="str">
        <f>IF(X13="","",X13/X16)</f>
        <v/>
      </c>
      <c r="Y17" s="1658"/>
      <c r="Z17" s="1658"/>
      <c r="AA17" s="1658" t="str">
        <f>IF(AA13="","",AA13/AA16)</f>
        <v/>
      </c>
      <c r="AB17" s="1658"/>
      <c r="AC17" s="1661"/>
    </row>
    <row r="18" spans="1:41" ht="13.5" customHeight="1" x14ac:dyDescent="0.2">
      <c r="A18" s="898" t="s">
        <v>172</v>
      </c>
      <c r="B18" s="899"/>
      <c r="C18" s="899"/>
      <c r="D18" s="899"/>
      <c r="E18" s="899"/>
      <c r="F18" s="899"/>
      <c r="G18" s="899"/>
      <c r="H18" s="899"/>
      <c r="I18" s="899"/>
      <c r="J18" s="899"/>
      <c r="K18" s="912" t="s">
        <v>39</v>
      </c>
      <c r="L18" s="1710" t="str">
        <f>IF(L17="","",(1-(L17/$L$20))*100)</f>
        <v/>
      </c>
      <c r="M18" s="1711"/>
      <c r="N18" s="1711"/>
      <c r="O18" s="1651" t="str">
        <f>IF(O17="","",(1-(O17/$L$20))*100)</f>
        <v/>
      </c>
      <c r="P18" s="1652"/>
      <c r="Q18" s="1655"/>
      <c r="R18" s="1651" t="str">
        <f>IF(R17="","",(1-(R17/L20))*100)</f>
        <v/>
      </c>
      <c r="S18" s="1652"/>
      <c r="T18" s="1653"/>
      <c r="U18" s="1654" t="str">
        <f>IF(U17="","",(1-(U17/L20))*100)</f>
        <v/>
      </c>
      <c r="V18" s="1652"/>
      <c r="W18" s="1655"/>
      <c r="X18" s="1651" t="str">
        <f>IF(X17="","",(1-(X17/L20))*100)</f>
        <v/>
      </c>
      <c r="Y18" s="1652"/>
      <c r="Z18" s="1655"/>
      <c r="AA18" s="1651" t="str">
        <f>IF(AA17="","",(1-(AA17/L20))*100)</f>
        <v/>
      </c>
      <c r="AB18" s="1652"/>
      <c r="AC18" s="1656"/>
    </row>
    <row r="19" spans="1:41" ht="13.5" customHeight="1" x14ac:dyDescent="0.2">
      <c r="A19" s="901" t="s">
        <v>173</v>
      </c>
      <c r="B19" s="902"/>
      <c r="C19" s="902"/>
      <c r="D19" s="902"/>
      <c r="E19" s="902"/>
      <c r="F19" s="902"/>
      <c r="G19" s="902"/>
      <c r="H19" s="902"/>
      <c r="I19" s="902"/>
      <c r="J19" s="902"/>
      <c r="K19" s="957" t="s">
        <v>390</v>
      </c>
      <c r="L19" s="1635" t="str">
        <f>+IF(L16="","",(L18*L16)/100)</f>
        <v/>
      </c>
      <c r="M19" s="1636"/>
      <c r="N19" s="1636"/>
      <c r="O19" s="1636" t="str">
        <f>+IF(O16="","",(O18*O16)/100)</f>
        <v/>
      </c>
      <c r="P19" s="1636"/>
      <c r="Q19" s="1636"/>
      <c r="R19" s="1636" t="str">
        <f>+IF(R16="","",(R18*R16)/100)</f>
        <v/>
      </c>
      <c r="S19" s="1636"/>
      <c r="T19" s="1637"/>
      <c r="U19" s="1638" t="str">
        <f>+IF(U16="","",(U18*U16)/100)</f>
        <v/>
      </c>
      <c r="V19" s="1636"/>
      <c r="W19" s="1636"/>
      <c r="X19" s="1636" t="str">
        <f>+IF(X16="","",(X18*X16)/100)</f>
        <v/>
      </c>
      <c r="Y19" s="1636"/>
      <c r="Z19" s="1636"/>
      <c r="AA19" s="1636" t="str">
        <f>+IF(AA16="","",(AA18*AA16)/100)</f>
        <v/>
      </c>
      <c r="AB19" s="1636"/>
      <c r="AC19" s="1639"/>
    </row>
    <row r="20" spans="1:41" ht="13.5" customHeight="1" x14ac:dyDescent="0.2">
      <c r="A20" s="1713" t="s">
        <v>391</v>
      </c>
      <c r="B20" s="1714"/>
      <c r="C20" s="1714"/>
      <c r="D20" s="1714"/>
      <c r="E20" s="1714"/>
      <c r="F20" s="1714"/>
      <c r="G20" s="1714"/>
      <c r="H20" s="1714"/>
      <c r="I20" s="1714"/>
      <c r="J20" s="1714"/>
      <c r="K20" s="1714"/>
      <c r="L20" s="1715" t="str">
        <f>IF(L11="","",'733 - 735'!G30)</f>
        <v/>
      </c>
      <c r="M20" s="1716"/>
      <c r="N20" s="1716"/>
      <c r="O20" s="1716"/>
      <c r="P20" s="1716"/>
      <c r="Q20" s="1716"/>
      <c r="R20" s="1716"/>
      <c r="S20" s="1716"/>
      <c r="T20" s="1717"/>
      <c r="U20" s="1715" t="str">
        <f>IF(L20="","",L20)</f>
        <v/>
      </c>
      <c r="V20" s="1716"/>
      <c r="W20" s="1716"/>
      <c r="X20" s="1716"/>
      <c r="Y20" s="1716"/>
      <c r="Z20" s="1716"/>
      <c r="AA20" s="1716"/>
      <c r="AB20" s="1716"/>
      <c r="AC20" s="1718"/>
    </row>
    <row r="21" spans="1:41" ht="13.5" customHeight="1" x14ac:dyDescent="0.2">
      <c r="A21" s="1645" t="s">
        <v>224</v>
      </c>
      <c r="B21" s="1646"/>
      <c r="C21" s="1646"/>
      <c r="D21" s="1646"/>
      <c r="E21" s="1646"/>
      <c r="F21" s="1646"/>
      <c r="G21" s="1646"/>
      <c r="H21" s="1646"/>
      <c r="I21" s="1646"/>
      <c r="J21" s="1646"/>
      <c r="K21" s="1646"/>
      <c r="L21" s="1719" t="str">
        <f>+IF(L17="","",AVERAGE(L17:T17))</f>
        <v/>
      </c>
      <c r="M21" s="1720"/>
      <c r="N21" s="1720"/>
      <c r="O21" s="1720"/>
      <c r="P21" s="1720"/>
      <c r="Q21" s="1720"/>
      <c r="R21" s="1720"/>
      <c r="S21" s="1720"/>
      <c r="T21" s="1721"/>
      <c r="U21" s="1720" t="str">
        <f>+IF(U17="","",AVERAGE(U17:AC17))</f>
        <v/>
      </c>
      <c r="V21" s="1720"/>
      <c r="W21" s="1720"/>
      <c r="X21" s="1720"/>
      <c r="Y21" s="1720"/>
      <c r="Z21" s="1720"/>
      <c r="AA21" s="1720"/>
      <c r="AB21" s="1720"/>
      <c r="AC21" s="1722"/>
      <c r="AD21" s="1594" t="s">
        <v>389</v>
      </c>
      <c r="AE21" s="1595"/>
      <c r="AF21" s="1595"/>
      <c r="AG21" s="1595"/>
      <c r="AH21" s="1595"/>
      <c r="AI21" s="1596"/>
    </row>
    <row r="22" spans="1:41" ht="13.5" customHeight="1" x14ac:dyDescent="0.2">
      <c r="A22" s="1645" t="s">
        <v>225</v>
      </c>
      <c r="B22" s="1646"/>
      <c r="C22" s="1646"/>
      <c r="D22" s="1646"/>
      <c r="E22" s="1646"/>
      <c r="F22" s="1646"/>
      <c r="G22" s="1646"/>
      <c r="H22" s="1646"/>
      <c r="I22" s="1646"/>
      <c r="J22" s="1646"/>
      <c r="K22" s="903" t="s">
        <v>39</v>
      </c>
      <c r="L22" s="1647" t="str">
        <f>+IF(L18="","",AVERAGE(L18:T18))</f>
        <v/>
      </c>
      <c r="M22" s="1648"/>
      <c r="N22" s="1648"/>
      <c r="O22" s="1648"/>
      <c r="P22" s="1648"/>
      <c r="Q22" s="1648"/>
      <c r="R22" s="1648"/>
      <c r="S22" s="1648"/>
      <c r="T22" s="1649"/>
      <c r="U22" s="1648" t="str">
        <f>+IF(U18="","",AVERAGE(U18:AC18))</f>
        <v/>
      </c>
      <c r="V22" s="1648"/>
      <c r="W22" s="1648"/>
      <c r="X22" s="1648"/>
      <c r="Y22" s="1648"/>
      <c r="Z22" s="1648"/>
      <c r="AA22" s="1648"/>
      <c r="AB22" s="1648"/>
      <c r="AC22" s="1650"/>
      <c r="AD22" s="948" t="str">
        <f>IF(L26="","",+L26)</f>
        <v/>
      </c>
      <c r="AE22" s="948"/>
      <c r="AF22" s="949" t="str">
        <f>IF(O26="","",+O26)</f>
        <v/>
      </c>
      <c r="AG22" s="949"/>
      <c r="AH22" s="947" t="str">
        <f>IF(R26="","",+R26)</f>
        <v/>
      </c>
      <c r="AI22" s="946"/>
    </row>
    <row r="23" spans="1:41" ht="13.5" customHeight="1" x14ac:dyDescent="0.2">
      <c r="A23" s="1645" t="s">
        <v>226</v>
      </c>
      <c r="B23" s="1646"/>
      <c r="C23" s="1646"/>
      <c r="D23" s="1646"/>
      <c r="E23" s="1646"/>
      <c r="F23" s="1646"/>
      <c r="G23" s="1646"/>
      <c r="H23" s="1646"/>
      <c r="I23" s="1646"/>
      <c r="J23" s="1646"/>
      <c r="K23" s="903" t="s">
        <v>390</v>
      </c>
      <c r="L23" s="1647" t="str">
        <f>+IF(L19="","",AVERAGE(L19:T19))</f>
        <v/>
      </c>
      <c r="M23" s="1648"/>
      <c r="N23" s="1648"/>
      <c r="O23" s="1648"/>
      <c r="P23" s="1648"/>
      <c r="Q23" s="1648"/>
      <c r="R23" s="1648"/>
      <c r="S23" s="1648"/>
      <c r="T23" s="1649"/>
      <c r="U23" s="1648" t="str">
        <f>+IF(U19="","",AVERAGE(U19:AC19))</f>
        <v/>
      </c>
      <c r="V23" s="1648"/>
      <c r="W23" s="1648"/>
      <c r="X23" s="1648"/>
      <c r="Y23" s="1648"/>
      <c r="Z23" s="1648"/>
      <c r="AA23" s="1648"/>
      <c r="AB23" s="1648"/>
      <c r="AC23" s="1650"/>
      <c r="AD23" s="113"/>
      <c r="AE23" s="114"/>
      <c r="AF23" s="115"/>
      <c r="AG23" s="114"/>
      <c r="AH23" s="115"/>
      <c r="AI23" s="114"/>
    </row>
    <row r="24" spans="1:41" ht="15" customHeight="1" x14ac:dyDescent="0.2">
      <c r="A24" s="1609" t="s">
        <v>165</v>
      </c>
      <c r="B24" s="1610"/>
      <c r="C24" s="1610"/>
      <c r="D24" s="1610"/>
      <c r="E24" s="1610"/>
      <c r="F24" s="1610"/>
      <c r="G24" s="1610"/>
      <c r="H24" s="1610"/>
      <c r="I24" s="1610"/>
      <c r="J24" s="1610"/>
      <c r="K24" s="1610"/>
      <c r="L24" s="1613" t="s">
        <v>411</v>
      </c>
      <c r="M24" s="1613"/>
      <c r="N24" s="1613"/>
      <c r="O24" s="1613"/>
      <c r="P24" s="1613"/>
      <c r="Q24" s="1613"/>
      <c r="R24" s="1613"/>
      <c r="S24" s="1613"/>
      <c r="T24" s="1613"/>
      <c r="U24" s="1613"/>
      <c r="V24" s="1613"/>
      <c r="W24" s="1613"/>
      <c r="X24" s="1613"/>
      <c r="Y24" s="1613"/>
      <c r="Z24" s="1613"/>
      <c r="AA24" s="1613"/>
      <c r="AB24" s="1613"/>
      <c r="AC24" s="1614"/>
      <c r="AD24" s="116"/>
      <c r="AE24" s="117"/>
      <c r="AF24" s="118"/>
      <c r="AG24" s="117"/>
      <c r="AH24" s="118"/>
      <c r="AI24" s="117"/>
    </row>
    <row r="25" spans="1:41" ht="15" customHeight="1" x14ac:dyDescent="0.2">
      <c r="A25" s="1640" t="s">
        <v>178</v>
      </c>
      <c r="B25" s="1641"/>
      <c r="C25" s="1641"/>
      <c r="D25" s="1641"/>
      <c r="E25" s="1641"/>
      <c r="F25" s="1641"/>
      <c r="G25" s="1641"/>
      <c r="H25" s="1641"/>
      <c r="I25" s="1641"/>
      <c r="J25" s="1641"/>
      <c r="K25" s="1641"/>
      <c r="L25" s="1642" t="s">
        <v>179</v>
      </c>
      <c r="M25" s="1642"/>
      <c r="N25" s="1642"/>
      <c r="O25" s="1642"/>
      <c r="P25" s="1642"/>
      <c r="Q25" s="1642"/>
      <c r="R25" s="1642"/>
      <c r="S25" s="1642"/>
      <c r="T25" s="1642"/>
      <c r="U25" s="1643" t="s">
        <v>180</v>
      </c>
      <c r="V25" s="1643"/>
      <c r="W25" s="1643"/>
      <c r="X25" s="1643"/>
      <c r="Y25" s="1643"/>
      <c r="Z25" s="1643"/>
      <c r="AA25" s="1643"/>
      <c r="AB25" s="1643"/>
      <c r="AC25" s="1644"/>
      <c r="AD25" s="1594" t="s">
        <v>399</v>
      </c>
      <c r="AE25" s="1595"/>
      <c r="AF25" s="1595"/>
      <c r="AG25" s="1595"/>
      <c r="AH25" s="1595"/>
      <c r="AI25" s="1596"/>
    </row>
    <row r="26" spans="1:41" ht="15" customHeight="1" x14ac:dyDescent="0.2">
      <c r="A26" s="904" t="s">
        <v>409</v>
      </c>
      <c r="B26" s="905"/>
      <c r="C26" s="905"/>
      <c r="D26" s="905"/>
      <c r="E26" s="905"/>
      <c r="F26" s="905"/>
      <c r="G26" s="905"/>
      <c r="H26" s="905"/>
      <c r="I26" s="905"/>
      <c r="J26" s="905"/>
      <c r="K26" s="906"/>
      <c r="L26" s="1629"/>
      <c r="M26" s="1630"/>
      <c r="N26" s="1630"/>
      <c r="O26" s="1630"/>
      <c r="P26" s="1630"/>
      <c r="Q26" s="1630"/>
      <c r="R26" s="1630"/>
      <c r="S26" s="1630"/>
      <c r="T26" s="1631"/>
      <c r="U26" s="1632" t="str">
        <f>IF(L26="","",L26)</f>
        <v/>
      </c>
      <c r="V26" s="1633"/>
      <c r="W26" s="1633"/>
      <c r="X26" s="1633" t="str">
        <f t="shared" ref="X26" si="0">IF(O26="","",O26)</f>
        <v/>
      </c>
      <c r="Y26" s="1633"/>
      <c r="Z26" s="1633"/>
      <c r="AA26" s="1633" t="str">
        <f t="shared" ref="AA26" si="1">IF(R26="","",R26)</f>
        <v/>
      </c>
      <c r="AB26" s="1633"/>
      <c r="AC26" s="1634"/>
      <c r="AD26" s="950" t="str">
        <f>IF(L26="","",HLOOKUP(AD22,$L$10:$AC$19,4))</f>
        <v/>
      </c>
      <c r="AE26" s="950"/>
      <c r="AF26" s="950" t="str">
        <f>IF(O26="","",HLOOKUP(AF22,$L$10:$AC$19,4))</f>
        <v/>
      </c>
      <c r="AG26" s="950"/>
      <c r="AH26" s="950" t="str">
        <f>IF(R26="","",HLOOKUP(AH22,$L$10:$AC$19,4))</f>
        <v/>
      </c>
      <c r="AI26" s="950"/>
      <c r="AJ26" s="119"/>
      <c r="AK26" s="120"/>
      <c r="AL26" s="120"/>
      <c r="AM26" s="120"/>
      <c r="AN26" s="120"/>
      <c r="AO26" s="120"/>
    </row>
    <row r="27" spans="1:41" ht="13.5" customHeight="1" x14ac:dyDescent="0.2">
      <c r="A27" s="907" t="s">
        <v>392</v>
      </c>
      <c r="B27" s="908"/>
      <c r="C27" s="908"/>
      <c r="D27" s="908"/>
      <c r="E27" s="908"/>
      <c r="F27" s="908"/>
      <c r="G27" s="908"/>
      <c r="H27" s="908"/>
      <c r="I27" s="908"/>
      <c r="J27" s="908"/>
      <c r="K27" s="909" t="s">
        <v>11</v>
      </c>
      <c r="L27" s="1723"/>
      <c r="M27" s="1724"/>
      <c r="N27" s="1724"/>
      <c r="O27" s="1724"/>
      <c r="P27" s="1724"/>
      <c r="Q27" s="1724"/>
      <c r="R27" s="1724"/>
      <c r="S27" s="1724"/>
      <c r="T27" s="1725"/>
      <c r="U27" s="1607" t="str">
        <f>++IF(AD23="","",AVERAGE(AD23:AE24))</f>
        <v/>
      </c>
      <c r="V27" s="1605"/>
      <c r="W27" s="1605"/>
      <c r="X27" s="1605" t="str">
        <f>+IF(AF23="","",AVERAGE(AF23:AG24))</f>
        <v/>
      </c>
      <c r="Y27" s="1605"/>
      <c r="Z27" s="1605"/>
      <c r="AA27" s="1605" t="str">
        <f>+IF(AH23="","",AVERAGE(AH23:AI24))</f>
        <v/>
      </c>
      <c r="AB27" s="1605"/>
      <c r="AC27" s="1625"/>
      <c r="AD27" s="1594" t="s">
        <v>400</v>
      </c>
      <c r="AE27" s="1595"/>
      <c r="AF27" s="1595"/>
      <c r="AG27" s="1595"/>
      <c r="AH27" s="1595"/>
      <c r="AI27" s="1596"/>
      <c r="AJ27" s="1608"/>
      <c r="AK27" s="1608"/>
      <c r="AL27" s="1608"/>
      <c r="AM27" s="1608"/>
      <c r="AN27" s="1608"/>
      <c r="AO27" s="1608"/>
    </row>
    <row r="28" spans="1:41" ht="13.5" customHeight="1" x14ac:dyDescent="0.2">
      <c r="A28" s="910" t="s">
        <v>181</v>
      </c>
      <c r="B28" s="911"/>
      <c r="C28" s="911"/>
      <c r="D28" s="911"/>
      <c r="E28" s="911"/>
      <c r="F28" s="911"/>
      <c r="G28" s="911"/>
      <c r="H28" s="911"/>
      <c r="I28" s="911"/>
      <c r="J28" s="911"/>
      <c r="K28" s="912" t="s">
        <v>40</v>
      </c>
      <c r="L28" s="1623"/>
      <c r="M28" s="1621"/>
      <c r="N28" s="1621"/>
      <c r="O28" s="1621"/>
      <c r="P28" s="1621"/>
      <c r="Q28" s="1621"/>
      <c r="R28" s="1621"/>
      <c r="S28" s="1621"/>
      <c r="T28" s="1624"/>
      <c r="U28" s="1623"/>
      <c r="V28" s="1621"/>
      <c r="W28" s="1621"/>
      <c r="X28" s="1621"/>
      <c r="Y28" s="1621"/>
      <c r="Z28" s="1621"/>
      <c r="AA28" s="1621"/>
      <c r="AB28" s="1621"/>
      <c r="AC28" s="1622"/>
      <c r="AD28" s="1593" t="str">
        <f>IF(L26="","",HLOOKUP(AD22,$L$10:$AC$19,10))</f>
        <v/>
      </c>
      <c r="AE28" s="1593"/>
      <c r="AF28" s="1593" t="str">
        <f>IF(O26="","",HLOOKUP(AF22,$L$10:$AC$19,10))</f>
        <v/>
      </c>
      <c r="AG28" s="1593"/>
      <c r="AH28" s="1593" t="str">
        <f>IF(R26="","",HLOOKUP(AH22,$L$10:$AC$19,10))</f>
        <v/>
      </c>
      <c r="AI28" s="1593"/>
      <c r="AJ28" s="121"/>
      <c r="AK28" s="122"/>
      <c r="AL28" s="122"/>
      <c r="AM28" s="122"/>
      <c r="AN28" s="122"/>
      <c r="AO28" s="122"/>
    </row>
    <row r="29" spans="1:41" ht="13.5" customHeight="1" x14ac:dyDescent="0.2">
      <c r="A29" s="910" t="s">
        <v>412</v>
      </c>
      <c r="B29" s="911"/>
      <c r="C29" s="911"/>
      <c r="D29" s="911"/>
      <c r="E29" s="911"/>
      <c r="F29" s="911"/>
      <c r="G29" s="911"/>
      <c r="H29" s="911"/>
      <c r="I29" s="911"/>
      <c r="J29" s="911"/>
      <c r="K29" s="912" t="s">
        <v>40</v>
      </c>
      <c r="L29" s="1623"/>
      <c r="M29" s="1621"/>
      <c r="N29" s="1621"/>
      <c r="O29" s="1621"/>
      <c r="P29" s="1621"/>
      <c r="Q29" s="1621"/>
      <c r="R29" s="1621"/>
      <c r="S29" s="1621"/>
      <c r="T29" s="1624"/>
      <c r="U29" s="1623"/>
      <c r="V29" s="1621"/>
      <c r="W29" s="1621"/>
      <c r="X29" s="1621"/>
      <c r="Y29" s="1621"/>
      <c r="Z29" s="1621"/>
      <c r="AA29" s="1621"/>
      <c r="AB29" s="1621"/>
      <c r="AC29" s="1622"/>
      <c r="AD29" s="1712" t="s">
        <v>401</v>
      </c>
      <c r="AE29" s="1712"/>
      <c r="AF29" s="1712"/>
      <c r="AG29" s="1712"/>
      <c r="AH29" s="1712"/>
      <c r="AI29" s="1712"/>
      <c r="AJ29" s="121"/>
      <c r="AK29" s="122"/>
      <c r="AL29" s="122"/>
      <c r="AM29" s="122"/>
      <c r="AN29" s="122"/>
      <c r="AO29" s="122"/>
    </row>
    <row r="30" spans="1:41" ht="13.5" customHeight="1" x14ac:dyDescent="0.2">
      <c r="A30" s="910" t="s">
        <v>182</v>
      </c>
      <c r="B30" s="911"/>
      <c r="C30" s="911"/>
      <c r="D30" s="911"/>
      <c r="E30" s="911"/>
      <c r="F30" s="911"/>
      <c r="G30" s="911"/>
      <c r="H30" s="911"/>
      <c r="I30" s="911"/>
      <c r="J30" s="911"/>
      <c r="K30" s="912" t="s">
        <v>40</v>
      </c>
      <c r="L30" s="1604" t="str">
        <f>+IF(L28="","",L28-L29)</f>
        <v/>
      </c>
      <c r="M30" s="1605"/>
      <c r="N30" s="1605"/>
      <c r="O30" s="1605" t="str">
        <f>+IF(O28="","",O28-O29)</f>
        <v/>
      </c>
      <c r="P30" s="1605"/>
      <c r="Q30" s="1605"/>
      <c r="R30" s="1605" t="str">
        <f>+IF(R28="","",R28-R29)</f>
        <v/>
      </c>
      <c r="S30" s="1605"/>
      <c r="T30" s="1606"/>
      <c r="U30" s="1607" t="str">
        <f>+IF(U28="","",(U28-U29))</f>
        <v/>
      </c>
      <c r="V30" s="1605"/>
      <c r="W30" s="1605"/>
      <c r="X30" s="1605" t="str">
        <f>+IF(X28="","",(X28-X29))</f>
        <v/>
      </c>
      <c r="Y30" s="1605"/>
      <c r="Z30" s="1605"/>
      <c r="AA30" s="1605" t="str">
        <f>+IF(AA28="","",(AA28-AA29))</f>
        <v/>
      </c>
      <c r="AB30" s="1605"/>
      <c r="AC30" s="1625"/>
      <c r="AD30" s="1593" t="str">
        <f>IF(U26="","",HLOOKUP(AD22,$L$10:$AC$19,5))</f>
        <v/>
      </c>
      <c r="AE30" s="1593"/>
      <c r="AF30" s="1593" t="str">
        <f>IF(X26="","",HLOOKUP(AF22,$L$10:$AC$19,5))</f>
        <v/>
      </c>
      <c r="AG30" s="1593"/>
      <c r="AH30" s="1593" t="str">
        <f>IF(AA26="","",HLOOKUP(AH22,$L$10:$AC$19,5))</f>
        <v/>
      </c>
      <c r="AI30" s="1593"/>
    </row>
    <row r="31" spans="1:41" ht="13.5" customHeight="1" x14ac:dyDescent="0.2">
      <c r="A31" s="910" t="s">
        <v>183</v>
      </c>
      <c r="B31" s="911"/>
      <c r="C31" s="911"/>
      <c r="D31" s="911"/>
      <c r="E31" s="911"/>
      <c r="F31" s="911"/>
      <c r="G31" s="911"/>
      <c r="H31" s="911"/>
      <c r="I31" s="911"/>
      <c r="J31" s="911"/>
      <c r="K31" s="900" t="s">
        <v>390</v>
      </c>
      <c r="L31" s="1626" t="str">
        <f>+IF(AD26="","",L28-AD26)</f>
        <v/>
      </c>
      <c r="M31" s="1627"/>
      <c r="N31" s="1627"/>
      <c r="O31" s="1627" t="str">
        <f>+IF(AF26="","",O28-AF26)</f>
        <v/>
      </c>
      <c r="P31" s="1627"/>
      <c r="Q31" s="1627"/>
      <c r="R31" s="1627" t="str">
        <f>+IF(AH26="","",R28-AH26)</f>
        <v/>
      </c>
      <c r="S31" s="1627"/>
      <c r="T31" s="1628"/>
      <c r="U31" s="1607" t="str">
        <f>+IF(AD30="","",AD30-AD26)</f>
        <v/>
      </c>
      <c r="V31" s="1605"/>
      <c r="W31" s="1605"/>
      <c r="X31" s="1605" t="str">
        <f>+IF(AF30="","",AF30-AF26)</f>
        <v/>
      </c>
      <c r="Y31" s="1605"/>
      <c r="Z31" s="1605"/>
      <c r="AA31" s="1605" t="str">
        <f>+IF(AH30="","",AH30-AH26)</f>
        <v/>
      </c>
      <c r="AB31" s="1605"/>
      <c r="AC31" s="1625"/>
      <c r="AD31" s="1594" t="s">
        <v>170</v>
      </c>
      <c r="AE31" s="1595"/>
      <c r="AF31" s="1595"/>
      <c r="AG31" s="1595"/>
      <c r="AH31" s="1595"/>
      <c r="AI31" s="1596"/>
    </row>
    <row r="32" spans="1:41" ht="13.5" customHeight="1" x14ac:dyDescent="0.2">
      <c r="A32" s="910" t="s">
        <v>197</v>
      </c>
      <c r="B32" s="911"/>
      <c r="C32" s="911"/>
      <c r="D32" s="911"/>
      <c r="E32" s="911"/>
      <c r="F32" s="911"/>
      <c r="G32" s="911"/>
      <c r="H32" s="911"/>
      <c r="I32" s="911"/>
      <c r="J32" s="911"/>
      <c r="K32" s="913" t="s">
        <v>39</v>
      </c>
      <c r="L32" s="1604" t="str">
        <f>+IF(L31="","",(100*L31/AD28))</f>
        <v/>
      </c>
      <c r="M32" s="1605"/>
      <c r="N32" s="1605"/>
      <c r="O32" s="1605" t="str">
        <f>+IF(O31="","",(100*O31/AF28))</f>
        <v/>
      </c>
      <c r="P32" s="1605"/>
      <c r="Q32" s="1605"/>
      <c r="R32" s="1605" t="str">
        <f>+IF(R31="","",(100*R31/AH28))</f>
        <v/>
      </c>
      <c r="S32" s="1605"/>
      <c r="T32" s="1606"/>
      <c r="U32" s="1607" t="str">
        <f>+IF(U31="","",(100*U31/AD28))</f>
        <v/>
      </c>
      <c r="V32" s="1605"/>
      <c r="W32" s="1605"/>
      <c r="X32" s="1605" t="str">
        <f>+IF(X31="","",(100*X31/AF28))</f>
        <v/>
      </c>
      <c r="Y32" s="1605"/>
      <c r="Z32" s="1605"/>
      <c r="AA32" s="1605" t="str">
        <f>+IF(AA31="","",(100*AA31/AH28))</f>
        <v/>
      </c>
      <c r="AB32" s="1605"/>
      <c r="AC32" s="1625"/>
      <c r="AD32" s="1593" t="str">
        <f>IF(U26="","",HLOOKUP(AD22,$L$10:$AC$19,7))</f>
        <v/>
      </c>
      <c r="AE32" s="1593"/>
      <c r="AF32" s="1593" t="str">
        <f>IF(X26="","",HLOOKUP(AF22,$L$10:$AC$19,7))</f>
        <v/>
      </c>
      <c r="AG32" s="1593"/>
      <c r="AH32" s="1593" t="str">
        <f>IF(AA26="","",HLOOKUP(AH22,$L$10:$AC$19,7))</f>
        <v/>
      </c>
      <c r="AI32" s="1593"/>
    </row>
    <row r="33" spans="1:41" ht="13.5" customHeight="1" x14ac:dyDescent="0.2">
      <c r="A33" s="916" t="s">
        <v>184</v>
      </c>
      <c r="B33" s="918"/>
      <c r="C33" s="918"/>
      <c r="D33" s="918"/>
      <c r="E33" s="918"/>
      <c r="F33" s="918"/>
      <c r="G33" s="918"/>
      <c r="H33" s="918"/>
      <c r="I33" s="918"/>
      <c r="J33" s="918"/>
      <c r="K33" s="951" t="s">
        <v>39</v>
      </c>
      <c r="L33" s="1600" t="str">
        <f>+IF(L30="","",((L30-AD32)/AD32)*100)</f>
        <v/>
      </c>
      <c r="M33" s="1601"/>
      <c r="N33" s="1601"/>
      <c r="O33" s="1601" t="str">
        <f>+IF(O30="","",((O30-AF32)/AF32)*100)</f>
        <v/>
      </c>
      <c r="P33" s="1601"/>
      <c r="Q33" s="1601"/>
      <c r="R33" s="1601" t="str">
        <f>+IF(R30="","",((R30-AH32)/AH32)*100)</f>
        <v/>
      </c>
      <c r="S33" s="1601"/>
      <c r="T33" s="1602"/>
      <c r="U33" s="1600" t="str">
        <f>+IF(U30="","",((U30-AD32)/AD32)*100)</f>
        <v/>
      </c>
      <c r="V33" s="1601"/>
      <c r="W33" s="1601"/>
      <c r="X33" s="1601" t="str">
        <f>+IF(X30="","",((X30-AF32)/AF32)*100)</f>
        <v/>
      </c>
      <c r="Y33" s="1601"/>
      <c r="Z33" s="1601"/>
      <c r="AA33" s="1601" t="str">
        <f>+IF(AA30="","",((AA30-AH32)/AH32)*100)</f>
        <v/>
      </c>
      <c r="AB33" s="1601"/>
      <c r="AC33" s="1603"/>
      <c r="AD33" s="952"/>
      <c r="AE33" s="952"/>
      <c r="AF33" s="952"/>
      <c r="AG33" s="952"/>
      <c r="AH33" s="952"/>
      <c r="AI33" s="952"/>
    </row>
    <row r="34" spans="1:41" ht="13.5" customHeight="1" x14ac:dyDescent="0.2">
      <c r="A34" s="921" t="s">
        <v>186</v>
      </c>
      <c r="B34" s="922"/>
      <c r="C34" s="922"/>
      <c r="D34" s="922"/>
      <c r="E34" s="922"/>
      <c r="F34" s="922"/>
      <c r="G34" s="922"/>
      <c r="H34" s="922"/>
      <c r="I34" s="922"/>
      <c r="J34" s="920"/>
      <c r="K34" s="923" t="s">
        <v>39</v>
      </c>
      <c r="L34" s="1569" t="str">
        <f>+IF(L32="","",AVERAGE(L32:T32))</f>
        <v/>
      </c>
      <c r="M34" s="1570"/>
      <c r="N34" s="1570"/>
      <c r="O34" s="1570"/>
      <c r="P34" s="1570"/>
      <c r="Q34" s="1570"/>
      <c r="R34" s="1570"/>
      <c r="S34" s="1570"/>
      <c r="T34" s="1571"/>
      <c r="U34" s="1572" t="str">
        <f>+IF(U32="","",AVERAGE(U32:AC32))</f>
        <v/>
      </c>
      <c r="V34" s="1573"/>
      <c r="W34" s="1573"/>
      <c r="X34" s="1573"/>
      <c r="Y34" s="1573"/>
      <c r="Z34" s="1573"/>
      <c r="AA34" s="1573"/>
      <c r="AB34" s="1573"/>
      <c r="AC34" s="1574"/>
      <c r="AD34" s="952"/>
      <c r="AE34" s="952"/>
      <c r="AF34" s="952"/>
      <c r="AG34" s="952"/>
      <c r="AH34" s="952"/>
      <c r="AI34" s="952"/>
    </row>
    <row r="35" spans="1:41" ht="13.5" customHeight="1" x14ac:dyDescent="0.2">
      <c r="A35" s="953" t="s">
        <v>187</v>
      </c>
      <c r="B35" s="925"/>
      <c r="C35" s="925"/>
      <c r="D35" s="925"/>
      <c r="E35" s="925"/>
      <c r="F35" s="925"/>
      <c r="G35" s="925"/>
      <c r="H35" s="925"/>
      <c r="I35" s="925"/>
      <c r="J35" s="954"/>
      <c r="K35" s="955" t="s">
        <v>39</v>
      </c>
      <c r="L35" s="1575" t="str">
        <f>+IF(L33="","",AVERAGE(L33:T33))</f>
        <v/>
      </c>
      <c r="M35" s="1576"/>
      <c r="N35" s="1576"/>
      <c r="O35" s="1576"/>
      <c r="P35" s="1576"/>
      <c r="Q35" s="1576"/>
      <c r="R35" s="1576"/>
      <c r="S35" s="1576"/>
      <c r="T35" s="1577"/>
      <c r="U35" s="1578" t="str">
        <f>+IF(U33="","",AVERAGE(U33:AC33))</f>
        <v/>
      </c>
      <c r="V35" s="1579"/>
      <c r="W35" s="1579"/>
      <c r="X35" s="1579"/>
      <c r="Y35" s="1579"/>
      <c r="Z35" s="1579"/>
      <c r="AA35" s="1579"/>
      <c r="AB35" s="1579"/>
      <c r="AC35" s="1580"/>
      <c r="AD35" s="952"/>
      <c r="AE35" s="952"/>
      <c r="AF35" s="952"/>
      <c r="AG35" s="952"/>
      <c r="AH35" s="952"/>
      <c r="AI35" s="952"/>
    </row>
    <row r="36" spans="1:41" ht="15" customHeight="1" x14ac:dyDescent="0.2">
      <c r="A36" s="1609" t="s">
        <v>165</v>
      </c>
      <c r="B36" s="1610"/>
      <c r="C36" s="1610"/>
      <c r="D36" s="1610"/>
      <c r="E36" s="1610"/>
      <c r="F36" s="1610"/>
      <c r="G36" s="1610"/>
      <c r="H36" s="1610"/>
      <c r="I36" s="1610"/>
      <c r="J36" s="1610"/>
      <c r="K36" s="1611"/>
      <c r="L36" s="1612" t="s">
        <v>411</v>
      </c>
      <c r="M36" s="1613"/>
      <c r="N36" s="1613"/>
      <c r="O36" s="1613"/>
      <c r="P36" s="1613"/>
      <c r="Q36" s="1613"/>
      <c r="R36" s="1613"/>
      <c r="S36" s="1613"/>
      <c r="T36" s="1613"/>
      <c r="U36" s="1612" t="s">
        <v>166</v>
      </c>
      <c r="V36" s="1613"/>
      <c r="W36" s="1613"/>
      <c r="X36" s="1613"/>
      <c r="Y36" s="1613"/>
      <c r="Z36" s="1613"/>
      <c r="AA36" s="1613"/>
      <c r="AB36" s="1613"/>
      <c r="AC36" s="1614"/>
      <c r="AD36" s="952"/>
      <c r="AE36" s="952"/>
      <c r="AF36" s="952"/>
      <c r="AG36" s="952"/>
      <c r="AH36" s="952"/>
      <c r="AI36" s="952"/>
    </row>
    <row r="37" spans="1:41" ht="15" customHeight="1" x14ac:dyDescent="0.2">
      <c r="A37" s="999" t="s">
        <v>409</v>
      </c>
      <c r="B37" s="1000"/>
      <c r="C37" s="1000"/>
      <c r="D37" s="1000"/>
      <c r="E37" s="1000"/>
      <c r="F37" s="1000"/>
      <c r="G37" s="1000"/>
      <c r="H37" s="1000"/>
      <c r="I37" s="1000"/>
      <c r="J37" s="1000"/>
      <c r="K37" s="1001"/>
      <c r="L37" s="1615" t="str">
        <f>IF(L26="","",L26)</f>
        <v/>
      </c>
      <c r="M37" s="1616"/>
      <c r="N37" s="1616"/>
      <c r="O37" s="1616" t="str">
        <f>IF(O26="","",O26)</f>
        <v/>
      </c>
      <c r="P37" s="1616"/>
      <c r="Q37" s="1616"/>
      <c r="R37" s="1616" t="str">
        <f>IF(R26="","",R26)</f>
        <v/>
      </c>
      <c r="S37" s="1616"/>
      <c r="T37" s="1617"/>
      <c r="U37" s="1618"/>
      <c r="V37" s="1619"/>
      <c r="W37" s="1619"/>
      <c r="X37" s="1619"/>
      <c r="Y37" s="1619"/>
      <c r="Z37" s="1619"/>
      <c r="AA37" s="1619"/>
      <c r="AB37" s="1619"/>
      <c r="AC37" s="1620"/>
    </row>
    <row r="38" spans="1:41" ht="14.1" customHeight="1" x14ac:dyDescent="0.2">
      <c r="A38" s="898" t="s">
        <v>174</v>
      </c>
      <c r="B38" s="899"/>
      <c r="C38" s="899"/>
      <c r="D38" s="899"/>
      <c r="E38" s="899"/>
      <c r="F38" s="899"/>
      <c r="G38" s="899"/>
      <c r="H38" s="899"/>
      <c r="I38" s="899"/>
      <c r="J38" s="899"/>
      <c r="K38" s="912" t="s">
        <v>175</v>
      </c>
      <c r="L38" s="1597"/>
      <c r="M38" s="1598"/>
      <c r="N38" s="1598"/>
      <c r="O38" s="1598"/>
      <c r="P38" s="1598"/>
      <c r="Q38" s="1598"/>
      <c r="R38" s="1598"/>
      <c r="S38" s="1598"/>
      <c r="T38" s="1599"/>
      <c r="U38" s="1597"/>
      <c r="V38" s="1598"/>
      <c r="W38" s="1598"/>
      <c r="X38" s="1598"/>
      <c r="Y38" s="1598"/>
      <c r="Z38" s="1598"/>
      <c r="AA38" s="1598"/>
      <c r="AB38" s="1598"/>
      <c r="AC38" s="1599"/>
      <c r="AF38" s="926"/>
      <c r="AJ38" s="1608"/>
      <c r="AK38" s="1608"/>
      <c r="AL38" s="1608"/>
      <c r="AM38" s="1608"/>
      <c r="AN38" s="1608"/>
      <c r="AO38" s="1608"/>
    </row>
    <row r="39" spans="1:41" ht="14.1" customHeight="1" x14ac:dyDescent="0.2">
      <c r="A39" s="898" t="s">
        <v>176</v>
      </c>
      <c r="B39" s="899"/>
      <c r="C39" s="899"/>
      <c r="D39" s="899"/>
      <c r="E39" s="899"/>
      <c r="F39" s="899"/>
      <c r="G39" s="899"/>
      <c r="H39" s="899"/>
      <c r="I39" s="899"/>
      <c r="J39" s="899"/>
      <c r="K39" s="912" t="s">
        <v>177</v>
      </c>
      <c r="L39" s="1586" t="str">
        <f>+IF(L38="","",L38*1000)</f>
        <v/>
      </c>
      <c r="M39" s="1587"/>
      <c r="N39" s="1587"/>
      <c r="O39" s="1587" t="str">
        <f>+IF(O38="","",O38*1000)</f>
        <v/>
      </c>
      <c r="P39" s="1587"/>
      <c r="Q39" s="1587"/>
      <c r="R39" s="1587" t="str">
        <f>+IF(R38="","",R38*1000)</f>
        <v/>
      </c>
      <c r="S39" s="1587"/>
      <c r="T39" s="1588"/>
      <c r="U39" s="1589" t="str">
        <f>+IF(U38="","",(U38*1000))</f>
        <v/>
      </c>
      <c r="V39" s="1590"/>
      <c r="W39" s="1590"/>
      <c r="X39" s="1590" t="str">
        <f>+IF(X38="","",(X38*1000))</f>
        <v/>
      </c>
      <c r="Y39" s="1590"/>
      <c r="Z39" s="1590"/>
      <c r="AA39" s="1590" t="str">
        <f>+IF(AA38="","",(AA38*1000))</f>
        <v/>
      </c>
      <c r="AB39" s="1590"/>
      <c r="AC39" s="1591"/>
    </row>
    <row r="40" spans="1:41" ht="14.1" customHeight="1" x14ac:dyDescent="0.2">
      <c r="A40" s="916" t="s">
        <v>393</v>
      </c>
      <c r="B40" s="917"/>
      <c r="C40" s="917"/>
      <c r="D40" s="917"/>
      <c r="E40" s="917"/>
      <c r="F40" s="917"/>
      <c r="G40" s="917"/>
      <c r="H40" s="917"/>
      <c r="I40" s="917"/>
      <c r="J40" s="918"/>
      <c r="K40" s="919" t="s">
        <v>185</v>
      </c>
      <c r="L40" s="1581" t="str">
        <f>+IF(L11="","",(((2000*L39)/(PI()*L12*L11))))</f>
        <v/>
      </c>
      <c r="M40" s="1582"/>
      <c r="N40" s="1582"/>
      <c r="O40" s="1582" t="str">
        <f>+IF(O11="","",(((2000*O39)/(PI()*O12*O11))))</f>
        <v/>
      </c>
      <c r="P40" s="1582"/>
      <c r="Q40" s="1582"/>
      <c r="R40" s="1582" t="str">
        <f>+IF(R11="","",(((2000*R39)/(PI()*R12*R11))))</f>
        <v/>
      </c>
      <c r="S40" s="1582"/>
      <c r="T40" s="1592"/>
      <c r="U40" s="1583" t="str">
        <f>+IF(U11="","",((((2000*U39)/(PI()*U12*U11)))))</f>
        <v/>
      </c>
      <c r="V40" s="1584"/>
      <c r="W40" s="1584"/>
      <c r="X40" s="1584" t="str">
        <f>+IF(X11="","",((((2000*X39)/(PI()*X12*X11)))))</f>
        <v/>
      </c>
      <c r="Y40" s="1584"/>
      <c r="Z40" s="1584"/>
      <c r="AA40" s="1584" t="str">
        <f>+IF(AA11="","",((((2000*AA39)/(PI()*AA12*AA11)))))</f>
        <v/>
      </c>
      <c r="AB40" s="1584"/>
      <c r="AC40" s="1585"/>
    </row>
    <row r="41" spans="1:41" ht="14.1" customHeight="1" x14ac:dyDescent="0.2">
      <c r="A41" s="914" t="s">
        <v>394</v>
      </c>
      <c r="B41" s="956"/>
      <c r="C41" s="956"/>
      <c r="D41" s="956"/>
      <c r="E41" s="956"/>
      <c r="F41" s="956"/>
      <c r="G41" s="956"/>
      <c r="H41" s="956"/>
      <c r="I41" s="956"/>
      <c r="J41" s="915"/>
      <c r="K41" s="957" t="s">
        <v>185</v>
      </c>
      <c r="L41" s="1558" t="str">
        <f>+IF(L40="","",AVERAGE(L40:T40))</f>
        <v/>
      </c>
      <c r="M41" s="1559"/>
      <c r="N41" s="1559"/>
      <c r="O41" s="1559"/>
      <c r="P41" s="1559"/>
      <c r="Q41" s="1559"/>
      <c r="R41" s="1559"/>
      <c r="S41" s="1559"/>
      <c r="T41" s="1560"/>
      <c r="U41" s="1561" t="str">
        <f>+IF(U40="","",AVERAGE(U40:AC40))</f>
        <v/>
      </c>
      <c r="V41" s="1562"/>
      <c r="W41" s="1562"/>
      <c r="X41" s="1562"/>
      <c r="Y41" s="1562"/>
      <c r="Z41" s="1562"/>
      <c r="AA41" s="1562"/>
      <c r="AB41" s="1562"/>
      <c r="AC41" s="1563"/>
    </row>
    <row r="42" spans="1:41" ht="15" customHeight="1" x14ac:dyDescent="0.2">
      <c r="A42" s="1544" t="s">
        <v>188</v>
      </c>
      <c r="B42" s="1545"/>
      <c r="C42" s="1545"/>
      <c r="D42" s="1545"/>
      <c r="E42" s="1545"/>
      <c r="F42" s="1545"/>
      <c r="G42" s="1545"/>
      <c r="H42" s="1545"/>
      <c r="I42" s="1545"/>
      <c r="J42" s="1545"/>
      <c r="K42" s="923" t="s">
        <v>39</v>
      </c>
      <c r="L42" s="1546" t="str">
        <f>+IF(U41="","",((L41/U41)*100))</f>
        <v/>
      </c>
      <c r="M42" s="1547"/>
      <c r="N42" s="1547"/>
      <c r="O42" s="1547"/>
      <c r="P42" s="1547"/>
      <c r="Q42" s="1547"/>
      <c r="R42" s="1547"/>
      <c r="S42" s="1547"/>
      <c r="T42" s="1547"/>
      <c r="U42" s="1547"/>
      <c r="V42" s="1547"/>
      <c r="W42" s="1547"/>
      <c r="X42" s="1547"/>
      <c r="Y42" s="1547"/>
      <c r="Z42" s="1547"/>
      <c r="AA42" s="1547"/>
      <c r="AB42" s="1547"/>
      <c r="AC42" s="1548"/>
    </row>
    <row r="43" spans="1:41" ht="15" customHeight="1" x14ac:dyDescent="0.2">
      <c r="A43" s="924" t="s">
        <v>189</v>
      </c>
      <c r="B43" s="922"/>
      <c r="C43" s="922"/>
      <c r="D43" s="922"/>
      <c r="E43" s="922"/>
      <c r="F43" s="922"/>
      <c r="G43" s="922"/>
      <c r="H43" s="1549" t="s">
        <v>190</v>
      </c>
      <c r="I43" s="1549"/>
      <c r="J43" s="1549"/>
      <c r="K43" s="1550"/>
      <c r="L43" s="1551" t="str">
        <f>IF(U41="","",(IF(L41&gt;=(0.8*U41),"Se acepta","Se rechaza")))</f>
        <v/>
      </c>
      <c r="M43" s="1552"/>
      <c r="N43" s="1552"/>
      <c r="O43" s="1552"/>
      <c r="P43" s="1552"/>
      <c r="Q43" s="1552"/>
      <c r="R43" s="1552"/>
      <c r="S43" s="1552"/>
      <c r="T43" s="1552"/>
      <c r="U43" s="1552"/>
      <c r="V43" s="1552"/>
      <c r="W43" s="1552"/>
      <c r="X43" s="1552"/>
      <c r="Y43" s="1552"/>
      <c r="Z43" s="1552"/>
      <c r="AA43" s="1552"/>
      <c r="AB43" s="1552"/>
      <c r="AC43" s="1553"/>
    </row>
    <row r="44" spans="1:41" ht="15" customHeight="1" x14ac:dyDescent="0.2">
      <c r="A44" s="994" t="s">
        <v>191</v>
      </c>
      <c r="B44" s="995"/>
      <c r="C44" s="995"/>
      <c r="D44" s="995"/>
      <c r="E44" s="995"/>
      <c r="F44" s="995"/>
      <c r="G44" s="995"/>
      <c r="H44" s="995"/>
      <c r="I44" s="995"/>
      <c r="J44" s="995"/>
      <c r="K44" s="996"/>
      <c r="L44" s="1554"/>
      <c r="M44" s="1555"/>
      <c r="N44" s="1555"/>
      <c r="O44" s="1555"/>
      <c r="P44" s="1555"/>
      <c r="Q44" s="1555"/>
      <c r="R44" s="1555"/>
      <c r="S44" s="1555"/>
      <c r="T44" s="1555"/>
      <c r="U44" s="1556"/>
      <c r="V44" s="1556"/>
      <c r="W44" s="1556"/>
      <c r="X44" s="1556"/>
      <c r="Y44" s="1556"/>
      <c r="Z44" s="1556"/>
      <c r="AA44" s="1556"/>
      <c r="AB44" s="1556"/>
      <c r="AC44" s="1557"/>
    </row>
    <row r="45" spans="1:41" ht="15" customHeight="1" x14ac:dyDescent="0.2">
      <c r="A45" s="981"/>
      <c r="B45" s="982"/>
      <c r="C45" s="982"/>
      <c r="D45" s="982"/>
      <c r="E45" s="982"/>
      <c r="F45" s="982"/>
      <c r="G45" s="982"/>
      <c r="H45" s="982"/>
      <c r="I45" s="982"/>
      <c r="J45" s="982"/>
      <c r="K45" s="983"/>
      <c r="L45" s="986"/>
      <c r="M45" s="986"/>
      <c r="N45" s="986"/>
      <c r="O45" s="986"/>
      <c r="P45" s="986"/>
      <c r="Q45" s="986"/>
      <c r="R45" s="986"/>
      <c r="S45" s="986"/>
      <c r="T45" s="986"/>
      <c r="U45" s="986"/>
      <c r="V45" s="986"/>
      <c r="W45" s="986"/>
      <c r="X45" s="986"/>
      <c r="Y45" s="986"/>
      <c r="Z45" s="986"/>
      <c r="AA45" s="986"/>
      <c r="AB45" s="986"/>
      <c r="AC45" s="992"/>
    </row>
    <row r="46" spans="1:41" ht="15" customHeight="1" x14ac:dyDescent="0.2">
      <c r="A46" s="981"/>
      <c r="B46" s="1568" t="s">
        <v>407</v>
      </c>
      <c r="C46" s="1568"/>
      <c r="D46" s="1568"/>
      <c r="E46" s="1568"/>
      <c r="F46" s="1568"/>
      <c r="G46" s="1703"/>
      <c r="H46" s="1703"/>
      <c r="I46" s="1703"/>
      <c r="J46" s="1703"/>
      <c r="K46" s="997" t="str">
        <f>IF(L46="","","al")</f>
        <v/>
      </c>
      <c r="L46" s="1703"/>
      <c r="M46" s="1703"/>
      <c r="N46" s="1703"/>
      <c r="O46" s="1703"/>
      <c r="P46" s="998"/>
      <c r="Q46" s="998"/>
      <c r="R46" s="998"/>
      <c r="V46" s="986"/>
      <c r="W46" s="986"/>
      <c r="X46" s="986"/>
      <c r="Y46" s="986"/>
      <c r="Z46" s="986"/>
      <c r="AA46" s="986"/>
      <c r="AB46" s="986"/>
      <c r="AC46" s="992"/>
    </row>
    <row r="47" spans="1:41" ht="15" customHeight="1" x14ac:dyDescent="0.2">
      <c r="A47" s="987"/>
      <c r="B47" s="993"/>
      <c r="C47" s="988"/>
      <c r="D47" s="988"/>
      <c r="E47" s="988"/>
      <c r="F47" s="988"/>
      <c r="G47" s="988"/>
      <c r="H47" s="988"/>
      <c r="I47" s="988"/>
      <c r="J47" s="988"/>
      <c r="K47" s="989"/>
      <c r="L47" s="990"/>
      <c r="M47" s="990"/>
      <c r="N47" s="990"/>
      <c r="O47" s="990"/>
      <c r="P47" s="990"/>
      <c r="Q47" s="990"/>
      <c r="R47" s="990"/>
      <c r="S47" s="990"/>
      <c r="T47" s="990"/>
      <c r="U47" s="990"/>
      <c r="V47" s="990"/>
      <c r="W47" s="990"/>
      <c r="X47" s="990"/>
      <c r="Y47" s="990"/>
      <c r="Z47" s="990"/>
      <c r="AA47" s="990"/>
      <c r="AB47" s="990"/>
      <c r="AC47" s="991"/>
    </row>
    <row r="48" spans="1:41" ht="15" customHeight="1" x14ac:dyDescent="0.2">
      <c r="A48" s="984"/>
      <c r="B48" s="1566" t="s">
        <v>3</v>
      </c>
      <c r="C48" s="1566"/>
      <c r="D48" s="1566"/>
      <c r="E48" s="1566"/>
      <c r="F48" s="1566"/>
      <c r="G48" s="1567"/>
      <c r="H48" s="1567"/>
      <c r="I48" s="1567"/>
      <c r="J48" s="1567"/>
      <c r="K48" s="1567"/>
      <c r="L48" s="1567"/>
      <c r="M48" s="1567"/>
      <c r="N48" s="1567"/>
      <c r="O48" s="1567"/>
      <c r="P48" s="1567"/>
      <c r="Q48" s="1567"/>
      <c r="R48" s="1567"/>
      <c r="S48" s="1567"/>
      <c r="T48" s="1567"/>
      <c r="U48" s="1567"/>
      <c r="V48" s="1567"/>
      <c r="W48" s="1567"/>
      <c r="X48" s="1567"/>
      <c r="Y48" s="1567"/>
      <c r="Z48" s="1567"/>
      <c r="AA48" s="1567"/>
      <c r="AB48" s="1567"/>
      <c r="AC48" s="985"/>
      <c r="AD48" s="926" t="s">
        <v>395</v>
      </c>
    </row>
    <row r="49" spans="1:54" ht="11.25" customHeight="1" thickBot="1" x14ac:dyDescent="0.25">
      <c r="A49" s="965"/>
      <c r="B49" s="1565"/>
      <c r="C49" s="1565"/>
      <c r="D49" s="1565"/>
      <c r="E49" s="1565"/>
      <c r="F49" s="1565"/>
      <c r="G49" s="1565"/>
      <c r="H49" s="1565"/>
      <c r="I49" s="1565"/>
      <c r="J49" s="1565"/>
      <c r="K49" s="1565"/>
      <c r="L49" s="1565"/>
      <c r="M49" s="1565"/>
      <c r="N49" s="1565"/>
      <c r="O49" s="1565"/>
      <c r="P49" s="1565"/>
      <c r="Q49" s="1565"/>
      <c r="R49" s="1565"/>
      <c r="S49" s="1565"/>
      <c r="T49" s="1565"/>
      <c r="U49" s="1565"/>
      <c r="V49" s="1565"/>
      <c r="W49" s="1565"/>
      <c r="X49" s="1565"/>
      <c r="Y49" s="1565"/>
      <c r="Z49" s="1565"/>
      <c r="AA49" s="1565"/>
      <c r="AB49" s="1565"/>
      <c r="AC49" s="966"/>
      <c r="AD49" s="927" t="s">
        <v>396</v>
      </c>
      <c r="AE49" s="123"/>
      <c r="AF49" s="123"/>
      <c r="AG49" s="123"/>
      <c r="AH49" s="123"/>
      <c r="AI49" s="123"/>
      <c r="AJ49" s="123"/>
      <c r="AK49" s="123"/>
      <c r="AL49" s="123"/>
      <c r="AM49" s="123"/>
      <c r="AN49" s="123"/>
      <c r="AO49" s="123"/>
    </row>
    <row r="50" spans="1:54" s="124" customFormat="1" ht="15" customHeight="1" thickTop="1" thickBot="1" x14ac:dyDescent="0.25">
      <c r="A50" s="1564" t="s">
        <v>193</v>
      </c>
      <c r="B50" s="1564"/>
      <c r="C50" s="1564"/>
      <c r="D50" s="1564"/>
      <c r="E50" s="1564"/>
      <c r="F50" s="1564"/>
      <c r="G50" s="1564"/>
      <c r="H50" s="1564"/>
      <c r="I50" s="1564"/>
      <c r="J50" s="1564"/>
      <c r="K50" s="1564"/>
      <c r="L50" s="1564"/>
      <c r="M50" s="1564"/>
      <c r="N50" s="1564"/>
      <c r="O50" s="1564"/>
      <c r="P50" s="1564"/>
      <c r="Q50" s="1564"/>
      <c r="R50" s="1564"/>
      <c r="S50" s="1564"/>
      <c r="T50" s="1564"/>
      <c r="U50" s="1564"/>
      <c r="V50" s="1564"/>
      <c r="W50" s="1564"/>
      <c r="X50" s="1564"/>
      <c r="Y50" s="1564"/>
      <c r="Z50" s="1564"/>
      <c r="AA50" s="1564"/>
      <c r="AB50" s="1564"/>
      <c r="AC50" s="1564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  <c r="AO50" s="123"/>
      <c r="AP50" s="123"/>
      <c r="AQ50" s="123"/>
      <c r="AR50" s="123"/>
      <c r="AS50" s="123"/>
      <c r="AT50" s="123"/>
      <c r="AU50" s="123"/>
      <c r="AV50" s="123"/>
      <c r="AW50" s="123"/>
      <c r="AX50" s="123"/>
      <c r="AY50" s="123"/>
      <c r="AZ50" s="123"/>
      <c r="BA50" s="123"/>
      <c r="BB50" s="123"/>
    </row>
    <row r="51" spans="1:54" s="124" customFormat="1" ht="9" customHeight="1" thickTop="1" x14ac:dyDescent="0.15">
      <c r="A51" s="1543"/>
      <c r="B51" s="1543"/>
      <c r="C51" s="1543"/>
      <c r="D51" s="1543"/>
      <c r="E51" s="1543"/>
      <c r="F51" s="1543"/>
      <c r="G51" s="1543"/>
      <c r="H51" s="1543"/>
      <c r="I51" s="1543"/>
      <c r="J51" s="1543"/>
      <c r="K51" s="1543"/>
      <c r="L51" s="1543"/>
      <c r="M51" s="1543"/>
      <c r="N51" s="1543"/>
      <c r="O51" s="1543"/>
      <c r="P51" s="1543"/>
      <c r="Q51" s="1543"/>
      <c r="R51" s="1543"/>
      <c r="S51" s="1543"/>
      <c r="T51" s="1543"/>
      <c r="U51" s="1543"/>
      <c r="V51" s="1543"/>
      <c r="W51" s="1543"/>
      <c r="X51" s="1543"/>
      <c r="Y51" s="1543"/>
      <c r="Z51" s="1543"/>
      <c r="AA51" s="1543"/>
      <c r="AB51" s="1543"/>
      <c r="AC51" s="1543"/>
      <c r="AD51" s="123"/>
      <c r="AE51" s="123"/>
      <c r="AF51" s="123"/>
      <c r="AG51" s="123"/>
      <c r="AH51" s="123"/>
      <c r="AI51" s="123"/>
      <c r="AJ51" s="123"/>
      <c r="AK51" s="123"/>
      <c r="AL51" s="123"/>
      <c r="AM51" s="123"/>
      <c r="AN51" s="123"/>
      <c r="AO51" s="123"/>
      <c r="AP51" s="123"/>
      <c r="AQ51" s="123"/>
      <c r="AR51" s="123"/>
      <c r="AS51" s="123"/>
      <c r="AT51" s="123"/>
      <c r="AU51" s="123"/>
      <c r="AV51" s="123"/>
      <c r="AW51" s="123"/>
      <c r="AX51" s="123"/>
      <c r="AY51" s="123"/>
      <c r="AZ51" s="123"/>
      <c r="BA51" s="123"/>
      <c r="BB51" s="123"/>
    </row>
    <row r="52" spans="1:54" s="124" customFormat="1" ht="15" customHeight="1" x14ac:dyDescent="0.2">
      <c r="A52" s="1702" t="s">
        <v>247</v>
      </c>
      <c r="B52" s="1702"/>
      <c r="C52" s="1702"/>
      <c r="D52" s="1702"/>
      <c r="E52" s="1702"/>
      <c r="F52" s="1702"/>
      <c r="G52" s="1702"/>
      <c r="H52" s="1702"/>
      <c r="I52" s="1702"/>
      <c r="J52" s="1702"/>
      <c r="K52" s="1702"/>
      <c r="L52" s="1702"/>
      <c r="M52" s="1702"/>
      <c r="N52" s="1702"/>
      <c r="O52" s="1702"/>
      <c r="P52" s="1702"/>
      <c r="Q52" s="1702"/>
      <c r="R52" s="1702"/>
      <c r="S52" s="1702"/>
      <c r="T52" s="1702"/>
      <c r="U52" s="1702"/>
      <c r="V52" s="1702"/>
      <c r="W52" s="1702"/>
      <c r="X52" s="1702"/>
      <c r="Y52" s="1702"/>
      <c r="Z52" s="1702"/>
      <c r="AA52" s="1702"/>
      <c r="AB52" s="1702"/>
      <c r="AC52" s="1702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  <c r="AU52" s="123"/>
      <c r="AV52" s="123"/>
      <c r="AW52" s="123"/>
      <c r="AX52" s="123"/>
      <c r="AY52" s="123"/>
      <c r="AZ52" s="123"/>
      <c r="BA52" s="123"/>
      <c r="BB52" s="123"/>
    </row>
    <row r="53" spans="1:54" s="124" customFormat="1" ht="15" customHeight="1" x14ac:dyDescent="0.2">
      <c r="A53" s="1702"/>
      <c r="B53" s="1702"/>
      <c r="C53" s="1702"/>
      <c r="D53" s="1702"/>
      <c r="E53" s="1702"/>
      <c r="F53" s="1702"/>
      <c r="G53" s="1702"/>
      <c r="H53" s="1702"/>
      <c r="I53" s="1702"/>
      <c r="J53" s="1702"/>
      <c r="K53" s="1702"/>
      <c r="L53" s="1702"/>
      <c r="M53" s="1702"/>
      <c r="N53" s="1702"/>
      <c r="O53" s="1702"/>
      <c r="P53" s="1702"/>
      <c r="Q53" s="1702"/>
      <c r="R53" s="1702"/>
      <c r="S53" s="1702"/>
      <c r="T53" s="1702"/>
      <c r="U53" s="1702"/>
      <c r="V53" s="1702"/>
      <c r="W53" s="1702"/>
      <c r="X53" s="1702"/>
      <c r="Y53" s="1702"/>
      <c r="Z53" s="1702"/>
      <c r="AA53" s="1702"/>
      <c r="AB53" s="1702"/>
      <c r="AC53" s="1702"/>
      <c r="AD53" s="123"/>
      <c r="AE53" s="123"/>
      <c r="AF53" s="123"/>
      <c r="AG53" s="123"/>
      <c r="AH53" s="123"/>
      <c r="AI53" s="123"/>
      <c r="AJ53" s="123"/>
      <c r="AK53" s="123"/>
      <c r="AL53" s="123"/>
      <c r="AM53" s="123"/>
      <c r="AN53" s="123"/>
      <c r="AO53" s="123"/>
      <c r="AP53" s="123"/>
      <c r="AQ53" s="123"/>
      <c r="AR53" s="123"/>
      <c r="AS53" s="123"/>
      <c r="AT53" s="123"/>
      <c r="AU53" s="123"/>
      <c r="AV53" s="123"/>
      <c r="AW53" s="123"/>
      <c r="AX53" s="123"/>
      <c r="AY53" s="123"/>
      <c r="AZ53" s="123"/>
      <c r="BA53" s="123"/>
      <c r="BB53" s="123"/>
    </row>
    <row r="54" spans="1:54" s="124" customFormat="1" ht="12" customHeight="1" x14ac:dyDescent="0.2">
      <c r="A54" s="112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25"/>
      <c r="AE54" s="125"/>
      <c r="AF54" s="125"/>
      <c r="AG54" s="125"/>
      <c r="AH54" s="125"/>
      <c r="AI54" s="125"/>
      <c r="AJ54" s="125"/>
      <c r="AK54" s="125"/>
      <c r="AL54" s="125"/>
      <c r="AM54" s="125"/>
      <c r="AN54" s="125"/>
      <c r="AO54" s="125"/>
      <c r="AP54" s="123"/>
      <c r="AQ54" s="123"/>
      <c r="AR54" s="123"/>
      <c r="AS54" s="123"/>
      <c r="AT54" s="123"/>
      <c r="AU54" s="123"/>
      <c r="AV54" s="123"/>
      <c r="AW54" s="123"/>
      <c r="AX54" s="123"/>
      <c r="AY54" s="123"/>
      <c r="AZ54" s="123"/>
      <c r="BA54" s="123"/>
      <c r="BB54" s="123"/>
    </row>
    <row r="55" spans="1:54" s="125" customFormat="1" ht="18" customHeight="1" x14ac:dyDescent="0.2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</row>
    <row r="56" spans="1:54" s="82" customFormat="1" ht="27.95" customHeight="1" x14ac:dyDescent="0.2">
      <c r="A56" s="112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112"/>
      <c r="AL56" s="112"/>
      <c r="AM56" s="112"/>
      <c r="AN56" s="112"/>
      <c r="AO56" s="112"/>
    </row>
  </sheetData>
  <sheetProtection formatCells="0" formatColumns="0" formatRows="0"/>
  <mergeCells count="210">
    <mergeCell ref="AD21:AI21"/>
    <mergeCell ref="AD25:AI25"/>
    <mergeCell ref="AD27:AI27"/>
    <mergeCell ref="AD28:AE28"/>
    <mergeCell ref="AF28:AG28"/>
    <mergeCell ref="AH28:AI28"/>
    <mergeCell ref="AD29:AI29"/>
    <mergeCell ref="A20:K20"/>
    <mergeCell ref="L20:T20"/>
    <mergeCell ref="U20:AC20"/>
    <mergeCell ref="A21:K21"/>
    <mergeCell ref="L21:T21"/>
    <mergeCell ref="U21:AC21"/>
    <mergeCell ref="L27:N27"/>
    <mergeCell ref="O27:Q27"/>
    <mergeCell ref="R27:T27"/>
    <mergeCell ref="U27:W27"/>
    <mergeCell ref="X27:Z27"/>
    <mergeCell ref="AA27:AC27"/>
    <mergeCell ref="L29:N29"/>
    <mergeCell ref="O29:Q29"/>
    <mergeCell ref="R29:T29"/>
    <mergeCell ref="U29:W29"/>
    <mergeCell ref="X29:Z29"/>
    <mergeCell ref="A52:AC53"/>
    <mergeCell ref="G46:J46"/>
    <mergeCell ref="L46:O46"/>
    <mergeCell ref="AA10:AC10"/>
    <mergeCell ref="L12:N12"/>
    <mergeCell ref="O12:Q12"/>
    <mergeCell ref="R12:T12"/>
    <mergeCell ref="U12:W12"/>
    <mergeCell ref="X12:Z12"/>
    <mergeCell ref="AA12:AC12"/>
    <mergeCell ref="L16:N16"/>
    <mergeCell ref="O16:Q16"/>
    <mergeCell ref="R16:T16"/>
    <mergeCell ref="U16:W16"/>
    <mergeCell ref="X16:Z16"/>
    <mergeCell ref="AA16:AC16"/>
    <mergeCell ref="L15:N15"/>
    <mergeCell ref="O15:Q15"/>
    <mergeCell ref="R15:T15"/>
    <mergeCell ref="U15:W15"/>
    <mergeCell ref="X15:Z15"/>
    <mergeCell ref="AA15:AC15"/>
    <mergeCell ref="L18:N18"/>
    <mergeCell ref="O18:Q18"/>
    <mergeCell ref="AJ11:AK11"/>
    <mergeCell ref="AL11:AM11"/>
    <mergeCell ref="A10:K10"/>
    <mergeCell ref="L10:N10"/>
    <mergeCell ref="O10:Q10"/>
    <mergeCell ref="R10:T10"/>
    <mergeCell ref="U10:W10"/>
    <mergeCell ref="X10:Z10"/>
    <mergeCell ref="A1:D5"/>
    <mergeCell ref="E4:U4"/>
    <mergeCell ref="V4:AC4"/>
    <mergeCell ref="E5:AC5"/>
    <mergeCell ref="E1:AC3"/>
    <mergeCell ref="S7:U7"/>
    <mergeCell ref="V7:AA7"/>
    <mergeCell ref="V8:AA8"/>
    <mergeCell ref="AN11:AO11"/>
    <mergeCell ref="L11:N11"/>
    <mergeCell ref="O11:Q11"/>
    <mergeCell ref="R11:T11"/>
    <mergeCell ref="U11:W11"/>
    <mergeCell ref="X11:Z11"/>
    <mergeCell ref="AA11:AC11"/>
    <mergeCell ref="AD12:AO12"/>
    <mergeCell ref="AD14:AO14"/>
    <mergeCell ref="L14:N14"/>
    <mergeCell ref="O14:Q14"/>
    <mergeCell ref="R14:T14"/>
    <mergeCell ref="U14:W14"/>
    <mergeCell ref="X14:Z14"/>
    <mergeCell ref="AA14:AC14"/>
    <mergeCell ref="L13:N13"/>
    <mergeCell ref="O13:Q13"/>
    <mergeCell ref="R13:T13"/>
    <mergeCell ref="U13:W13"/>
    <mergeCell ref="X13:Z13"/>
    <mergeCell ref="AA13:AC13"/>
    <mergeCell ref="AD11:AE11"/>
    <mergeCell ref="AF11:AG11"/>
    <mergeCell ref="AH11:AI11"/>
    <mergeCell ref="R18:T18"/>
    <mergeCell ref="U18:W18"/>
    <mergeCell ref="X18:Z18"/>
    <mergeCell ref="AA18:AC18"/>
    <mergeCell ref="L17:N17"/>
    <mergeCell ref="O17:Q17"/>
    <mergeCell ref="R17:T17"/>
    <mergeCell ref="U17:W17"/>
    <mergeCell ref="X17:Z17"/>
    <mergeCell ref="AA17:AC17"/>
    <mergeCell ref="L19:N19"/>
    <mergeCell ref="O19:Q19"/>
    <mergeCell ref="R19:T19"/>
    <mergeCell ref="U19:W19"/>
    <mergeCell ref="X19:Z19"/>
    <mergeCell ref="AA19:AC19"/>
    <mergeCell ref="A24:K24"/>
    <mergeCell ref="L24:AC24"/>
    <mergeCell ref="A25:K25"/>
    <mergeCell ref="L25:T25"/>
    <mergeCell ref="U25:AC25"/>
    <mergeCell ref="A22:J22"/>
    <mergeCell ref="L22:T22"/>
    <mergeCell ref="U22:AC22"/>
    <mergeCell ref="A23:J23"/>
    <mergeCell ref="L23:T23"/>
    <mergeCell ref="U23:AC23"/>
    <mergeCell ref="AJ27:AK27"/>
    <mergeCell ref="AL27:AM27"/>
    <mergeCell ref="AN27:AO27"/>
    <mergeCell ref="L26:N26"/>
    <mergeCell ref="O26:Q26"/>
    <mergeCell ref="R26:T26"/>
    <mergeCell ref="U26:W26"/>
    <mergeCell ref="X26:Z26"/>
    <mergeCell ref="AA26:AC26"/>
    <mergeCell ref="AA29:AC29"/>
    <mergeCell ref="L28:N28"/>
    <mergeCell ref="O28:Q28"/>
    <mergeCell ref="R28:T28"/>
    <mergeCell ref="U28:W28"/>
    <mergeCell ref="X28:Z28"/>
    <mergeCell ref="AA28:AC28"/>
    <mergeCell ref="AA32:AC32"/>
    <mergeCell ref="L31:N31"/>
    <mergeCell ref="O31:Q31"/>
    <mergeCell ref="R31:T31"/>
    <mergeCell ref="U31:W31"/>
    <mergeCell ref="X31:Z31"/>
    <mergeCell ref="AA31:AC31"/>
    <mergeCell ref="L30:N30"/>
    <mergeCell ref="O30:Q30"/>
    <mergeCell ref="R30:T30"/>
    <mergeCell ref="U30:W30"/>
    <mergeCell ref="X30:Z30"/>
    <mergeCell ref="AA30:AC30"/>
    <mergeCell ref="AJ38:AK38"/>
    <mergeCell ref="AL38:AM38"/>
    <mergeCell ref="AN38:AO38"/>
    <mergeCell ref="A36:K36"/>
    <mergeCell ref="L36:T36"/>
    <mergeCell ref="U36:AC36"/>
    <mergeCell ref="L37:N37"/>
    <mergeCell ref="O37:Q37"/>
    <mergeCell ref="R37:T37"/>
    <mergeCell ref="U37:W37"/>
    <mergeCell ref="X37:Z37"/>
    <mergeCell ref="AA37:AC37"/>
    <mergeCell ref="AD30:AE30"/>
    <mergeCell ref="AF30:AG30"/>
    <mergeCell ref="AH30:AI30"/>
    <mergeCell ref="AD31:AI31"/>
    <mergeCell ref="L38:N38"/>
    <mergeCell ref="O38:Q38"/>
    <mergeCell ref="R38:T38"/>
    <mergeCell ref="U38:W38"/>
    <mergeCell ref="X38:Z38"/>
    <mergeCell ref="AA38:AC38"/>
    <mergeCell ref="AD32:AE32"/>
    <mergeCell ref="AF32:AG32"/>
    <mergeCell ref="AH32:AI32"/>
    <mergeCell ref="L33:N33"/>
    <mergeCell ref="O33:Q33"/>
    <mergeCell ref="R33:T33"/>
    <mergeCell ref="U33:W33"/>
    <mergeCell ref="X33:Z33"/>
    <mergeCell ref="AA33:AC33"/>
    <mergeCell ref="L32:N32"/>
    <mergeCell ref="O32:Q32"/>
    <mergeCell ref="R32:T32"/>
    <mergeCell ref="U32:W32"/>
    <mergeCell ref="X32:Z32"/>
    <mergeCell ref="L34:T34"/>
    <mergeCell ref="U34:AC34"/>
    <mergeCell ref="L35:T35"/>
    <mergeCell ref="U35:AC35"/>
    <mergeCell ref="L40:N40"/>
    <mergeCell ref="U40:W40"/>
    <mergeCell ref="X40:Z40"/>
    <mergeCell ref="AA40:AC40"/>
    <mergeCell ref="L39:N39"/>
    <mergeCell ref="O39:Q39"/>
    <mergeCell ref="R39:T39"/>
    <mergeCell ref="U39:W39"/>
    <mergeCell ref="X39:Z39"/>
    <mergeCell ref="AA39:AC39"/>
    <mergeCell ref="O40:Q40"/>
    <mergeCell ref="R40:T40"/>
    <mergeCell ref="A51:AC51"/>
    <mergeCell ref="A42:J42"/>
    <mergeCell ref="L42:AC42"/>
    <mergeCell ref="H43:K43"/>
    <mergeCell ref="L43:AC43"/>
    <mergeCell ref="L44:T44"/>
    <mergeCell ref="U44:AC44"/>
    <mergeCell ref="L41:T41"/>
    <mergeCell ref="U41:AC41"/>
    <mergeCell ref="A50:AC50"/>
    <mergeCell ref="B49:AB49"/>
    <mergeCell ref="B48:F48"/>
    <mergeCell ref="G48:AB48"/>
    <mergeCell ref="B46:F46"/>
  </mergeCells>
  <dataValidations count="1">
    <dataValidation type="list" allowBlank="1" showInputMessage="1" showErrorMessage="1" sqref="L44:T45 L47:T47">
      <formula1>$AD$48:$AD$49</formula1>
    </dataValidation>
  </dataValidations>
  <printOptions horizontalCentered="1"/>
  <pageMargins left="0.59055118110236227" right="0.39370078740157483" top="0.59055118110236227" bottom="0.39370078740157483" header="0" footer="0.19685039370078741"/>
  <pageSetup orientation="portrait" r:id="rId1"/>
  <headerFooter scaleWithDoc="0">
    <oddFooter>&amp;L&amp;6Calle 26 No.69-76 Edificio Elemento Torre 1, Piso 3 – C.P. 111071
PBX: 3779555 – Información: Línea 195
Sede Operativa - Atención al Ciudadano: Calle 22D No. 120-40
www.umv.gov.co&amp;C&amp;6Página 1 de 1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topLeftCell="A34" workbookViewId="0">
      <selection activeCell="H37" sqref="H37"/>
    </sheetView>
  </sheetViews>
  <sheetFormatPr baseColWidth="10" defaultRowHeight="12.75" x14ac:dyDescent="0.2"/>
  <cols>
    <col min="1" max="2" width="21.7109375" customWidth="1"/>
    <col min="3" max="3" width="22.7109375" customWidth="1"/>
  </cols>
  <sheetData>
    <row r="1" spans="1:5" x14ac:dyDescent="0.2">
      <c r="A1" s="1726" t="s">
        <v>150</v>
      </c>
      <c r="B1" s="1726"/>
      <c r="C1" s="1726"/>
    </row>
    <row r="2" spans="1:5" x14ac:dyDescent="0.2">
      <c r="A2" s="246" t="s">
        <v>145</v>
      </c>
      <c r="B2" s="246" t="s">
        <v>149</v>
      </c>
      <c r="C2" s="246" t="s">
        <v>146</v>
      </c>
    </row>
    <row r="3" spans="1:5" ht="39.950000000000003" customHeight="1" x14ac:dyDescent="0.2">
      <c r="A3" s="820" t="s">
        <v>127</v>
      </c>
      <c r="B3" s="820" t="s">
        <v>34</v>
      </c>
      <c r="C3" s="821">
        <v>2</v>
      </c>
      <c r="D3" s="85"/>
      <c r="E3" s="99"/>
    </row>
    <row r="4" spans="1:5" ht="39.950000000000003" customHeight="1" x14ac:dyDescent="0.2">
      <c r="A4" s="820" t="s">
        <v>128</v>
      </c>
      <c r="B4" s="820" t="s">
        <v>34</v>
      </c>
      <c r="C4" s="821">
        <v>3</v>
      </c>
      <c r="D4" s="85"/>
      <c r="E4" s="95"/>
    </row>
    <row r="5" spans="1:5" ht="39.950000000000003" customHeight="1" x14ac:dyDescent="0.2">
      <c r="A5" s="820" t="s">
        <v>129</v>
      </c>
      <c r="B5" s="820" t="s">
        <v>34</v>
      </c>
      <c r="C5" s="821">
        <v>7</v>
      </c>
      <c r="D5" s="85"/>
      <c r="E5" s="95"/>
    </row>
    <row r="6" spans="1:5" ht="39.950000000000003" customHeight="1" x14ac:dyDescent="0.25">
      <c r="A6" s="820" t="s">
        <v>130</v>
      </c>
      <c r="B6" s="820" t="s">
        <v>34</v>
      </c>
      <c r="C6" s="822"/>
      <c r="D6" s="85"/>
      <c r="E6" s="95"/>
    </row>
    <row r="7" spans="1:5" ht="39.950000000000003" customHeight="1" x14ac:dyDescent="0.2">
      <c r="A7" s="820" t="s">
        <v>131</v>
      </c>
      <c r="B7" s="820" t="s">
        <v>34</v>
      </c>
      <c r="C7" s="821">
        <v>6</v>
      </c>
      <c r="D7" s="85"/>
      <c r="E7" s="95"/>
    </row>
    <row r="8" spans="1:5" ht="39.950000000000003" customHeight="1" x14ac:dyDescent="0.2">
      <c r="A8" s="820" t="s">
        <v>132</v>
      </c>
      <c r="B8" s="820" t="s">
        <v>34</v>
      </c>
      <c r="C8" s="821">
        <v>4</v>
      </c>
      <c r="D8" s="85"/>
      <c r="E8" s="95"/>
    </row>
    <row r="9" spans="1:5" ht="39.950000000000003" customHeight="1" x14ac:dyDescent="0.25">
      <c r="A9" s="820" t="s">
        <v>133</v>
      </c>
      <c r="B9" s="820" t="s">
        <v>34</v>
      </c>
      <c r="C9" s="823"/>
      <c r="D9" s="85"/>
      <c r="E9" s="95"/>
    </row>
    <row r="10" spans="1:5" ht="39.950000000000003" customHeight="1" x14ac:dyDescent="0.2">
      <c r="A10" s="820" t="s">
        <v>135</v>
      </c>
      <c r="B10" s="820" t="s">
        <v>34</v>
      </c>
      <c r="C10" s="821">
        <v>9</v>
      </c>
      <c r="D10" s="85"/>
      <c r="E10" s="95"/>
    </row>
    <row r="11" spans="1:5" ht="39.950000000000003" customHeight="1" x14ac:dyDescent="0.25">
      <c r="A11" s="820" t="s">
        <v>136</v>
      </c>
      <c r="B11" s="820" t="s">
        <v>34</v>
      </c>
      <c r="C11" s="823"/>
      <c r="D11" s="85"/>
      <c r="E11" s="95"/>
    </row>
    <row r="12" spans="1:5" ht="39.950000000000003" customHeight="1" x14ac:dyDescent="0.2">
      <c r="A12" s="820" t="s">
        <v>134</v>
      </c>
      <c r="B12" s="820" t="s">
        <v>349</v>
      </c>
      <c r="C12" s="821">
        <v>1</v>
      </c>
      <c r="D12" s="85"/>
      <c r="E12" s="95"/>
    </row>
    <row r="13" spans="1:5" ht="39.950000000000003" customHeight="1" x14ac:dyDescent="0.2">
      <c r="A13" s="820" t="s">
        <v>152</v>
      </c>
      <c r="B13" s="820" t="s">
        <v>34</v>
      </c>
      <c r="C13" s="821"/>
      <c r="D13" s="85"/>
      <c r="E13" s="95"/>
    </row>
    <row r="14" spans="1:5" ht="39.950000000000003" customHeight="1" x14ac:dyDescent="0.2">
      <c r="A14" s="855" t="s">
        <v>386</v>
      </c>
      <c r="B14" s="852" t="s">
        <v>34</v>
      </c>
      <c r="C14" s="884"/>
      <c r="D14" s="85"/>
      <c r="E14" s="95"/>
    </row>
    <row r="15" spans="1:5" ht="39.950000000000003" customHeight="1" x14ac:dyDescent="0.2">
      <c r="A15" s="820" t="s">
        <v>350</v>
      </c>
      <c r="B15" s="820" t="s">
        <v>34</v>
      </c>
      <c r="C15" s="821"/>
      <c r="D15" s="84"/>
      <c r="E15" s="95"/>
    </row>
    <row r="16" spans="1:5" ht="39.950000000000003" customHeight="1" x14ac:dyDescent="0.2">
      <c r="A16" s="820"/>
      <c r="B16" s="820"/>
      <c r="C16" s="821"/>
      <c r="D16" s="84"/>
      <c r="E16" s="95"/>
    </row>
    <row r="17" spans="1:5" ht="39.950000000000003" customHeight="1" x14ac:dyDescent="0.2">
      <c r="A17" s="824" t="s">
        <v>147</v>
      </c>
      <c r="B17" s="824" t="s">
        <v>151</v>
      </c>
      <c r="C17" s="821"/>
      <c r="D17" s="84"/>
      <c r="E17" s="95"/>
    </row>
    <row r="18" spans="1:5" ht="39.950000000000003" customHeight="1" x14ac:dyDescent="0.25">
      <c r="A18" s="824" t="s">
        <v>351</v>
      </c>
      <c r="B18" s="824" t="s">
        <v>151</v>
      </c>
      <c r="C18" s="823"/>
      <c r="D18" s="85"/>
      <c r="E18" s="95"/>
    </row>
    <row r="19" spans="1:5" ht="39.950000000000003" customHeight="1" x14ac:dyDescent="0.2">
      <c r="A19" s="824" t="s">
        <v>148</v>
      </c>
      <c r="B19" s="824" t="s">
        <v>151</v>
      </c>
      <c r="C19" s="821"/>
      <c r="D19" s="84"/>
      <c r="E19" s="95"/>
    </row>
    <row r="20" spans="1:5" ht="39.950000000000003" customHeight="1" x14ac:dyDescent="0.2">
      <c r="A20" s="824" t="s">
        <v>352</v>
      </c>
      <c r="B20" s="824" t="s">
        <v>151</v>
      </c>
      <c r="C20" s="821"/>
      <c r="D20" s="84"/>
      <c r="E20" s="95"/>
    </row>
    <row r="21" spans="1:5" ht="39.950000000000003" customHeight="1" x14ac:dyDescent="0.2">
      <c r="A21" s="824" t="s">
        <v>353</v>
      </c>
      <c r="B21" s="824" t="s">
        <v>151</v>
      </c>
      <c r="C21" s="821"/>
      <c r="D21" s="84"/>
      <c r="E21" s="95"/>
    </row>
    <row r="22" spans="1:5" ht="39.950000000000003" customHeight="1" x14ac:dyDescent="0.2">
      <c r="A22" s="824"/>
      <c r="B22" s="824"/>
      <c r="C22" s="821"/>
      <c r="D22" s="84"/>
      <c r="E22" s="95"/>
    </row>
    <row r="23" spans="1:5" ht="39.950000000000003" customHeight="1" x14ac:dyDescent="0.25">
      <c r="A23" s="824" t="s">
        <v>354</v>
      </c>
      <c r="B23" s="824" t="s">
        <v>151</v>
      </c>
      <c r="C23" s="823"/>
      <c r="D23" s="85"/>
      <c r="E23" s="95"/>
    </row>
    <row r="24" spans="1:5" ht="39.950000000000003" customHeight="1" x14ac:dyDescent="0.25">
      <c r="A24" s="824" t="s">
        <v>355</v>
      </c>
      <c r="B24" s="824" t="s">
        <v>151</v>
      </c>
      <c r="C24" s="823"/>
      <c r="D24" s="85"/>
      <c r="E24" s="95"/>
    </row>
    <row r="25" spans="1:5" ht="39.950000000000003" customHeight="1" x14ac:dyDescent="0.25">
      <c r="A25" s="824" t="s">
        <v>356</v>
      </c>
      <c r="B25" s="824" t="s">
        <v>151</v>
      </c>
      <c r="C25" s="823"/>
      <c r="D25" s="85"/>
      <c r="E25" s="95"/>
    </row>
    <row r="26" spans="1:5" ht="39.950000000000003" customHeight="1" x14ac:dyDescent="0.2">
      <c r="A26" s="824" t="s">
        <v>357</v>
      </c>
      <c r="B26" s="824" t="s">
        <v>151</v>
      </c>
      <c r="C26" s="821"/>
      <c r="D26" s="85"/>
      <c r="E26" s="95"/>
    </row>
    <row r="27" spans="1:5" ht="39.950000000000003" customHeight="1" x14ac:dyDescent="0.2">
      <c r="A27" s="824" t="s">
        <v>358</v>
      </c>
      <c r="B27" s="824" t="s">
        <v>151</v>
      </c>
      <c r="C27" s="821"/>
      <c r="D27" s="84"/>
      <c r="E27" s="95"/>
    </row>
    <row r="28" spans="1:5" ht="39.950000000000003" customHeight="1" x14ac:dyDescent="0.2">
      <c r="A28" s="824" t="s">
        <v>359</v>
      </c>
      <c r="B28" s="824" t="s">
        <v>151</v>
      </c>
      <c r="C28" s="821"/>
      <c r="D28" s="84"/>
      <c r="E28" s="95"/>
    </row>
    <row r="29" spans="1:5" ht="39.950000000000003" customHeight="1" x14ac:dyDescent="0.2">
      <c r="A29" s="824" t="s">
        <v>360</v>
      </c>
      <c r="B29" s="824" t="s">
        <v>151</v>
      </c>
      <c r="C29" s="821"/>
    </row>
    <row r="30" spans="1:5" ht="39.950000000000003" customHeight="1" x14ac:dyDescent="0.2">
      <c r="A30" s="1727" t="s">
        <v>137</v>
      </c>
      <c r="B30" s="1728"/>
      <c r="C30" s="1729"/>
    </row>
    <row r="31" spans="1:5" ht="39.950000000000003" customHeight="1" x14ac:dyDescent="0.2">
      <c r="A31" s="85" t="s">
        <v>134</v>
      </c>
      <c r="B31" s="95" t="s">
        <v>368</v>
      </c>
      <c r="C31" s="96">
        <v>1</v>
      </c>
      <c r="D31" s="85" t="s">
        <v>134</v>
      </c>
    </row>
    <row r="32" spans="1:5" ht="39.950000000000003" customHeight="1" x14ac:dyDescent="0.25">
      <c r="A32" s="852" t="s">
        <v>377</v>
      </c>
      <c r="B32" s="853" t="s">
        <v>378</v>
      </c>
      <c r="C32" s="854"/>
      <c r="D32" s="852" t="s">
        <v>377</v>
      </c>
    </row>
    <row r="33" spans="1:4" ht="39.950000000000003" customHeight="1" x14ac:dyDescent="0.2">
      <c r="A33" s="857" t="s">
        <v>154</v>
      </c>
      <c r="B33" s="855"/>
      <c r="C33" s="856">
        <v>1</v>
      </c>
      <c r="D33" s="857" t="s">
        <v>154</v>
      </c>
    </row>
    <row r="34" spans="1:4" ht="39.950000000000003" customHeight="1" x14ac:dyDescent="0.2">
      <c r="B34" s="858" t="s">
        <v>154</v>
      </c>
      <c r="C34" s="856"/>
      <c r="D34" s="97"/>
    </row>
    <row r="35" spans="1:4" ht="39.950000000000003" customHeight="1" x14ac:dyDescent="0.2">
      <c r="A35" s="1730" t="s">
        <v>138</v>
      </c>
      <c r="B35" s="1731"/>
      <c r="C35" s="1732"/>
    </row>
    <row r="36" spans="1:4" ht="39.950000000000003" customHeight="1" x14ac:dyDescent="0.25">
      <c r="A36" s="852" t="s">
        <v>379</v>
      </c>
      <c r="B36" s="853" t="s">
        <v>194</v>
      </c>
      <c r="C36" s="854"/>
      <c r="D36" s="852" t="s">
        <v>379</v>
      </c>
    </row>
    <row r="37" spans="1:4" ht="39.950000000000003" customHeight="1" x14ac:dyDescent="0.2">
      <c r="A37" s="85" t="s">
        <v>248</v>
      </c>
      <c r="B37" s="95" t="s">
        <v>249</v>
      </c>
      <c r="C37" s="97"/>
      <c r="D37" s="85" t="s">
        <v>248</v>
      </c>
    </row>
    <row r="38" spans="1:4" ht="39.950000000000003" customHeight="1" x14ac:dyDescent="0.2">
      <c r="A38" s="98" t="s">
        <v>154</v>
      </c>
      <c r="B38" s="75"/>
      <c r="C38" s="97"/>
      <c r="D38" s="98" t="s">
        <v>154</v>
      </c>
    </row>
  </sheetData>
  <mergeCells count="3">
    <mergeCell ref="A1:C1"/>
    <mergeCell ref="A30:C30"/>
    <mergeCell ref="A35:C35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" sqref="F1:F1048576"/>
    </sheetView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19</vt:i4>
      </vt:variant>
    </vt:vector>
  </HeadingPairs>
  <TitlesOfParts>
    <vt:vector size="27" baseType="lpstr">
      <vt:lpstr>Resumen</vt:lpstr>
      <vt:lpstr>732</vt:lpstr>
      <vt:lpstr>782</vt:lpstr>
      <vt:lpstr>733 - 735</vt:lpstr>
      <vt:lpstr>748</vt:lpstr>
      <vt:lpstr>TSR</vt:lpstr>
      <vt:lpstr>firmas</vt:lpstr>
      <vt:lpstr>Hoja1</vt:lpstr>
      <vt:lpstr>'732'!aprobonombres</vt:lpstr>
      <vt:lpstr>'782'!aprobonombres</vt:lpstr>
      <vt:lpstr>Resumen!aprobonombres</vt:lpstr>
      <vt:lpstr>aprobonombres</vt:lpstr>
      <vt:lpstr>'732'!Área_de_impresión</vt:lpstr>
      <vt:lpstr>'733 - 735'!Área_de_impresión</vt:lpstr>
      <vt:lpstr>'748'!Área_de_impresión</vt:lpstr>
      <vt:lpstr>'782'!Área_de_impresión</vt:lpstr>
      <vt:lpstr>Resumen!Área_de_impresión</vt:lpstr>
      <vt:lpstr>TSR!Área_de_impresión</vt:lpstr>
      <vt:lpstr>'732'!Elaboronombres</vt:lpstr>
      <vt:lpstr>'782'!Elaboronombres</vt:lpstr>
      <vt:lpstr>Resumen!Elaboronombres</vt:lpstr>
      <vt:lpstr>Elaboronombres</vt:lpstr>
      <vt:lpstr>pruebanombres</vt:lpstr>
      <vt:lpstr>'732'!revisonombres</vt:lpstr>
      <vt:lpstr>'782'!revisonombres</vt:lpstr>
      <vt:lpstr>Resumen!revisonombres</vt:lpstr>
      <vt:lpstr>revisonombres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SISOOMC</dc:creator>
  <cp:lastModifiedBy>Karen Daniela Flórez Barón</cp:lastModifiedBy>
  <cp:lastPrinted>2022-10-10T18:18:46Z</cp:lastPrinted>
  <dcterms:created xsi:type="dcterms:W3CDTF">2011-04-13T16:07:04Z</dcterms:created>
  <dcterms:modified xsi:type="dcterms:W3CDTF">2022-10-10T20:14:07Z</dcterms:modified>
</cp:coreProperties>
</file>